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fedm\Documents\"/>
    </mc:Choice>
  </mc:AlternateContent>
  <xr:revisionPtr revIDLastSave="0" documentId="13_ncr:1_{73AEAF4B-2AAA-4A33-8429-2474CA740FB0}" xr6:coauthVersionLast="45" xr6:coauthVersionMax="45" xr10:uidLastSave="{00000000-0000-0000-0000-000000000000}"/>
  <bookViews>
    <workbookView xWindow="-110" yWindow="-110" windowWidth="22780" windowHeight="14660" xr2:uid="{00000000-000D-0000-FFFF-FFFF00000000}"/>
  </bookViews>
  <sheets>
    <sheet name="Company Tracker" sheetId="9" r:id="rId1"/>
  </sheets>
  <definedNames>
    <definedName name="_xlnm._FilterDatabase" localSheetId="0" hidden="1">'Company Tracker'!$A$1:$AX$101</definedName>
    <definedName name="_xlcn.WorksheetConnection_CompanyTracker_MengSustainabilityProject.xlsxTable11" hidden="1">Table1[]</definedName>
  </definedNames>
  <calcPr calcId="191029"/>
  <extLst>
    <ext xmlns:x15="http://schemas.microsoft.com/office/spreadsheetml/2010/11/main" uri="{FCE2AD5D-F65C-4FA6-A056-5C36A1767C68}">
      <x15:dataModel>
        <x15:modelTables>
          <x15:modelTable id="Table1" name="Table1" connection="WorksheetConnection_Company Tracker _ Meng Sustainability Projec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82" i="9" l="1"/>
  <c r="AL82" i="9"/>
  <c r="AF82" i="9"/>
  <c r="Z82" i="9"/>
  <c r="AR58" i="9"/>
  <c r="AL58" i="9"/>
  <c r="AF58" i="9"/>
  <c r="Z58" i="9"/>
  <c r="AA101" i="9" l="1"/>
  <c r="U101" i="9"/>
  <c r="AA100" i="9"/>
  <c r="U100" i="9"/>
  <c r="AA98" i="9"/>
  <c r="U98" i="9"/>
  <c r="U97" i="9"/>
  <c r="U96" i="9"/>
  <c r="U95" i="9"/>
  <c r="U94" i="9"/>
  <c r="Z92" i="9"/>
  <c r="AA88" i="9"/>
  <c r="U88" i="9"/>
  <c r="AS87" i="9"/>
  <c r="AM87" i="9"/>
  <c r="U87" i="9"/>
  <c r="U86" i="9"/>
  <c r="U85" i="9"/>
  <c r="U82" i="9"/>
  <c r="U80" i="9"/>
  <c r="AS78" i="9"/>
  <c r="AM78" i="9"/>
  <c r="AA78" i="9"/>
  <c r="U78" i="9"/>
  <c r="AM77" i="9"/>
  <c r="AG77" i="9"/>
  <c r="AA77" i="9"/>
  <c r="U77" i="9"/>
  <c r="AG75" i="9"/>
  <c r="U75" i="9"/>
  <c r="U74" i="9"/>
  <c r="AR71" i="9"/>
  <c r="AT71" i="9" s="1"/>
  <c r="AN71" i="9"/>
  <c r="AH71" i="9"/>
  <c r="AB71" i="9"/>
  <c r="V71" i="9"/>
  <c r="AS69" i="9"/>
  <c r="AM69" i="9"/>
  <c r="U69" i="9"/>
  <c r="U68" i="9"/>
  <c r="AM65" i="9"/>
  <c r="AG65" i="9"/>
  <c r="U65" i="9"/>
  <c r="AA64" i="9"/>
  <c r="U64" i="9"/>
  <c r="U63" i="9"/>
  <c r="U62" i="9"/>
  <c r="AA61" i="9"/>
  <c r="U61" i="9"/>
  <c r="AA59" i="9"/>
  <c r="U59" i="9"/>
  <c r="AA54" i="9"/>
  <c r="AA53" i="9"/>
  <c r="U53" i="9"/>
  <c r="AA52" i="9"/>
  <c r="U52" i="9"/>
  <c r="AA50" i="9"/>
  <c r="U50" i="9"/>
  <c r="AS48" i="9"/>
  <c r="AM48" i="9"/>
  <c r="AM46" i="9"/>
  <c r="U46" i="9"/>
  <c r="AS45" i="9"/>
  <c r="AM45" i="9"/>
  <c r="U39" i="9"/>
  <c r="AM38" i="9"/>
  <c r="AG38" i="9"/>
  <c r="AA38" i="9"/>
  <c r="AS37" i="9"/>
  <c r="AM37" i="9"/>
  <c r="AG37" i="9"/>
  <c r="AF36" i="9"/>
  <c r="AG35" i="9"/>
  <c r="AA35" i="9"/>
  <c r="U35" i="9"/>
  <c r="AM35" i="9"/>
  <c r="AS29" i="9"/>
  <c r="AM29" i="9"/>
  <c r="AG29" i="9"/>
  <c r="AA29" i="9"/>
  <c r="U29" i="9"/>
  <c r="AS28" i="9"/>
  <c r="AM28" i="9"/>
  <c r="AG28" i="9"/>
  <c r="AA28" i="9"/>
  <c r="U28" i="9"/>
  <c r="AR26" i="9"/>
  <c r="AL26" i="9"/>
  <c r="AF26" i="9"/>
  <c r="Z26" i="9"/>
  <c r="AS24" i="9"/>
  <c r="AM24" i="9"/>
  <c r="AG24" i="9"/>
  <c r="AA24" i="9"/>
  <c r="U24" i="9"/>
  <c r="AR23" i="9"/>
  <c r="U20" i="9"/>
  <c r="U19" i="9"/>
  <c r="AS17" i="9"/>
  <c r="AM17" i="9"/>
  <c r="U17" i="9"/>
  <c r="AM15" i="9"/>
  <c r="U15" i="9"/>
  <c r="AA14" i="9"/>
  <c r="U14" i="9"/>
  <c r="AM11" i="9"/>
  <c r="AG11" i="9"/>
  <c r="AA11" i="9"/>
  <c r="AS11" i="9"/>
  <c r="U11" i="9"/>
  <c r="AS9" i="9"/>
  <c r="AM9" i="9"/>
  <c r="U8" i="9"/>
  <c r="U7" i="9"/>
  <c r="AR6" i="9"/>
  <c r="AG6" i="9"/>
  <c r="U6" i="9"/>
  <c r="AM5" i="9"/>
  <c r="AS4" i="9"/>
  <c r="AM4" i="9"/>
  <c r="AG4" i="9"/>
  <c r="AA4" i="9"/>
  <c r="U4" i="9"/>
  <c r="AS2" i="9"/>
  <c r="T3" i="9"/>
  <c r="U3" i="9"/>
  <c r="V3" i="9" l="1"/>
  <c r="AL2" i="9"/>
  <c r="AN2" i="9" s="1"/>
  <c r="AF2" i="9"/>
  <c r="AH2" i="9" s="1"/>
  <c r="Z2" i="9"/>
  <c r="T2" i="9"/>
  <c r="AB2" i="9" l="1"/>
  <c r="V2" i="9"/>
  <c r="AR3" i="9"/>
  <c r="AT3" i="9" s="1"/>
  <c r="AR4" i="9"/>
  <c r="AT4" i="9" s="1"/>
  <c r="AR5" i="9"/>
  <c r="AT5" i="9" s="1"/>
  <c r="AT6" i="9"/>
  <c r="AR7" i="9"/>
  <c r="AT7" i="9" s="1"/>
  <c r="AR8" i="9"/>
  <c r="AT8" i="9" s="1"/>
  <c r="AR9" i="9"/>
  <c r="AT9" i="9" s="1"/>
  <c r="AR10" i="9"/>
  <c r="AT10" i="9" s="1"/>
  <c r="AR11" i="9"/>
  <c r="AT11" i="9" s="1"/>
  <c r="AR12" i="9"/>
  <c r="AT12" i="9" s="1"/>
  <c r="AR13" i="9"/>
  <c r="AT13" i="9" s="1"/>
  <c r="AR14" i="9"/>
  <c r="AT14" i="9" s="1"/>
  <c r="AR15" i="9"/>
  <c r="AT15" i="9" s="1"/>
  <c r="AR16" i="9"/>
  <c r="AT16" i="9" s="1"/>
  <c r="AR17" i="9"/>
  <c r="AT17" i="9" s="1"/>
  <c r="AR18" i="9"/>
  <c r="AT18" i="9" s="1"/>
  <c r="AR19" i="9"/>
  <c r="AT19" i="9" s="1"/>
  <c r="AR20" i="9"/>
  <c r="AR21" i="9"/>
  <c r="AT21" i="9" s="1"/>
  <c r="AR22" i="9"/>
  <c r="AT22" i="9" s="1"/>
  <c r="AT23" i="9"/>
  <c r="AR24" i="9"/>
  <c r="AT24" i="9" s="1"/>
  <c r="AR25" i="9"/>
  <c r="AT25" i="9" s="1"/>
  <c r="AT26" i="9"/>
  <c r="AR27" i="9"/>
  <c r="AT27" i="9" s="1"/>
  <c r="AR28" i="9"/>
  <c r="AT28" i="9" s="1"/>
  <c r="AR29" i="9"/>
  <c r="AT29" i="9" s="1"/>
  <c r="AR30" i="9"/>
  <c r="AT30" i="9" s="1"/>
  <c r="AR31" i="9"/>
  <c r="AT31" i="9" s="1"/>
  <c r="AR32" i="9"/>
  <c r="AT32" i="9" s="1"/>
  <c r="AR34" i="9"/>
  <c r="AT34" i="9" s="1"/>
  <c r="AR35" i="9"/>
  <c r="AT35" i="9" s="1"/>
  <c r="AR36" i="9"/>
  <c r="AT36" i="9" s="1"/>
  <c r="AR37" i="9"/>
  <c r="AT37" i="9" s="1"/>
  <c r="AR38" i="9"/>
  <c r="AT38" i="9" s="1"/>
  <c r="AR39" i="9"/>
  <c r="AT39" i="9" s="1"/>
  <c r="AR40" i="9"/>
  <c r="AT40" i="9" s="1"/>
  <c r="AR41" i="9"/>
  <c r="AT41" i="9" s="1"/>
  <c r="AR42" i="9"/>
  <c r="AT42" i="9" s="1"/>
  <c r="AT43" i="9"/>
  <c r="AR44" i="9"/>
  <c r="AT44" i="9" s="1"/>
  <c r="AR45" i="9"/>
  <c r="AT45" i="9" s="1"/>
  <c r="AR46" i="9"/>
  <c r="AT46" i="9" s="1"/>
  <c r="AR47" i="9"/>
  <c r="AT47" i="9" s="1"/>
  <c r="AR48" i="9"/>
  <c r="AT48" i="9" s="1"/>
  <c r="AR49" i="9"/>
  <c r="AT49" i="9" s="1"/>
  <c r="AR50" i="9"/>
  <c r="AT50" i="9" s="1"/>
  <c r="AR51" i="9"/>
  <c r="AT51" i="9" s="1"/>
  <c r="AR52" i="9"/>
  <c r="AT52" i="9" s="1"/>
  <c r="AR53" i="9"/>
  <c r="AT53" i="9" s="1"/>
  <c r="AR54" i="9"/>
  <c r="AT54" i="9" s="1"/>
  <c r="AR55" i="9"/>
  <c r="AT55" i="9" s="1"/>
  <c r="AR56" i="9"/>
  <c r="AT56" i="9" s="1"/>
  <c r="AR57" i="9"/>
  <c r="AT57" i="9" s="1"/>
  <c r="AT58" i="9"/>
  <c r="AR59" i="9"/>
  <c r="AT59" i="9" s="1"/>
  <c r="AR60" i="9"/>
  <c r="AT60" i="9" s="1"/>
  <c r="AR61" i="9"/>
  <c r="AT61" i="9" s="1"/>
  <c r="AR62" i="9"/>
  <c r="AT62" i="9" s="1"/>
  <c r="AR64" i="9"/>
  <c r="AT64" i="9" s="1"/>
  <c r="AR65" i="9"/>
  <c r="AT65" i="9" s="1"/>
  <c r="AR66" i="9"/>
  <c r="AT66" i="9" s="1"/>
  <c r="AR67" i="9"/>
  <c r="AT67" i="9" s="1"/>
  <c r="AR68" i="9"/>
  <c r="AR69" i="9"/>
  <c r="AT69" i="9" s="1"/>
  <c r="AR70" i="9"/>
  <c r="AT70" i="9" s="1"/>
  <c r="AR72" i="9"/>
  <c r="AT72" i="9" s="1"/>
  <c r="AR73" i="9"/>
  <c r="AT73" i="9" s="1"/>
  <c r="AR74" i="9"/>
  <c r="AT74" i="9" s="1"/>
  <c r="AR75" i="9"/>
  <c r="AT75" i="9" s="1"/>
  <c r="AR76" i="9"/>
  <c r="AT76" i="9" s="1"/>
  <c r="AR77" i="9"/>
  <c r="AT77" i="9" s="1"/>
  <c r="AR78" i="9"/>
  <c r="AT78" i="9" s="1"/>
  <c r="AR79" i="9"/>
  <c r="AT79" i="9" s="1"/>
  <c r="AR80" i="9"/>
  <c r="AT80" i="9" s="1"/>
  <c r="AR81" i="9"/>
  <c r="AT81" i="9" s="1"/>
  <c r="AT82" i="9"/>
  <c r="AR83" i="9"/>
  <c r="AT83" i="9" s="1"/>
  <c r="AR84" i="9"/>
  <c r="AT84" i="9" s="1"/>
  <c r="AR85" i="9"/>
  <c r="AT85" i="9" s="1"/>
  <c r="AR86" i="9"/>
  <c r="AT86" i="9" s="1"/>
  <c r="AR87" i="9"/>
  <c r="AT87" i="9" s="1"/>
  <c r="AR88" i="9"/>
  <c r="AT88" i="9" s="1"/>
  <c r="AR89" i="9"/>
  <c r="AT89" i="9" s="1"/>
  <c r="AR90" i="9"/>
  <c r="AT90" i="9" s="1"/>
  <c r="AR91" i="9"/>
  <c r="AT91" i="9" s="1"/>
  <c r="AR92" i="9"/>
  <c r="AT92" i="9" s="1"/>
  <c r="AR94" i="9"/>
  <c r="AT94" i="9" s="1"/>
  <c r="AR96" i="9"/>
  <c r="AT96" i="9" s="1"/>
  <c r="AR97" i="9"/>
  <c r="AT97" i="9" s="1"/>
  <c r="AR98" i="9"/>
  <c r="AT98" i="9" s="1"/>
  <c r="AR99" i="9"/>
  <c r="AT99" i="9" s="1"/>
  <c r="AR100" i="9"/>
  <c r="AT100" i="9" s="1"/>
  <c r="AR101" i="9"/>
  <c r="AT101" i="9" s="1"/>
  <c r="AR2" i="9"/>
  <c r="AT2" i="9" s="1"/>
  <c r="AL3" i="9"/>
  <c r="AN3" i="9" s="1"/>
  <c r="AL4" i="9"/>
  <c r="AN4" i="9" s="1"/>
  <c r="AL5" i="9"/>
  <c r="AN5" i="9" s="1"/>
  <c r="AL6" i="9"/>
  <c r="AN6" i="9" s="1"/>
  <c r="AL7" i="9"/>
  <c r="AN7" i="9" s="1"/>
  <c r="AL8" i="9"/>
  <c r="AN8" i="9" s="1"/>
  <c r="AL9" i="9"/>
  <c r="AN9" i="9" s="1"/>
  <c r="AL10" i="9"/>
  <c r="AN10" i="9" s="1"/>
  <c r="AL11" i="9"/>
  <c r="AN11" i="9" s="1"/>
  <c r="AL12" i="9"/>
  <c r="AN12" i="9" s="1"/>
  <c r="AL13" i="9"/>
  <c r="AN13" i="9" s="1"/>
  <c r="AL14" i="9"/>
  <c r="AN14" i="9" s="1"/>
  <c r="AL15" i="9"/>
  <c r="AN15" i="9" s="1"/>
  <c r="AL16" i="9"/>
  <c r="AN16" i="9" s="1"/>
  <c r="AL17" i="9"/>
  <c r="AN17" i="9" s="1"/>
  <c r="AL18" i="9"/>
  <c r="AN18" i="9" s="1"/>
  <c r="AL19" i="9"/>
  <c r="AN19" i="9" s="1"/>
  <c r="AL20" i="9"/>
  <c r="AL21" i="9"/>
  <c r="AN21" i="9" s="1"/>
  <c r="AL22" i="9"/>
  <c r="AN22" i="9" s="1"/>
  <c r="AL23" i="9"/>
  <c r="AN23" i="9" s="1"/>
  <c r="AL24" i="9"/>
  <c r="AN24" i="9" s="1"/>
  <c r="AL25" i="9"/>
  <c r="AN25" i="9" s="1"/>
  <c r="AN26" i="9"/>
  <c r="AL27" i="9"/>
  <c r="AN27" i="9" s="1"/>
  <c r="AL28" i="9"/>
  <c r="AN28" i="9" s="1"/>
  <c r="AL29" i="9"/>
  <c r="AN29" i="9" s="1"/>
  <c r="AL30" i="9"/>
  <c r="AN30" i="9" s="1"/>
  <c r="AL31" i="9"/>
  <c r="AN31" i="9" s="1"/>
  <c r="AL32" i="9"/>
  <c r="AN32" i="9" s="1"/>
  <c r="AL34" i="9"/>
  <c r="AN34" i="9" s="1"/>
  <c r="AL35" i="9"/>
  <c r="AN35" i="9" s="1"/>
  <c r="AL36" i="9"/>
  <c r="AN36" i="9" s="1"/>
  <c r="AL37" i="9"/>
  <c r="AN37" i="9" s="1"/>
  <c r="AL38" i="9"/>
  <c r="AN38" i="9" s="1"/>
  <c r="AL39" i="9"/>
  <c r="AN39" i="9" s="1"/>
  <c r="AL40" i="9"/>
  <c r="AN40" i="9" s="1"/>
  <c r="AL41" i="9"/>
  <c r="AN41" i="9" s="1"/>
  <c r="AL42" i="9"/>
  <c r="AN42" i="9" s="1"/>
  <c r="AN43" i="9"/>
  <c r="AL44" i="9"/>
  <c r="AN44" i="9" s="1"/>
  <c r="AL45" i="9"/>
  <c r="AN45" i="9" s="1"/>
  <c r="AL46" i="9"/>
  <c r="AN46" i="9" s="1"/>
  <c r="AL47" i="9"/>
  <c r="AN47" i="9" s="1"/>
  <c r="AL48" i="9"/>
  <c r="AN48" i="9" s="1"/>
  <c r="AL49" i="9"/>
  <c r="AN49" i="9" s="1"/>
  <c r="AL50" i="9"/>
  <c r="AN50" i="9" s="1"/>
  <c r="AL51" i="9"/>
  <c r="AN51" i="9" s="1"/>
  <c r="AL52" i="9"/>
  <c r="AN52" i="9" s="1"/>
  <c r="AL53" i="9"/>
  <c r="AN53" i="9" s="1"/>
  <c r="AL55" i="9"/>
  <c r="AN55" i="9" s="1"/>
  <c r="AL56" i="9"/>
  <c r="AN56" i="9" s="1"/>
  <c r="AL57" i="9"/>
  <c r="AN57" i="9" s="1"/>
  <c r="AN58" i="9"/>
  <c r="AL59" i="9"/>
  <c r="AL61" i="9"/>
  <c r="AN61" i="9" s="1"/>
  <c r="AL64" i="9"/>
  <c r="AN64" i="9" s="1"/>
  <c r="AL65" i="9"/>
  <c r="AN65" i="9" s="1"/>
  <c r="AL66" i="9"/>
  <c r="AN66" i="9" s="1"/>
  <c r="AL67" i="9"/>
  <c r="AN67" i="9" s="1"/>
  <c r="AL68" i="9"/>
  <c r="AL69" i="9"/>
  <c r="AN69" i="9" s="1"/>
  <c r="AL70" i="9"/>
  <c r="AN70" i="9" s="1"/>
  <c r="AL72" i="9"/>
  <c r="AN72" i="9" s="1"/>
  <c r="AL73" i="9"/>
  <c r="AN73" i="9" s="1"/>
  <c r="AL74" i="9"/>
  <c r="AN74" i="9" s="1"/>
  <c r="AL75" i="9"/>
  <c r="AL76" i="9"/>
  <c r="AN76" i="9" s="1"/>
  <c r="AL77" i="9"/>
  <c r="AN77" i="9" s="1"/>
  <c r="AL78" i="9"/>
  <c r="AN78" i="9" s="1"/>
  <c r="AL79" i="9"/>
  <c r="AN79" i="9" s="1"/>
  <c r="AL80" i="9"/>
  <c r="AN80" i="9" s="1"/>
  <c r="AL81" i="9"/>
  <c r="AN81" i="9" s="1"/>
  <c r="AN82" i="9"/>
  <c r="AL84" i="9"/>
  <c r="AN84" i="9" s="1"/>
  <c r="AL85" i="9"/>
  <c r="AN85" i="9" s="1"/>
  <c r="AL86" i="9"/>
  <c r="AN86" i="9" s="1"/>
  <c r="AL87" i="9"/>
  <c r="AN87" i="9" s="1"/>
  <c r="AL88" i="9"/>
  <c r="AN88" i="9" s="1"/>
  <c r="AL89" i="9"/>
  <c r="AN89" i="9" s="1"/>
  <c r="AL90" i="9"/>
  <c r="AN90" i="9" s="1"/>
  <c r="AL91" i="9"/>
  <c r="AN91" i="9" s="1"/>
  <c r="AL92" i="9"/>
  <c r="AN92" i="9" s="1"/>
  <c r="AL94" i="9"/>
  <c r="AN94" i="9" s="1"/>
  <c r="AL96" i="9"/>
  <c r="AL97" i="9"/>
  <c r="AN97" i="9" s="1"/>
  <c r="AL98" i="9"/>
  <c r="AN98" i="9" s="1"/>
  <c r="AL99" i="9"/>
  <c r="AN99" i="9" s="1"/>
  <c r="AL100" i="9"/>
  <c r="AN100" i="9" s="1"/>
  <c r="AL101" i="9"/>
  <c r="AN101" i="9" s="1"/>
  <c r="AF3" i="9"/>
  <c r="AH3" i="9" s="1"/>
  <c r="AF4" i="9"/>
  <c r="AH4" i="9" s="1"/>
  <c r="AF5" i="9"/>
  <c r="AH5" i="9" s="1"/>
  <c r="AF6" i="9"/>
  <c r="AH6" i="9" s="1"/>
  <c r="AF7" i="9"/>
  <c r="AH7" i="9" s="1"/>
  <c r="AF8" i="9"/>
  <c r="AH8" i="9" s="1"/>
  <c r="AF9" i="9"/>
  <c r="AH9" i="9" s="1"/>
  <c r="AF10" i="9"/>
  <c r="AH10" i="9" s="1"/>
  <c r="AF11" i="9"/>
  <c r="AH11" i="9" s="1"/>
  <c r="AF12" i="9"/>
  <c r="AH12" i="9" s="1"/>
  <c r="AF13" i="9"/>
  <c r="AH13" i="9" s="1"/>
  <c r="AF14" i="9"/>
  <c r="AH14" i="9" s="1"/>
  <c r="AF15" i="9"/>
  <c r="AH15" i="9" s="1"/>
  <c r="AF16" i="9"/>
  <c r="AH16" i="9" s="1"/>
  <c r="AF17" i="9"/>
  <c r="AH17" i="9" s="1"/>
  <c r="AF18" i="9"/>
  <c r="AH18" i="9" s="1"/>
  <c r="AF19" i="9"/>
  <c r="AH19" i="9" s="1"/>
  <c r="AF20" i="9"/>
  <c r="AF21" i="9"/>
  <c r="AH21" i="9" s="1"/>
  <c r="AF22" i="9"/>
  <c r="AH22" i="9" s="1"/>
  <c r="AF23" i="9"/>
  <c r="AH23" i="9" s="1"/>
  <c r="AF24" i="9"/>
  <c r="AH24" i="9" s="1"/>
  <c r="AF25" i="9"/>
  <c r="AH25" i="9" s="1"/>
  <c r="AH26" i="9"/>
  <c r="AF27" i="9"/>
  <c r="AH27" i="9" s="1"/>
  <c r="AF28" i="9"/>
  <c r="AH28" i="9" s="1"/>
  <c r="AF29" i="9"/>
  <c r="AH29" i="9" s="1"/>
  <c r="AF30" i="9"/>
  <c r="AH30" i="9" s="1"/>
  <c r="AF31" i="9"/>
  <c r="AH31" i="9" s="1"/>
  <c r="AF32" i="9"/>
  <c r="AH32" i="9" s="1"/>
  <c r="AF34" i="9"/>
  <c r="AH34" i="9" s="1"/>
  <c r="AF35" i="9"/>
  <c r="AH35" i="9" s="1"/>
  <c r="AH36" i="9"/>
  <c r="AF37" i="9"/>
  <c r="AH37" i="9" s="1"/>
  <c r="AF38" i="9"/>
  <c r="AH38" i="9" s="1"/>
  <c r="AF39" i="9"/>
  <c r="AH39" i="9" s="1"/>
  <c r="AF40" i="9"/>
  <c r="AH40" i="9" s="1"/>
  <c r="AF41" i="9"/>
  <c r="AH41" i="9" s="1"/>
  <c r="AF43" i="9"/>
  <c r="AH43" i="9" s="1"/>
  <c r="AF44" i="9"/>
  <c r="AH44" i="9" s="1"/>
  <c r="AF45" i="9"/>
  <c r="AH45" i="9" s="1"/>
  <c r="AF46" i="9"/>
  <c r="AH46" i="9" s="1"/>
  <c r="AF47" i="9"/>
  <c r="AH47" i="9" s="1"/>
  <c r="AF48" i="9"/>
  <c r="AH48" i="9" s="1"/>
  <c r="AF49" i="9"/>
  <c r="AH49" i="9" s="1"/>
  <c r="AF50" i="9"/>
  <c r="AH50" i="9" s="1"/>
  <c r="AF51" i="9"/>
  <c r="AH51" i="9" s="1"/>
  <c r="AF52" i="9"/>
  <c r="AH52" i="9" s="1"/>
  <c r="AF53" i="9"/>
  <c r="AH53" i="9" s="1"/>
  <c r="AF55" i="9"/>
  <c r="AH55" i="9" s="1"/>
  <c r="AF56" i="9"/>
  <c r="AH56" i="9" s="1"/>
  <c r="AF57" i="9"/>
  <c r="AH57" i="9" s="1"/>
  <c r="AH58" i="9"/>
  <c r="AF59" i="9"/>
  <c r="AF60" i="9"/>
  <c r="AH60" i="9" s="1"/>
  <c r="AF61" i="9"/>
  <c r="AH61" i="9" s="1"/>
  <c r="AF64" i="9"/>
  <c r="AH64" i="9" s="1"/>
  <c r="AF65" i="9"/>
  <c r="AH65" i="9" s="1"/>
  <c r="AF66" i="9"/>
  <c r="AH66" i="9" s="1"/>
  <c r="AF67" i="9"/>
  <c r="AH67" i="9" s="1"/>
  <c r="AF68" i="9"/>
  <c r="AF69" i="9"/>
  <c r="AH69" i="9" s="1"/>
  <c r="AF70" i="9"/>
  <c r="AH70" i="9" s="1"/>
  <c r="AF72" i="9"/>
  <c r="AH72" i="9" s="1"/>
  <c r="AF73" i="9"/>
  <c r="AH73" i="9" s="1"/>
  <c r="AF74" i="9"/>
  <c r="AH74" i="9" s="1"/>
  <c r="AF75" i="9"/>
  <c r="AH75" i="9" s="1"/>
  <c r="AF76" i="9"/>
  <c r="AH76" i="9" s="1"/>
  <c r="AF77" i="9"/>
  <c r="AH77" i="9" s="1"/>
  <c r="AF78" i="9"/>
  <c r="AH78" i="9" s="1"/>
  <c r="AF79" i="9"/>
  <c r="AH79" i="9" s="1"/>
  <c r="AF80" i="9"/>
  <c r="AH80" i="9" s="1"/>
  <c r="AF81" i="9"/>
  <c r="AH81" i="9" s="1"/>
  <c r="AH82" i="9"/>
  <c r="AF84" i="9"/>
  <c r="AH84" i="9" s="1"/>
  <c r="AF85" i="9"/>
  <c r="AH85" i="9" s="1"/>
  <c r="AF86" i="9"/>
  <c r="AH86" i="9" s="1"/>
  <c r="AF87" i="9"/>
  <c r="AH87" i="9" s="1"/>
  <c r="AF88" i="9"/>
  <c r="AH88" i="9" s="1"/>
  <c r="AF89" i="9"/>
  <c r="AH89" i="9" s="1"/>
  <c r="AF90" i="9"/>
  <c r="AH90" i="9" s="1"/>
  <c r="AF91" i="9"/>
  <c r="AH91" i="9" s="1"/>
  <c r="AF92" i="9"/>
  <c r="AH92" i="9" s="1"/>
  <c r="AF94" i="9"/>
  <c r="AH94" i="9" s="1"/>
  <c r="AF96" i="9"/>
  <c r="AH96" i="9" s="1"/>
  <c r="AF97" i="9"/>
  <c r="AH97" i="9" s="1"/>
  <c r="AF98" i="9"/>
  <c r="AH98" i="9" s="1"/>
  <c r="AF99" i="9"/>
  <c r="AH99" i="9" s="1"/>
  <c r="AF100" i="9"/>
  <c r="AH100" i="9" s="1"/>
  <c r="AF101" i="9"/>
  <c r="AH101" i="9" s="1"/>
  <c r="Z3" i="9"/>
  <c r="Z4" i="9"/>
  <c r="Z5" i="9"/>
  <c r="Z6" i="9"/>
  <c r="Z7" i="9"/>
  <c r="Z8" i="9"/>
  <c r="Z9" i="9"/>
  <c r="Z10" i="9"/>
  <c r="Z11" i="9"/>
  <c r="Z12" i="9"/>
  <c r="Z13" i="9"/>
  <c r="Z14" i="9"/>
  <c r="Z15" i="9"/>
  <c r="Z16" i="9"/>
  <c r="Z17" i="9"/>
  <c r="Z18" i="9"/>
  <c r="Z19" i="9"/>
  <c r="Z20" i="9"/>
  <c r="Z21" i="9"/>
  <c r="Z22" i="9"/>
  <c r="Z23" i="9"/>
  <c r="Z24" i="9"/>
  <c r="Z25" i="9"/>
  <c r="AB26" i="9"/>
  <c r="Z27" i="9"/>
  <c r="Z28" i="9"/>
  <c r="Z29" i="9"/>
  <c r="Z30" i="9"/>
  <c r="Z31" i="9"/>
  <c r="Z32" i="9"/>
  <c r="Z34" i="9"/>
  <c r="Z35" i="9"/>
  <c r="Z37" i="9"/>
  <c r="Z38" i="9"/>
  <c r="Z39" i="9"/>
  <c r="Z40" i="9"/>
  <c r="Z41" i="9"/>
  <c r="Z43" i="9"/>
  <c r="Z44" i="9"/>
  <c r="Z45" i="9"/>
  <c r="Z46" i="9"/>
  <c r="Z47" i="9"/>
  <c r="Z48" i="9"/>
  <c r="Z49" i="9"/>
  <c r="Z50" i="9"/>
  <c r="Z51" i="9"/>
  <c r="Z52" i="9"/>
  <c r="Z53" i="9"/>
  <c r="Z54" i="9"/>
  <c r="Z55" i="9"/>
  <c r="Z56" i="9"/>
  <c r="Z57" i="9"/>
  <c r="AB58" i="9"/>
  <c r="Z59" i="9"/>
  <c r="Z60" i="9"/>
  <c r="Z61" i="9"/>
  <c r="Z63" i="9"/>
  <c r="Z64" i="9"/>
  <c r="Z65" i="9"/>
  <c r="Z66" i="9"/>
  <c r="Z67" i="9"/>
  <c r="Z68" i="9"/>
  <c r="Z69" i="9"/>
  <c r="Z70" i="9"/>
  <c r="Z72" i="9"/>
  <c r="Z73" i="9"/>
  <c r="Z74" i="9"/>
  <c r="Z75" i="9"/>
  <c r="Z76" i="9"/>
  <c r="Z77" i="9"/>
  <c r="Z78" i="9"/>
  <c r="Z79" i="9"/>
  <c r="Z80" i="9"/>
  <c r="Z81" i="9"/>
  <c r="AB82" i="9"/>
  <c r="Z84" i="9"/>
  <c r="Z85" i="9"/>
  <c r="Z86" i="9"/>
  <c r="Z87" i="9"/>
  <c r="Z88" i="9"/>
  <c r="Z89" i="9"/>
  <c r="Z90" i="9"/>
  <c r="Z91" i="9"/>
  <c r="AB92" i="9"/>
  <c r="Z94" i="9"/>
  <c r="Z97" i="9"/>
  <c r="Z99" i="9"/>
  <c r="Z100" i="9"/>
  <c r="Z101" i="9"/>
  <c r="T4" i="9"/>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4" i="9"/>
  <c r="T35" i="9"/>
  <c r="T36" i="9"/>
  <c r="T37" i="9"/>
  <c r="T38" i="9"/>
  <c r="T39" i="9"/>
  <c r="T40" i="9"/>
  <c r="T41"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2" i="9"/>
  <c r="T73" i="9"/>
  <c r="T74" i="9"/>
  <c r="T75" i="9"/>
  <c r="T76" i="9"/>
  <c r="T77" i="9"/>
  <c r="T78" i="9"/>
  <c r="T80" i="9"/>
  <c r="T81" i="9"/>
  <c r="T82" i="9"/>
  <c r="T84" i="9"/>
  <c r="T85" i="9"/>
  <c r="T86" i="9"/>
  <c r="T87" i="9"/>
  <c r="T88" i="9"/>
  <c r="T89" i="9"/>
  <c r="T90" i="9"/>
  <c r="T91" i="9"/>
  <c r="T92" i="9"/>
  <c r="T94" i="9"/>
  <c r="T95" i="9"/>
  <c r="T96" i="9"/>
  <c r="T97" i="9"/>
  <c r="T98" i="9"/>
  <c r="T99" i="9"/>
  <c r="T100" i="9"/>
  <c r="T101" i="9"/>
  <c r="AB48" i="9" l="1"/>
  <c r="AB99" i="9"/>
  <c r="AB91" i="9"/>
  <c r="AB87" i="9"/>
  <c r="AB78" i="9"/>
  <c r="AB69" i="9"/>
  <c r="AB60" i="9"/>
  <c r="AB39" i="9"/>
  <c r="AB29" i="9"/>
  <c r="AB21" i="9"/>
  <c r="AB13" i="9"/>
  <c r="AB5" i="9"/>
  <c r="AB101" i="9"/>
  <c r="AB89" i="9"/>
  <c r="AB80" i="9"/>
  <c r="AB72" i="9"/>
  <c r="AB50" i="9"/>
  <c r="AB41" i="9"/>
  <c r="AB31" i="9"/>
  <c r="AB23" i="9"/>
  <c r="AB15" i="9"/>
  <c r="AB7" i="9"/>
  <c r="AB74" i="9"/>
  <c r="AB65" i="9"/>
  <c r="AB56" i="9"/>
  <c r="AB52" i="9"/>
  <c r="AB44" i="9"/>
  <c r="AB34" i="9"/>
  <c r="AB25" i="9"/>
  <c r="AB17" i="9"/>
  <c r="AB9" i="9"/>
  <c r="AB97" i="9"/>
  <c r="AB90" i="9"/>
  <c r="AB86" i="9"/>
  <c r="AB81" i="9"/>
  <c r="AB77" i="9"/>
  <c r="AB73" i="9"/>
  <c r="AB64" i="9"/>
  <c r="AB59" i="9"/>
  <c r="AB55" i="9"/>
  <c r="AB51" i="9"/>
  <c r="AB47" i="9"/>
  <c r="AB43" i="9"/>
  <c r="AB38" i="9"/>
  <c r="AB32" i="9"/>
  <c r="AB28" i="9"/>
  <c r="AB24" i="9"/>
  <c r="AB16" i="9"/>
  <c r="AB12" i="9"/>
  <c r="AB8" i="9"/>
  <c r="AB4" i="9"/>
  <c r="AB94" i="9"/>
  <c r="AB85" i="9"/>
  <c r="AB76" i="9"/>
  <c r="AB67" i="9"/>
  <c r="AB54" i="9"/>
  <c r="AB46" i="9"/>
  <c r="AB37" i="9"/>
  <c r="AB27" i="9"/>
  <c r="AB19" i="9"/>
  <c r="AB11" i="9"/>
  <c r="AB3" i="9"/>
  <c r="AB100" i="9"/>
  <c r="AB88" i="9"/>
  <c r="AB84" i="9"/>
  <c r="AB79" i="9"/>
  <c r="AB70" i="9"/>
  <c r="AB66" i="9"/>
  <c r="AB61" i="9"/>
  <c r="AB57" i="9"/>
  <c r="AB53" i="9"/>
  <c r="AB49" i="9"/>
  <c r="AB45" i="9"/>
  <c r="AB40" i="9"/>
  <c r="AB35" i="9"/>
  <c r="AB30" i="9"/>
  <c r="AB22" i="9"/>
  <c r="AB18" i="9"/>
  <c r="AB14" i="9"/>
  <c r="AB10" i="9"/>
  <c r="AB6" i="9"/>
  <c r="V95" i="9"/>
  <c r="V86" i="9"/>
  <c r="V76" i="9"/>
  <c r="V67" i="9"/>
  <c r="V59" i="9"/>
  <c r="V43" i="9"/>
  <c r="V34" i="9"/>
  <c r="V25" i="9"/>
  <c r="V13" i="9"/>
  <c r="V98" i="9"/>
  <c r="V94" i="9"/>
  <c r="V89" i="9"/>
  <c r="V85" i="9"/>
  <c r="V80" i="9"/>
  <c r="V75" i="9"/>
  <c r="V70" i="9"/>
  <c r="V66" i="9"/>
  <c r="V62" i="9"/>
  <c r="V58" i="9"/>
  <c r="V54" i="9"/>
  <c r="V50" i="9"/>
  <c r="V46" i="9"/>
  <c r="V41" i="9"/>
  <c r="V37" i="9"/>
  <c r="V32" i="9"/>
  <c r="V28" i="9"/>
  <c r="V24" i="9"/>
  <c r="V20" i="9"/>
  <c r="V16" i="9"/>
  <c r="V12" i="9"/>
  <c r="V8" i="9"/>
  <c r="V4" i="9"/>
  <c r="V100" i="9"/>
  <c r="V96" i="9"/>
  <c r="V91" i="9"/>
  <c r="V87" i="9"/>
  <c r="V82" i="9"/>
  <c r="V77" i="9"/>
  <c r="V73" i="9"/>
  <c r="V68" i="9"/>
  <c r="V64" i="9"/>
  <c r="V60" i="9"/>
  <c r="V56" i="9"/>
  <c r="V52" i="9"/>
  <c r="V48" i="9"/>
  <c r="V44" i="9"/>
  <c r="V39" i="9"/>
  <c r="V35" i="9"/>
  <c r="V30" i="9"/>
  <c r="V26" i="9"/>
  <c r="V22" i="9"/>
  <c r="V18" i="9"/>
  <c r="V14" i="9"/>
  <c r="V10" i="9"/>
  <c r="V6" i="9"/>
  <c r="V99" i="9"/>
  <c r="V90" i="9"/>
  <c r="V81" i="9"/>
  <c r="V72" i="9"/>
  <c r="V63" i="9"/>
  <c r="V55" i="9"/>
  <c r="V51" i="9"/>
  <c r="V47" i="9"/>
  <c r="V38" i="9"/>
  <c r="V29" i="9"/>
  <c r="V21" i="9"/>
  <c r="V17" i="9"/>
  <c r="V9" i="9"/>
  <c r="V5" i="9"/>
  <c r="V101" i="9"/>
  <c r="V97" i="9"/>
  <c r="V92" i="9"/>
  <c r="V88" i="9"/>
  <c r="V84" i="9"/>
  <c r="V78" i="9"/>
  <c r="V74" i="9"/>
  <c r="V69" i="9"/>
  <c r="V65" i="9"/>
  <c r="V61" i="9"/>
  <c r="V57" i="9"/>
  <c r="V53" i="9"/>
  <c r="V49" i="9"/>
  <c r="V45" i="9"/>
  <c r="V40" i="9"/>
  <c r="V36" i="9"/>
  <c r="V31" i="9"/>
  <c r="V27" i="9"/>
  <c r="V23" i="9"/>
  <c r="V19" i="9"/>
  <c r="V15" i="9"/>
  <c r="V11" i="9"/>
  <c r="V7" i="9"/>
  <c r="AD93" i="9"/>
  <c r="AF93" i="9" s="1"/>
  <c r="AH93" i="9" s="1"/>
  <c r="AE83" i="9"/>
  <c r="AF83" i="9" s="1"/>
  <c r="AH83" i="9" s="1"/>
  <c r="AC54" i="9"/>
  <c r="AF54" i="9" s="1"/>
  <c r="AH54" i="9" s="1"/>
  <c r="AC62" i="9"/>
  <c r="AF62" i="9" s="1"/>
  <c r="AH62" i="9" s="1"/>
  <c r="AC63" i="9"/>
  <c r="AG59" i="9" l="1"/>
  <c r="AH59" i="9" s="1"/>
  <c r="AM59" i="9"/>
  <c r="AN59" i="9" s="1"/>
  <c r="AE42" i="9" l="1"/>
  <c r="AF42" i="9" s="1"/>
  <c r="AH42" i="9" s="1"/>
  <c r="Y42" i="9"/>
  <c r="Z42" i="9" s="1"/>
  <c r="S42" i="9"/>
  <c r="T42" i="9" s="1"/>
  <c r="AB42" i="9" l="1"/>
  <c r="V42" i="9"/>
  <c r="X36" i="9"/>
  <c r="W36" i="9"/>
  <c r="AA33" i="9"/>
  <c r="Z36" i="9" l="1"/>
  <c r="AS20" i="9"/>
  <c r="AT20" i="9" s="1"/>
  <c r="AM20" i="9"/>
  <c r="AN20" i="9" s="1"/>
  <c r="AG20" i="9"/>
  <c r="AH20" i="9" s="1"/>
  <c r="AA20" i="9"/>
  <c r="AB20" i="9" s="1"/>
  <c r="AB36" i="9" l="1"/>
  <c r="X98" i="9" l="1"/>
  <c r="W98" i="9"/>
  <c r="AQ95" i="9"/>
  <c r="AR95" i="9" s="1"/>
  <c r="AT95" i="9" s="1"/>
  <c r="AK95" i="9"/>
  <c r="AL95" i="9" s="1"/>
  <c r="AN95" i="9" s="1"/>
  <c r="AE95" i="9"/>
  <c r="AF95" i="9" s="1"/>
  <c r="AH95" i="9" s="1"/>
  <c r="Y95" i="9"/>
  <c r="Z95" i="9" s="1"/>
  <c r="AP93" i="9"/>
  <c r="AR93" i="9" s="1"/>
  <c r="AT93" i="9" s="1"/>
  <c r="AJ93" i="9"/>
  <c r="AL93" i="9" s="1"/>
  <c r="AN93" i="9" s="1"/>
  <c r="X93" i="9"/>
  <c r="R93" i="9"/>
  <c r="T93" i="9" s="1"/>
  <c r="AM96" i="9"/>
  <c r="AN96" i="9" s="1"/>
  <c r="Y96" i="9"/>
  <c r="Z96" i="9" s="1"/>
  <c r="AK83" i="9"/>
  <c r="AL83" i="9" s="1"/>
  <c r="AN83" i="9" s="1"/>
  <c r="Y83" i="9"/>
  <c r="Z83" i="9" s="1"/>
  <c r="S83" i="9"/>
  <c r="T83" i="9" s="1"/>
  <c r="U79" i="9"/>
  <c r="R79" i="9"/>
  <c r="Q79" i="9"/>
  <c r="AM75" i="9"/>
  <c r="AN75" i="9" s="1"/>
  <c r="AA75" i="9"/>
  <c r="AB75" i="9" s="1"/>
  <c r="AS68" i="9"/>
  <c r="AT68" i="9" s="1"/>
  <c r="AM68" i="9"/>
  <c r="AN68" i="9" s="1"/>
  <c r="AG68" i="9"/>
  <c r="AH68" i="9" s="1"/>
  <c r="AA68" i="9"/>
  <c r="AB68" i="9" s="1"/>
  <c r="AP63" i="9"/>
  <c r="AO63" i="9"/>
  <c r="AM63" i="9"/>
  <c r="AJ63" i="9"/>
  <c r="AI63" i="9"/>
  <c r="AD63" i="9"/>
  <c r="AF63" i="9" s="1"/>
  <c r="AH63" i="9" s="1"/>
  <c r="AA63" i="9"/>
  <c r="AB63" i="9" s="1"/>
  <c r="AI62" i="9"/>
  <c r="AL62" i="9" s="1"/>
  <c r="AN62" i="9" s="1"/>
  <c r="W62" i="9"/>
  <c r="AJ60" i="9"/>
  <c r="AL60" i="9" s="1"/>
  <c r="AN60" i="9" s="1"/>
  <c r="AI54" i="9"/>
  <c r="AL54" i="9" s="1"/>
  <c r="AN54" i="9" s="1"/>
  <c r="AL63" i="9" l="1"/>
  <c r="AN63" i="9" s="1"/>
  <c r="AB83" i="9"/>
  <c r="AB95" i="9"/>
  <c r="AB96" i="9"/>
  <c r="V93" i="9"/>
  <c r="V83" i="9"/>
  <c r="Z93" i="9"/>
  <c r="Z98" i="9"/>
  <c r="Z62" i="9"/>
  <c r="AR63" i="9"/>
  <c r="AT63" i="9" s="1"/>
  <c r="T79" i="9"/>
  <c r="AB98" i="9" l="1"/>
  <c r="AB62" i="9"/>
  <c r="AB93" i="9"/>
  <c r="V79" i="9"/>
  <c r="AR33" i="9" l="1"/>
  <c r="AT33" i="9" s="1"/>
  <c r="AL33" i="9" l="1"/>
  <c r="AN33" i="9" s="1"/>
  <c r="Z33" i="9"/>
  <c r="AB33" i="9" l="1"/>
  <c r="T33" i="9"/>
  <c r="V33" i="9" l="1"/>
  <c r="AF33" i="9"/>
  <c r="AH33"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A8B6B9-32AE-4FAF-8DF9-F0413743696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B8CD19A-E839-4DCD-B718-9C955DA5508C}" name="WorksheetConnection_Company Tracker _ Meng Sustainability Project.xlsx!Table1" type="102" refreshedVersion="6" minRefreshableVersion="5">
    <extLst>
      <ext xmlns:x15="http://schemas.microsoft.com/office/spreadsheetml/2010/11/main" uri="{DE250136-89BD-433C-8126-D09CA5730AF9}">
        <x15:connection id="Table1">
          <x15:rangePr sourceName="_xlcn.WorksheetConnection_CompanyTracker_MengSustainabilityProject.xlsxTable11"/>
        </x15:connection>
      </ext>
    </extLst>
  </connection>
</connections>
</file>

<file path=xl/sharedStrings.xml><?xml version="1.0" encoding="utf-8"?>
<sst xmlns="http://schemas.openxmlformats.org/spreadsheetml/2006/main" count="1588" uniqueCount="485">
  <si>
    <t>N</t>
  </si>
  <si>
    <t>Y</t>
  </si>
  <si>
    <t>Communication Services</t>
  </si>
  <si>
    <t>Consumer Discretionary</t>
  </si>
  <si>
    <t>Consumer Staples</t>
  </si>
  <si>
    <t>Energy</t>
  </si>
  <si>
    <t>Financial Services</t>
  </si>
  <si>
    <t>Healthcare</t>
  </si>
  <si>
    <t>Industrials</t>
  </si>
  <si>
    <t>Materials</t>
  </si>
  <si>
    <t>Real Estate</t>
  </si>
  <si>
    <t>Technology</t>
  </si>
  <si>
    <t>Utilities</t>
  </si>
  <si>
    <t>2019 Net Scope 1 + 2 Emissions</t>
  </si>
  <si>
    <t>2018 Net Scope 1 + 2 Emissions</t>
  </si>
  <si>
    <t>2017 Net Scope 1 + 2 Emissions</t>
  </si>
  <si>
    <t>2016 Net Scope 1 + 2 Emissions</t>
  </si>
  <si>
    <t>Company Name</t>
  </si>
  <si>
    <t>Sector</t>
  </si>
  <si>
    <t>Industry</t>
  </si>
  <si>
    <t>Size (2019 Revenue)</t>
  </si>
  <si>
    <t>Net Earnings/Income (2019)</t>
  </si>
  <si>
    <t>IPO Year</t>
  </si>
  <si>
    <t>S&amp;P 100? (Y/N)</t>
  </si>
  <si>
    <t>Carbon Neutral Goal? (Y/N)</t>
  </si>
  <si>
    <t>Science-Based Target? (Y/N)</t>
  </si>
  <si>
    <t>Carbon Neutral by.... (year)</t>
  </si>
  <si>
    <t>Carbon Neutral Announcement (year)</t>
  </si>
  <si>
    <t>Carbon Goal (if non-zero)</t>
  </si>
  <si>
    <t>Reliance on Offsets? (Y/N)</t>
  </si>
  <si>
    <t>RE100 Commitment? (Y/N)</t>
  </si>
  <si>
    <t>100% Renewable Energy by... (year)</t>
  </si>
  <si>
    <t>2019 Scope 1 (MeT Co2)</t>
  </si>
  <si>
    <t xml:space="preserve">2019 Scope 2 </t>
  </si>
  <si>
    <t>2019 Offsets Purchased</t>
  </si>
  <si>
    <t xml:space="preserve">2019 Scope 3 </t>
  </si>
  <si>
    <t>2019 Total Scope 1, 2 + 3</t>
  </si>
  <si>
    <t>2018 Scope 1</t>
  </si>
  <si>
    <t>2018 Scope 2</t>
  </si>
  <si>
    <t>2018 Offsets Purchased</t>
  </si>
  <si>
    <t>2018 Scope 3</t>
  </si>
  <si>
    <t>2018 Total Scope 1, 2 + Scope 3</t>
  </si>
  <si>
    <t>2017 Scope 1</t>
  </si>
  <si>
    <t>2017 Scope 2</t>
  </si>
  <si>
    <t>2017 Offsets Purchased</t>
  </si>
  <si>
    <t>2017 Scope 3</t>
  </si>
  <si>
    <t>2017 Total Scope 1, 2 + 3</t>
  </si>
  <si>
    <t>2016 Scope 1</t>
  </si>
  <si>
    <t>2016 Scope 2</t>
  </si>
  <si>
    <t>2016 Offsets Purchased</t>
  </si>
  <si>
    <t>2016 Scope 3</t>
  </si>
  <si>
    <t>2016 Total Scope 1, 2 + 3</t>
  </si>
  <si>
    <t>2015 Scope 1</t>
  </si>
  <si>
    <t>2015 Scope 2</t>
  </si>
  <si>
    <t>2015 Offsets Purchased</t>
  </si>
  <si>
    <t>2015 Net Scope 1 + 2 Emissions</t>
  </si>
  <si>
    <t>2015 Scope 3</t>
  </si>
  <si>
    <t>2015 Total Scope 1, 2 + 3</t>
  </si>
  <si>
    <t>Policy Arm?</t>
  </si>
  <si>
    <t>Initiatives for Carbon Neutrality</t>
  </si>
  <si>
    <t>Notes</t>
  </si>
  <si>
    <t>Sources</t>
  </si>
  <si>
    <t>3M</t>
  </si>
  <si>
    <t>Specialty Industrials</t>
  </si>
  <si>
    <t>-Policy engagement through lobbying and employee PAC specific to climate change and energy conservation</t>
  </si>
  <si>
    <t>Abbott Laboratories</t>
  </si>
  <si>
    <t>Medical Devices</t>
  </si>
  <si>
    <t>- 40% reduction from base year (2010- 1237)</t>
  </si>
  <si>
    <t>AbbVie Inc.</t>
  </si>
  <si>
    <t>Drug Manufacturers</t>
  </si>
  <si>
    <t>- 50% RE in 2025
'- 50% GHG reduction by 2035 from 2015 baseline</t>
  </si>
  <si>
    <t>Accenture</t>
  </si>
  <si>
    <t>Information Technology Services</t>
  </si>
  <si>
    <t>Adobe Inc.</t>
  </si>
  <si>
    <t>Software</t>
  </si>
  <si>
    <t>Allstate Corp</t>
  </si>
  <si>
    <t>Insurance</t>
  </si>
  <si>
    <t>-location based scope 2 only
-In 2010, Allstate set a goal to achieve a 20% absolute
energy-use reduction within our owned portfolio (approximately
39% of all locations at the time) against our 2007 baseline by
2020. Thanks to efforts across the enterprise, we surpassed that
2020 goal in 2014.</t>
  </si>
  <si>
    <t>Alphabet Inc. / Google</t>
  </si>
  <si>
    <t>Internet Content</t>
  </si>
  <si>
    <t>- All GHG emissions neutralized by carbon offset projects (40 carbon offset projects since 2007)
- In 2018, matched 100% of the electricity consumption of global operations with renewable energy for the second consecutive year (Since 2011, reduced cumulative Scope 1 and 2 GHG emissions by 52% by procuring renewable energy)
- Since 2011, carbon intensity per unit of revenue has decreased by 86%</t>
  </si>
  <si>
    <t>Altria Group Inc</t>
  </si>
  <si>
    <t>Tobacco</t>
  </si>
  <si>
    <t>Reduce absolute Scope 1 &amp;2 greenhouse gas emissions by 55% by 2030 vs. 2017
Reduce absolute Scope 3 greenhouse gas emissions by 18% by 2030 vs. 2017 
Achieve 100% renewable electricity by 2030 (currently at 2.3%)
Reduce waste sent to landfill by 25% by 2030 vs. 2017
 Achieve 100% water neutrality annually</t>
  </si>
  <si>
    <t>Amazon.com Inc.</t>
  </si>
  <si>
    <t>Retail</t>
  </si>
  <si>
    <t>- $2 Billion Climate Pledge Fund to Invest in Companies Building Products, Services, and Technologies to Decarbonize the Economy and Protect the Planet
- $100 million Right Now Climate Fund that is investing in nature-based solutions and reforestation projects around the world, including a reforestation project in the Appalachians in the U.S. and an urban greening initiative in Berlin, Germany
- To date, Amazon has 91 renewable energy projects, including 31 utility-scale wind and solar projects and 60 solar rooftops on fulfillment centers and sort centers around the globe. Together, these projects totaling over 2,900 MW of capacity will deliver more than 7.6 million MWh of renewable energy annually, enough to power 680,000 U.S. homes
- Since 2015, has lowered the weight of outbound packaging by 33% and eliminated more than 880,000 tons of packaging material, the equivalent of 1.5 billion shipping boxes
- Making all Amazon shipments net zero carbon through Shipment Zero, with 50% of all shipments net zero carbon by 2030
- Deploying 100,000 electric delivery vehicles starting in 2021</t>
  </si>
  <si>
    <t>- https://news.theceomagazine.com/environment/amazon-pollution/
- https://press.aboutamazon.com/news-releases/news-release-details/amazon-announces-2-billion-climate-pledge-fund-invest-companies
- https://sustainability.aboutamazon.com/
- https://sustainability.aboutamazon.com/environment/sustainable-operations/carbon-footprint
- https://d39w7f4ix9f5s9.cloudfront.net/26/7f/e1693ffc45db88d839a4734b46e7/amazon-2018-carbon-footprint.pdf</t>
  </si>
  <si>
    <t>American Express</t>
  </si>
  <si>
    <t>Credit Services</t>
  </si>
  <si>
    <t>- No initiatives worth mentioning- just nonspecific "investments" and "frameworks" for clients</t>
  </si>
  <si>
    <t>American Tower</t>
  </si>
  <si>
    <t>- Science based targets IN DEVELOPMENT
- Carbon neutral only for US, not global
- Investing over $100 million in energy-efficient technologies at the site level (e.g., transitioning to new lithium-ion batteries [LIBs] and LED lighting) and site-based green energy solutions (e.g., solar photovoltaic power generation)</t>
  </si>
  <si>
    <t>Amgen Inc.</t>
  </si>
  <si>
    <t>-10% reduction in scope 1 emissions from base year (2012) by 2020- 119968
-20% reduction in scope 2 emissions form base year - 286679</t>
  </si>
  <si>
    <t>Apple Inc.</t>
  </si>
  <si>
    <t>Electronics</t>
  </si>
  <si>
    <t>https://www.apple.com/environment/pdf/Apple_Environmental_Responsibility_Report_2019.pdf</t>
  </si>
  <si>
    <t>AT&amp;T Inc.</t>
  </si>
  <si>
    <t>Telecom Services</t>
  </si>
  <si>
    <t>-Reducing absolute Scope 1 and Scope 2 greenhouse gas (GHG) emissions 26% by 2030, from a 2015 base year
- Virtualization of many network functions
- Transitioning to a low-emissions fleet
- Accelerating energy efficiency and network optimization efforts
- Expanding sustainable feature film and TV production
- Supporting the renewable energy marketplace through PPAs with renewable energy providers
- Investing in carbon offsets</t>
  </si>
  <si>
    <t>- https://about.att.com/csr/home/reporting/issue-brief/greenhouse-gas-emissions.html
-https://about.att.com/story/2020/att_carbon_neutral.html#:~:text=AT%26T%20has%20committed%20to%20be,30%20years%20into%20the%20future.</t>
  </si>
  <si>
    <t>Bank of America</t>
  </si>
  <si>
    <t>Banks</t>
  </si>
  <si>
    <t>- Reduced market-based emissions by 89% from 2010 to 2020, primarily by consolidating space, implementing energy-efficient projects, and puchasing renewable energy
- Purchased 1.8 million mWh of renewable electricity in 2018, which amounts to 91% of global energy use
- Installed on-site solar on offices, financial centers, and ATMs
- Reduced energy use by 40% from 2010 to 2020
- Reduced location-based emissions by 52% from 2010 to 2020, primarily as a result of the energy reductions achieved
- Maintain LEED certification for 25% of buildings globally</t>
  </si>
  <si>
    <t>- https://about.bankofamerica.com/en-us/global-impact/env-operations-detail.html#fbid=4M45J4eZdUh
- https://newsroom.bankofamerica.com/press-releases/environment/bank-america-achieves-carbon-neutrality
- https://about.bankofamerica.com/assets/pdf/Bank-of-America-2018-ESG-Performance-Data-Summary.pdf
- https://www.environmentalleader.com/2020/01/bank-of-america-announces-carbon-neutrality-one-year-ahead-of-schedule/</t>
  </si>
  <si>
    <t>Berkshire Hathaway Inc.</t>
  </si>
  <si>
    <t>Biogen Inc.</t>
  </si>
  <si>
    <t>BlackRock Inc.</t>
  </si>
  <si>
    <t>Asset Management</t>
  </si>
  <si>
    <t>Target to reduce emissions per employee by 45% by 2020, reduced 33% as of 2018</t>
  </si>
  <si>
    <t>Boeing</t>
  </si>
  <si>
    <t>Aerospace </t>
  </si>
  <si>
    <t>Booking Holdings Inc.</t>
  </si>
  <si>
    <t>Hospitality</t>
  </si>
  <si>
    <t>Bristol Myers Squibb</t>
  </si>
  <si>
    <t>-5% (absolute) or greater reduction of water and
greenhouse gas (GHG) emissions from
2015 baseline.</t>
  </si>
  <si>
    <t>Capital One Financial</t>
  </si>
  <si>
    <t>- Green energy offsets, not emissions offsets</t>
  </si>
  <si>
    <t>https://ir-capitalone.gcs-web.com/news-releases/news-release-details/capital-one-reports-fourth-quarter-2019-net-income-12-billion-or</t>
  </si>
  <si>
    <t>Caterpillar Inc.</t>
  </si>
  <si>
    <t>Machinery</t>
  </si>
  <si>
    <t>-GHG emissions intensity reduction goal is based on our
combined Scope 1 (direct) and Scope 2 (indirect, marketbased) GHG emissions using a 2006 baseline year. Likewise,
total absolute GHG emissions are a sum of Scope 1 and
Scope 2 (market-based) emissions.
-Targets based on GHG/Energy intensity</t>
  </si>
  <si>
    <t>Charter Communications Inc.</t>
  </si>
  <si>
    <t>Entertainment</t>
  </si>
  <si>
    <t>Chevron</t>
  </si>
  <si>
    <t>Oil and Gas</t>
  </si>
  <si>
    <t>-Significant player in trade associations that influence policy</t>
  </si>
  <si>
    <t>Cisco Systems</t>
  </si>
  <si>
    <t>-Goal: Reduce total Cisco Scope 1 and 2 GHG
emissions worldwide by 60 percent absolute by
FY22 (FY07 baseline)
- Use electricity from renewable sources for 85% of electricity by FY22 (KPI tracked not clear/available)
-Date announced 2017</t>
  </si>
  <si>
    <t>Citigroup Inc.</t>
  </si>
  <si>
    <t>-Use policy arm to champion climate-poistive acitivies more broadly</t>
  </si>
  <si>
    <t>Coca-Cola</t>
  </si>
  <si>
    <t>Food &amp; Beverage</t>
  </si>
  <si>
    <t>-And this goal has proven a worthy ambition as we
managed to cut our carbon footprint by 24%
toward our target of a 25% reduction by the
end of 2020, against a 2010 baseline.
-Targets include plastic recycling</t>
  </si>
  <si>
    <t>Colgate-Palmolive</t>
  </si>
  <si>
    <t>Household &amp; Personal Products</t>
  </si>
  <si>
    <t>-Purhcase of renewable energy certificates/ offsets
-Currently at 28% renewable energy</t>
  </si>
  <si>
    <t>Comcast</t>
  </si>
  <si>
    <t>ConocoPhillips</t>
  </si>
  <si>
    <t>-Work with Climate leadership council and API climate working group to develop and implement US carbon tax design
- report includes ESG ratings from Sustainalytics, DJSI, Bloomberg, MSCI, and CDP</t>
  </si>
  <si>
    <t>Costco</t>
  </si>
  <si>
    <t xml:space="preserve">-Vague </t>
  </si>
  <si>
    <t>CVS Health</t>
  </si>
  <si>
    <t>- Reduce aboslute scope 1 and 2 GHG by 36% from 2010 base by 2030</t>
  </si>
  <si>
    <t>Danaher</t>
  </si>
  <si>
    <t>Diagnostics</t>
  </si>
  <si>
    <t>Dow Inc.</t>
  </si>
  <si>
    <t>Chemicals</t>
  </si>
  <si>
    <t xml:space="preserve">-Incorporate carbon pricing into business planning and prioritizing capital projects
-Maintain scope 1 &amp;2 emissions below 2006 baseline (42.6 Million tonnes)
- Advocating for a circular economy
-Participate in world economic forum low carbon tech   </t>
  </si>
  <si>
    <t>Duke Energy</t>
  </si>
  <si>
    <t>- Enables participants of RE100 by providing RE sources
- 50% CO2 emissions by 2030
- Reports include methane and SF6 emissions in CO2 equivalents</t>
  </si>
  <si>
    <t>DuPont</t>
  </si>
  <si>
    <t>- The Grindsted, Denmark plant is 100% carbon neutral
- Reduce greenhouse gas (GHGs) emissions 30%,
including sourcing 60% of electricity from renewable energy
by 2030, and deliver carbon neutral operations by 2050
- Positions in various associations (i.e US chamber of commerce climate change task force, World business council for sustainable development, etc)</t>
  </si>
  <si>
    <t>Eli Lilly</t>
  </si>
  <si>
    <t>- goals are vague but progress is being measured and communicated</t>
  </si>
  <si>
    <t>Emerson Electric</t>
  </si>
  <si>
    <t>- Developed a universal integrated resouce efficiency metric based on thermodynamics to help policymakers measure efficiency raw materials/energy are used in production of product or service</t>
  </si>
  <si>
    <t>Exelon</t>
  </si>
  <si>
    <t>-Policy engagement through trade associations like American Gas association, Energy Storage Association</t>
  </si>
  <si>
    <t>Exxon Mobil</t>
  </si>
  <si>
    <t>-Targets around flaring, but not total GHG reduction targets
- Policy engagement through trade associations, lobbying, and employee political contributions (PAC)
- Large emphasis on development of algae biofuels and carbon capture technology but no measures on emissions offsets as a result of tech development</t>
  </si>
  <si>
    <t>Facebook, Inc.</t>
  </si>
  <si>
    <t>-Policy engagement through coalitions like "We are Still In" and "Greenpeace's Clicking clean Initiative"
-No offset or Scope 3 data available- data difficult to find</t>
  </si>
  <si>
    <t>FedEx</t>
  </si>
  <si>
    <t>Logistics</t>
  </si>
  <si>
    <t>-Target reductions focus on intensity, not overall emissions (30% reduction in aircraft emissions intenisity by 2020 from 2005 baseline)
- Participants in renewable energy buyers alliance, electrification coalition, and other alliances to engage in policy</t>
  </si>
  <si>
    <t>Ford Motor Company</t>
  </si>
  <si>
    <t>Automotive</t>
  </si>
  <si>
    <t xml:space="preserve">Y </t>
  </si>
  <si>
    <t>-- working with California on Clean Car standards starting in 2019</t>
  </si>
  <si>
    <t>General Dynamics</t>
  </si>
  <si>
    <t xml:space="preserve">- No clear informationon goals or emissions data available </t>
  </si>
  <si>
    <t>General Electric</t>
  </si>
  <si>
    <t>General Motors</t>
  </si>
  <si>
    <t>Gilead Sciences Inc.</t>
  </si>
  <si>
    <t>-Practicing green chemistry principles
- No policy arm specific to climate change/ carbon neutrality</t>
  </si>
  <si>
    <t>Goldman Sachs Group</t>
  </si>
  <si>
    <t>- founding member of Climate Leadership Council (CLC), advocating for a revenue-neutral carbon fee and dividend plan
- $2 billion in green operational investments to drive energy efficiency
- Aiming to reduce energy intensity by 20% by 2025 (from 2015 baseline)
- Certified 70 percent of offices to a green-building standard
- Committed all new construction to be LEED Gold-certified or equivalent
- Extend the green building certification of ISO 20121 standards to off-site events
-scope 3 just business travel</t>
  </si>
  <si>
    <t>- https://www.goldmansachs.com/what-we-do/sustainable-finance/documents/carbon-emissions-verification.pdf
- https://www.goldmansachs.com/what-we-do/sustainable-finance/documents/reports/2019-sustainability-report.pdf
- https://www.goldmansachs.com/citizenship/sustainability-reporting/esg-content/esg-report-2017.pdf
- https://www.goldmansachs.com/what-we-do/sustainable-finance/our-sustainability-journey/#:~:text=2009%3A%20Committing%20to%20Carbon%20Neutrality,neutral%20starting%20from%202015%20onwards.</t>
  </si>
  <si>
    <t>Home Depot</t>
  </si>
  <si>
    <t>From 2018 baseline, 40% reduction by 2030 and 50% reduction by 2035</t>
  </si>
  <si>
    <t>- Investing in on-site solar
- Previous projects in energy efficiency (lighting, air conditioning) and supply and demand balancing on the grid</t>
  </si>
  <si>
    <t>- https://corporate.homedepot.com/responsibility/protecting-the-climate
- https://live-home-depot-corporate.pantheonsite.io/sites/default/files/2019_Responsibility%20Report_FINAL_Master_Update.png_.pdf
- https://corporate.homedepot.com/sites/default/files/pdfs/2018_ResponsibilityReport_FINAL_LRS.PDF
- https://corporate.homedepot.com/sites/default/files/image_gallery/PDFs/THD_Responsibility%20Report%202017.pdf
- https://corporate.homedepot.com/sites/default/files/THD_0039_2015_Sustainability_Report_Online_Nov_10.pdf</t>
  </si>
  <si>
    <t>Honeywell Inc.</t>
  </si>
  <si>
    <t>Reduce emissions by an additional 10% per dollar of revenue from 2018 levels (no target date specified)</t>
  </si>
  <si>
    <t>- In 2019, Honeywell set a new five-year “10-10-10” target to reduce global greenhouse gas emissions by an additional 10% per dollar of revenue from 2018 levels, to deploy on at least 10 renewable energy opportunities, and to achieve certification to ISO’s 50001 Energy Management Standard at 10 facilities, all by 2024
- Systematically replacing lighting at our sites with LED technologies - over 800 LED lighting projects for an annualized savings of $7.5 million, 37,000 metric tons CO2e and 250 BBTU
- Over 400 projects to systematically address air leaks, optimize compressed air usage, and upgrade equipment, saving an annualized $9.2 million, 45,500 metric tons CO2e and 300 BBTU
- Energy awareness and kaizen events to engage employees in the identification of sustainability-related savings opportunities. For example, our Safety and Productivity Solutions business targeted its top 20 sites and generated over 200 energy savings ideas with 25% costing little or nothing to implement and potential annualized savings of $500,000
- Largest sites are required to identify their significant energy use in line with ISO 50001, obtain an energy audit on an established cycle, train personnel on energy management, and track identified projects via our standard database</t>
  </si>
  <si>
    <t>- https://www.honeywell.com/content/dam/honeywell/files/Corporate_Citizenship_Report.pdf
- https://www.honeywell.com/content/dam/honeywell/files/Honeywell%20Greenhouse%20Gas%20Reporting%20Data-apr19.pdf</t>
  </si>
  <si>
    <t>IBM Corp.</t>
  </si>
  <si>
    <t>Reduce emissions 40% from 2005 to 2025</t>
  </si>
  <si>
    <t>55% by 2025</t>
  </si>
  <si>
    <t>- Virtualized and decommissioned over 152,000 servers from 2015 to 2017, saving 245 gigawatthours of electricity and $32.1 million
- Optimizing the use of energy across our operations (implemented approximately 1,900 energy conservation projects at nearly 300 locations in 2018)
- Purchasing renewable electricity where it makes both business and environmental sense
- Designing energy-efficient products
- Providing services and solutions that support our clients’ efforts to improve their operational efficiency
and reduce their climate impacts</t>
  </si>
  <si>
    <t>- https://www.ibm.com/ibm/environment/annual/IBMEnvReport_2018.pdf
- https://www.ibm.com/ibm/environment/climate/ghg.shtml
- https://www.ibm.com/ibm/environment/annual/IBMEnvReport_2017.pdf
- https://www.ibm.com/ibm/environment/annual/IBMEnvReport_2016.pdf</t>
  </si>
  <si>
    <t>Intel Corp.</t>
  </si>
  <si>
    <t>~1,400,000 Scope 1 + 2 by 2040 (in line with IPCC Reduction Target)</t>
  </si>
  <si>
    <t>2030 goals:
• Achieve 100% renewable energy use across our global manufacturing operations
• Conserve an additional 4 billion kWh of energy
• Drive an additional 10% reduction in our absolute Scope 1 and 2 carbon
emissions as we grow, informed by climate science
• Increase product energy efficiency 10x for Intel client and server microprocessors
to reduce our Scope 3 emissions
- Invested more than $145 million in energy-conservation projects (saving an estimated 3.19 billion kWh of energy)
- Installed more than 40 on-site projects that use solar, wind, fuel cell, and other alternative energy sources worldwide
- Remained the largest voluntary purchaser of green power in the United States
- Sustainability metrics tied to executive and employee performance since 2008
- Working on creating a carbon neutral PC / carbon neutral computing
- Policy engagement-collaborated with technology industry and EPA to influence  energy consumption targets for notebooks and desktop PCs</t>
  </si>
  <si>
    <t>- https://csrreportbuilder.intel.com/pdfbuilder/pdfs/CSR-2019-20-Full-Report.pdf
- http://csrreportbuilder.intel.com/pdfbuilder/pdfs/CSR-2018-Full-Report.pdf
- https://csrreportbuilder.intel.com/PDFfiles/CSR-2017_Full-Report.pdf
- https://csrreportbuilder.intel.com/PDFfiles/CSR-2016_Full-Report.pdf
- http://csrreportbuilder.intel.com/PDFfiles/CSR-2015_Full-Report.pdf</t>
  </si>
  <si>
    <t>Johnson &amp; Johnson</t>
  </si>
  <si>
    <t>Reduce Scope 1 + 2 emissions by 80% by 2050, from 2010 baseline
2010 Scope 1: 358,000
Scope 2: 898,000</t>
  </si>
  <si>
    <t>- Investing in energy efficiency programs through our CO2 Capital Relief Program
- Reduced Scope 1 and Scope 2 GHG emissions by 32% since 2010 (in 2019), exceeding 2020 target
- 13% of all built space is LEED certified
- Became founding members of the Renewable Energy Buyers Alliance (REBA) to advance a zero-carbon energy and secured four new PPAs totaling over 370,000 megawatt-hours (MWh) per year, and installed a 3.4 MW capacity windmill at Belgium chemical plant
- Aiming for 35% renewable energy by 2020</t>
  </si>
  <si>
    <t>- https://healthforhumanityreport.jnj.com/environmental-health/climate-resilience
- https://www.jnj.com/_document/2017-health-for-humanity-report-johnson-johnson?id=0000016c-4ece-dd15-a37d-6feeda030000
- https://healthforhumanityreport.jnj.com/_document/health-for-humanity-2020-goals-scorecard?id=00000172-5b7e-d027-a1fa-fb7e9b460000</t>
  </si>
  <si>
    <t>JPMorgan Chase &amp; Co.</t>
  </si>
  <si>
    <t>- 100% renewable energy by 2020 through on-site renewable energy, PPAs, and RECs
- Created a dedicated risk team focused on climate
- Integrated climate-related risks into the processes the firm uses to identify, assess and review the most material risks to our business
- Evaluating stress testing approaches to deepen understanding of the relationship between climate change and financial impact to the firm
- Offset 100% of employee air and rail travel emissions in 2019
-joined Climate Leadership Council, which promotes a bipartisan roadmap for a revenue neutral carbon tax-and-dividend in the US
- Scope 3: + (just employee air travel)</t>
  </si>
  <si>
    <t>- https://institute.jpmorganchase.com/content/dam/jpmc/jpmorgan-chase-and-co/documents/jpmc-cr-climate-report-2019.pdf
- https://www.jpmorganchase.com/corporate/news/pr/jpmorgan-chase-expands-commitment-to-low-carbon-economy-and-clean-energy.htm
- https://impact.jpmorganchase.com/content/dam/jpmc/jpmorgan-chase-and-co/documents/jpmc-cr-esg-report-2016.pdf
- https://about.jpmorganchase.com/content/dam/jpmc/jpmorgan-chase-and-co/documents/jpmc-cr-esg-report-2019.pdf</t>
  </si>
  <si>
    <t>Kinder Morgan Inc.</t>
  </si>
  <si>
    <t>- ONE Future: Working with the EPA to identify the most effective means of implementing methane emission reductions at natural gas transmission and storage operations. Through ONE Future, we committed to achieving a methane emission intensity target of 0.31% across our natural gas transmission and storage operations by 2025</t>
  </si>
  <si>
    <t>Planning to start measuring Scope 1 and 2 emissions starting in 2021</t>
  </si>
  <si>
    <t>- https://www.kindermorgan.com/WWWKM/media/Documents/2018_ESG_Report_1.pdf</t>
  </si>
  <si>
    <t>Kraft Heinz Co</t>
  </si>
  <si>
    <t>- 15% reduction in GHG emissions by 2020 from 2015 baseline
- Energy reduction initiatives
- Investing in renewable energy technology for our manufacturing plants
- Conducting a mapping of our direct supply chain of palm oil and soy to assess deforestation risks and develop action plans
- Having Kraft Heinz agronomists directly engage growers and farmers of key raw materials to enact best practices for environmental efficiencies, such as increased yields, optimization of fertilizer application, water conservation and an overall increase in crop resilience
- Joining the Science Based Targets Initiative to set science-based greenhouse gas emissions reduction goals in its supply chain
- Aiming to make 100 percent of our packaging globally recyclable, reusable or compostable by 2025</t>
  </si>
  <si>
    <t>- https://www.cdp.net/en/formatted_responses/responses?campaign_id=62255737&amp;discloser_id=729753&amp;locale=en&amp;organization_name=The+Kraft+Heinz+Company&amp;organization_number=58857&amp;program=Investor&amp;project_year=2018&amp;redirect=https%3A%2F%2Fcdp.credit360.com%2Fsurveys%2Fft9rgfbw%2F29892&amp;survey_id=58150509
- https://www.cdp.net/en/formatted_responses/pages?locale=en&amp;organization_name=The+Kraft+Heinz+Company&amp;organization_number=58857&amp;program=Investor&amp;project_year=2017&amp;redirect=https%3A%2F%2Fwww.cdp.net%2Fsites%2F2017%2F57%2F58857%2FClimate+Change+2017%2FPages%2FDisclosureView.aspx</t>
  </si>
  <si>
    <t>Lockheed Martin Corp.</t>
  </si>
  <si>
    <t>~1995</t>
  </si>
  <si>
    <t>35% Scope 1 + 2 reduction from 2010 to 2020 (2010 Scope 1 + 2 emissions: 1,271,358)
70% reduction in emissions per $ gross profit from 2015 to 2030</t>
  </si>
  <si>
    <t>- Energy efficiency programs (25% reduction from 2010 to 2020), lighting upgrades, and other emissions reduction strategies
- Developing a state-of-the-art Geostationary Carbon Observatory, or GeoCarb, with the University of Oklahoma and NASA’s Jet Propulsion Laboratory. GeoCarb aims to advance our collective understanding of the global carbon cycle by mapping key carbon gases from geostationary orbit. Over time, this technology can contribute much-needed data to support climate adaptation and resiliency efforts</t>
  </si>
  <si>
    <t>Goals are mostly qualitative without many hard targets set
Goals were difficult to find</t>
  </si>
  <si>
    <t>- https://sustainability.lockheedmartin.com/sustainability/downloads/Lockheed_Martin_Sustainability_Report_Full_2019.pdf
- https://www.lockheedmartin.com/content/dam/lockheed-martin/eo/photo/sustainability/CDP%20CC%202019.pdf
- https://www.lockheedmartin.com/content/dam/lockheed-martin/eo/documents/sustainability/2018%20Lockheed%20Martin%20Sustainability%20Report%20and%20GHG%20Verification%20Assurance_Final_4.18.19.pdf
- https://www.lockheedmartin.com/content/dam/lockheed-martin/eo/documents/sustainability/Lockheed_Martin_Sustainability_Report_Full_2018.pdf
- https://www.lockheedmartin.com/content/dam/lockheed-martin/eo/documents/sustainability/Lockheed_Martin_Sustainability_Report_Full_2017.pdf
- https://www.lockheedmartin.com/content/dam/lockheed-martin/eo/documents/sustainability/sustainability-report-2016-web.pdf
- https://lockheedmartin.com/content/dam/lockheed-martin/eo/documents/sustainability/verification-2019.pdf
- Letters of assurance
- https://app.one-report.com/report/qgri_index.html?categoryid=1475&amp;qid=3861&amp;rid=ODQwMDMyNjU3&amp;arid=NDc0ODgwMTAx&amp;companyid=924&amp;year=2020
- https://www.lockheedmartin.com/content/dam/lockheed-martin/eo/photo/sustainability/CDP%20CC%202019.pdf</t>
  </si>
  <si>
    <t>Lowe's Companies, Inc.</t>
  </si>
  <si>
    <t>40% reduction in Scope 1 + 2 from 2016 to 2030</t>
  </si>
  <si>
    <t>- Offered $34 million in discounts to customers who purchased energy efficient products
- Aim for 100% of our strategic suppliers to have sustainability goals by 2025
- By 2030, increase share of energy that is renewable
- Use a building management system (BMS) to maximize the efficiency of assets, such as lighting, HVAC and generators; leverage internal and third-party resources to calculate the performance of assets, inform retrofitting projects and improve energy use (99% of stores have BMS installed)
- LED lighting retrofit program
- Collaboration between vendors, stores and DCs via our Intermodal, Reverse Logistics and Backhaul programs to reduce empty truck miles, emissions and environmental impact. In the U.S., we monitor and audit provider fleets and use a transportation management system to optimize routes, combining loads to make deliveries more efficient</t>
  </si>
  <si>
    <t>- https://corporate.lowes.com/sites/lowes-corp/files/2020-07/Lowes_2019_FINAL_optimized.pdf
- https://corporate.lowes.com/sites/lowes-corp/files/CSR-reports/lowes-2018cr-report.pdf
- https://corporate.lowes.com/sites/lowes-corp/files/CSR-reports/Lowes_2017CRReport_FramingOurFuture.pdf</t>
  </si>
  <si>
    <t>MasterCard Inc.</t>
  </si>
  <si>
    <t>20% reduction in Scope 1, 2 + 3 from 2016 to 2025</t>
  </si>
  <si>
    <t>- 100% renewable energy (currently 2% on-site solar, 11% directly procured renewable energy, and 87% RECs - working on installing on-site renewable energy to reduce reliance on RECs)
- 79% green-certified buildings
- Working directly with suppliers on climate initiatives to reduce Scope 3 emissions
- Launched the Priceless Planet Coalition, which encourage corporates to invest in energy-efficient workplaces and operations, source renewable energy and maintain sustainable supply chains to reduce carbon footprints</t>
  </si>
  <si>
    <t>First payments company to set an approved Science Based Target</t>
  </si>
  <si>
    <t>- https://www.mastercard.us/content/dam/mccom/global/aboutus/Sustainability/mastercard-sustainability-report-2018.pdf
- https://www.smart-energy.com/industry-sectors/policy-regulation/mastercard-unveils-priceless-planet-coalition-to-combat-climate-change/</t>
  </si>
  <si>
    <t>McDonald's Corp.</t>
  </si>
  <si>
    <t>36% reduction from 2015 to 2030</t>
  </si>
  <si>
    <t>- Work across its supply chain, offices and restaurants to be more innovative and efficient through improvements such as investing in renewable energy, LED lighting, energy efficient kitchen equipment, sustainable packaging, restaurant recycling, and by elevating and supporting sustainable agriculture practices
- In collaboration with thousands of franchisees, suppliers and producers, McDonald’s will prioritize action on the largest segments of its carbon footprint: beef production, restaurant energy usage and sourcing, packaging and waste
- Goal of 31% reduction in emissions intensity (per metric ton of food and packaging) across our supply chain by 2030 from 2015 levels
- Working with farmers, ranchers, beef suppliers, and industry leaders to identify, magnify and share best practices on farming, grazing, and conservation, in ways that empower more producers to adopt sustainability practices
- Innovations and programs to promote energy efficiency and renewable energy. This includes equipment and building design innovation, energy monitoring, and crew training programs</t>
  </si>
  <si>
    <t>Beef, energy, and packaging are biggest drivers of environmental footprint</t>
  </si>
  <si>
    <t>- https://corporate.mcdonalds.com/corpmcd/scale-for-good/esg-reporting/progress-and-performance.html#3
- https://corporate.mcdonalds.com/corpmcd/scale-for-good/climate-action.html
- https://corporate.mcdonalds.com/content/dam/gwscorp/nfl/scale-for-good/McDonalds_CDP_Climate_Change_2018.pdf
- https://corporate.mcdonalds.com/content/dam/gwscorp/nfl/scale-for-good/CDP%20Climate%20Change_2017_McDonald%27s.pdf</t>
  </si>
  <si>
    <t>Medtronic</t>
  </si>
  <si>
    <t>15% reduction in Scope 1 + 2 emissions from 2013 to 2020</t>
  </si>
  <si>
    <t>- Manufacturing facilities account for most of our energy consumption, water use, and waste generation. At those siteswe use management systems, based on the ISO 14001 and OHSAS 18001 standards, to track EHS performance
- Program to convert all Medtronic lighting to LED bulbs
- Optimization initiative focused on global building automation, HVAC, and compressed air systems
- Sourcing renewable grid electricity has been part of our energy strategy since 2007. In FY19, we sourced 22,000 MWh of renewable energy</t>
  </si>
  <si>
    <t>- https://www.medtronic.com/content/dam/medtronic-com/global/Corporate/citizenship/documents/2019-integrated-performance-report.pdf
- https://www.medtronic.com/content/dam/medtronic-com/global/Corporate/Documents/2018-integrated-performance-report.pdf
- https://www.medtronic.com/content/dam/medtronic-com/global/Corporate/Documents/integrated-performance-report.pdf
- https://www.medtronic.com/content/dam/medtronic-com/us-en/corporate/documents/17267.MED.Sustainability.Report_4_FINAL%20NOV%208.pdf</t>
  </si>
  <si>
    <t>Merck &amp; Co.</t>
  </si>
  <si>
    <t>40% Scope 1 + 2 reduction from 2015 to 2025</t>
  </si>
  <si>
    <t>2040 (not a RE100 signatory)</t>
  </si>
  <si>
    <t>- By 2025, we will reduce global Scope 1 and market-based Scope 2 GHG emissions by at least 40% from 2015 levels
- By 2025, at least 50% of our purchased electricity will come from renewable sources. By 2040, 100% of our purchased electricity will come from renewable sources
- Established an Energy Capital Fund of up to $12 million per year in order to transition to more energy-efficient technology
- Converted US Sales fleet vehicles to more fuel-efficient versions to increase average mpg from 22 to 28 from 2008 to 2018
- All new buildings are designed to be LEED Silver or higher
- Long-standing partnership with the U.S. EPA's ENERGY STAR® program, which provides a broad energy-management strategy</t>
  </si>
  <si>
    <t>- https://www.msdresponsibility.com/environmental-sustainability/
- https://www.msdresponsibility.com/environmental-sustainability/climate-change-energy-use/</t>
  </si>
  <si>
    <t>MetLife Inc.</t>
  </si>
  <si>
    <t>- Required all 103 suppliers to disclose their GHG emissions and emissions reduction activities publicly in 2019
- Supports third-party certified carbon reduction projects in markets where we operate around the world (reforestation in Mississippi, replacement of coal-fired stoves in China, conservation of Colombia rainforest)
- Capital improvement projects and facility upgrades for building efficiency, including lighting retrofits, chiller and boiler replacements, LED lighting systems, demand metering, and occupancy-sensor installations
- 25% of buildings are LEED certified
- Invested $18.3 billion in green investments such as renewable energy projectsa and RECs in 2019
-Policy- membership in environmental associations but not talking about active policy lobbying
- Scope 3 is business air travel only</t>
  </si>
  <si>
    <t>- first U.S. insurer to achieve carbon neutrality (2016)</t>
  </si>
  <si>
    <t>- https://www.metlife.com/sustainability/MetLife-sustainability/climate/energy-emissions/
- https://sustainabilityreport.metlife.com/content/dam/metlifecom/us/sustainability/pdf/report/2019/2019-sustainability-report.pdf</t>
  </si>
  <si>
    <t>Microsoft Corp.</t>
  </si>
  <si>
    <t>- Implemented an internal carbon fee in 2012 to charge direct emissions and those of suppliers -- helps fund carbon emission reductions ($15/metric ton for Scope 3)
- Launching an initiative to use Microsoft technology to help our suppliers and customers around the world reduce their own carbon footprints
- Created a new $1 billion climate innovation fund to accelerate the global development of carbon reduction, capture, and removal technologies (portfolio of negative emission technologies (NET) potentially including afforestation and reforestation, soil carbon sequestration, bioenergy with carbon capture and storage (BECCs), and direct air capture (DAC))
- Will now make carbon reduction an explicit aspect of our procurement processes for supply chain
- Uses voice and advocacy supporting public policy that will accelerate carbon reduction and removal opportunities
- By 2050 Microsoft will remove from the environment all the carbon the company has emitted either directly or by electrical consumption since it was founded in 1975
-support policy for accelerating carbon reduction and removal</t>
  </si>
  <si>
    <t>- https://blogs.microsoft.com/blog/2020/01/16/microsoft-will-be-carbon-negative-by-2030/
- file:///C:/Users/pfedm/Downloads/Microsoft_2017_Environmental_Data_Factsheet.pdf
- https://query.prod.cms.rt.microsoft.com/cms/api/am/binary/RE3455q</t>
  </si>
  <si>
    <t>Mondelez International</t>
  </si>
  <si>
    <t>Reduce Scope 1, 2 + 3 emissions by 10% from 2018 to 2025</t>
  </si>
  <si>
    <t>- Reduced energy consumption by improving energy management systems and investing in energy efficient technologies in our factories
- Using low-carbon renewable energy sources
- In late 2015, our chocolate factory in Upplands Väsby, Sweden converted heavy oil burners to use waste vegetable oil instead, significantly reducing CO2 emissions while saving operating costs</t>
  </si>
  <si>
    <t>Poor reporting -- only links to CDP Disclosures</t>
  </si>
  <si>
    <t>- https://www.mondelezinternational.com/-/media/Mondelez/Snacking-Made-Right/Impact-Reporting/Measuring-Our-Progress/Additional-Resources-2/CDP-ClimateChange2019_Final.pdf
- https://www.mondelezinternational.com/-/media/Mondelez/PDFs/Mdlz-CDP-C_2018submission.pdf
- https://www.mondelezinternational.com/-/media/Mondelez/Snacking-Made-Right/Impact-Reporting/Measuring-Our-Progress/Additional-Resources-2/cdpclimate20162125.pdf
- https://www.mondelezinternational.com/~/media/MondelezCorporate/uploads/downloads/cdpClimate2017.pdf</t>
  </si>
  <si>
    <t>Morgan Stanley</t>
  </si>
  <si>
    <t>- Appointed a Chief Sustainability Officer for the first time in 2017</t>
  </si>
  <si>
    <t>- https://www.morganstanley.com/pub/content/dam/msdotcom/about-us/giving-back/sustainability-at-morgan-stanley/Morgan_Stanley_2018_CDP_Climate_Change_Response.pdf
- https://www.morganstanley.com/pub/content/dam/msdotcom/about-us/giving-back/sustainability-at-morgan-stanley/Morgan_Stanley_2019_CDP_Climate_Change_Response.pdf</t>
  </si>
  <si>
    <t>Netflix Inc.</t>
  </si>
  <si>
    <t>~50,000 MT CO2e is best guess for annual emissions. No reporting except to say that emissions were 300g / customer in 2014 and they have182.8 million subscribers today
Claim to use 100% renewable energy through the end of RECs</t>
  </si>
  <si>
    <t>- https://netflixtechblog.com/netflix-streaming-more-energy-efficient-than-breathing-57658d47b9fd
- https://b8f65cb373b1b7b15feb-c70d8ead6ced550b4d987d7c03fcdd1d.ssl.cf3.rackcdn.com/cms/reports/documents/000/002/891/original/CDP-US-Report-2017.pdf?1512668320</t>
  </si>
  <si>
    <t>Nextera Energy Inc.</t>
  </si>
  <si>
    <t>-NextEra Energy conducts business under regulatory regimes that require CO2 rather than CO2e reporting. The SASB metric reported here is CO2e which includes emissions from power generation as well as auxiliary equipment, while other areas of our sustainability reporting convey CO2 from power generation only</t>
  </si>
  <si>
    <t>Nike Inc.</t>
  </si>
  <si>
    <t>Clothing</t>
  </si>
  <si>
    <t>25% Scope 1 + 2 reduction from 2015 to 2020 in key operations</t>
  </si>
  <si>
    <t>Yes - member of Oregon Business Alliance for Climate, which supports climate policy and a carbon price while investing in Oregon’s clean economy</t>
  </si>
  <si>
    <t>- Innovating and sourcing innovative, lower-impact materials
- Driving more energy efficiency in our operations and within our supply chain
- Increasing renewable energy use throughout our operations and encouraging broader adoption throughout our supply chain
- Collaborating with other organizations (corporate peers, government and NGOs) to scale impact and create better market conditions for clean energy
- Decrease energy use and CO2e emissions 25% per unit in key operations (inbound and outbound logistics, distribution centers, headquarter locations, finished goods manufacturing, and NIKE-owned retail) from FY15 to FY20</t>
  </si>
  <si>
    <t>- https://news.nike.com/news/nike-inc-reports-fiscal-2019-fourth-quarter-and-full-year-results
- https://s3-us-west-2.amazonaws.com/purpose-cms-production01/wp-content/uploads/2019/05/15172335/FY18-Nike-Impact-Report_Final.pdf
- https://purpose.nike.com/carbon-energy
- https://s3-us-west-2.amazonaws.com/purpose-cms-preprod01/wp-content/uploads/2020/04/10225416/FY19-Nike-Inc.-Impact-Report.pdf</t>
  </si>
  <si>
    <t>Nvidia</t>
  </si>
  <si>
    <t>A 15 percent greenhouse gas reduction—normalized per employee—by FY20 from baseline year FY14</t>
  </si>
  <si>
    <t>65% by end of FY 2025</t>
  </si>
  <si>
    <t>- Planning to implement an energy management system, certified to ISO 50001, in FY21
- LEED Gold certification for our new Silicon Valley headquarters building
- Focus on siting expansions strategically, managing our operations efficiently, and sourcing low-carbon and renewable forms of energy
- Deployed state-of-the-art cooling technology designed for NVIDIA server products
- Data centers have also been deployed with white surfaces to optimize reflective lighting
- Controllable, high-efficiency LED lighting is installed where artificial lighting is needed</t>
  </si>
  <si>
    <t>- https://www.nvidia.com/content/dam/en-zz/Solutions/documents/FY2020-NVIDIA-CSR-Social-Responsibility.pdf
- https://images.nvidia.com/content/crr/2017/sustainability/pdf/2017-NVIDIA-Sustainability-Report-Final.pdf</t>
  </si>
  <si>
    <t>Occidental Petroleum</t>
  </si>
  <si>
    <t>Planning to set 2030 GHG intensity targets later in 2020</t>
  </si>
  <si>
    <t>Y - through their own carbon capture</t>
  </si>
  <si>
    <t>- Pursuing projects to obtain CO2 through direct air capture and by capturing emissions from third-party sources. In the near-term, the focus will be safe sequestration of CO2 while growing our EOR business. In the longerterm, we expect to expand the commercial use cases for CO2 within our portfolio
- A sensitivity analysis using a carbon price of $50 per metric ton is done for all projects above $5 million (increased from $40 per metric ton in 2018)
- Added an executive compensation metric related to the advancement of CCUS
- Aiming to end routine gas flaring by 2030</t>
  </si>
  <si>
    <t>- https://www.oxy.com/SocialResponsibility/overview/SiteAssets/Pages/Social-Responsibility-at-Oxy/Assets/Occidental-Climate-Report-2019.pdf
- https://www.oxy.com/SocialResponsibility/overview/SiteAssets/Pages/Social-Responsibility-at-Oxy/Assets/Oxy%202018%20CDP%20survey%20response.pdf
- https://www.oxy.com/SocialResponsibility/overview/SiteAssets/Pages/Social-Responsibility-at-Oxy/Assets/Occidental-CDP_Climate_Change_Questionnaire_2019.pdf
- https://www.oxy.com/SocialResponsibility/overview/SiteAssets/Pages/Social-Responsibility-at-Oxy/HTML/performance%20-%20Copy.html#climateChange1
- https://www.oxy.com/SocialResponsibility/overview/SiteAssets/Pages/Social-Responsibility-at-Oxy/Assets/CDP%202017%20Climate%20Programme%20Report-Occidental.pdf
- https://www.oxy.com/SocialResponsibility/overview/Pages/Performance.aspx#climateChange1</t>
  </si>
  <si>
    <t>Oracle</t>
  </si>
  <si>
    <t>26% reduction in Scope 1 + 2 from 2015 to 2025 (from 370,414 to 340,041 MTCO2e)
65% reduction by 2050</t>
  </si>
  <si>
    <t>- Increased renewable energy use and improved energy effciency
- Goal of 55% reduction in emissions per unit of energy consumed by 2025
- Investments in offering a 'Clean Cloud' for customers through energy efficiency and renewable energy</t>
  </si>
  <si>
    <t>- http://www.oracle.com/us/corporate/citizenship/cdp-climate-change-response-5181041.pdf
- https://www.oracle.com/corporate/citizenship/sustainability/operations.html
- http://www.oracle.com/us/corporate/citizenship/cdp-investor-survey-response-2017-3809919.pdf
- https://www.oracle.com/us/assets/oracle-corp-citizenship-report-3941904.pdf
- https://www.oracle.com/a/ocom/docs/sustainability-at-oracle.pdf</t>
  </si>
  <si>
    <t>PayPal</t>
  </si>
  <si>
    <t>Sort of -  joined the Renewable Energy Buyers Alliance (REBA) as a founding member to share best practices, build relationships, and gather insights into the latest corporate renewable energy procurement trends</t>
  </si>
  <si>
    <t>- Cross-functional environmental working group is identifying potential cost-effective emissions reductions activities and building an indirect emissions management strategy for our global supply chain
- Continue to transition to LED lighting around the globe, which has reduced energy use and operational costs across many of our offices worldwide
- Joined the United for the Paris Agreement coalition to reinforce our support for meeting the goals set forth in the global Agreement
- Made substantial progress advancing our environmental management system in alignment with global standards, including ISO 14001. We enhanced our data management systems, refined reporting processes, and empowered teams to better manage performance</t>
  </si>
  <si>
    <t>No reporting for 2016 and earlier
2017 and 2018 GHG emissions figures were revied in the 2019 report so the 2019 figures were used</t>
  </si>
  <si>
    <t>- https://www.paypalobjects.com/marketing/web/us/globalimpact/PayPal_2019_Global_Impact_Report_FINAL.pdf</t>
  </si>
  <si>
    <t>PepsiCo Inc.</t>
  </si>
  <si>
    <t>Scope 1 &amp; 2: Reduce absolute GHG emissions by at least 20% by 2030 from 2015 baseline</t>
  </si>
  <si>
    <t>- Scope 1 &amp; 2: Reduce absolute greenhouse gas (GHG) emissions by at least 20% by 2030 from 2015 baseline
- Scope 3: Reduce absolute greenhouse gas (GHG) emissions by at least 20% by 2030 from 2015 baseline
- Sustainable from the Start program helps our product development teams project and consider the environmental impact, carbon and water footprint, and packaging recyclability of a product</t>
  </si>
  <si>
    <t>- https://www.pepsico.com/docs/album/esg-topics-policies/cdp_climate_change_2017_information_request_pepsico_final_submission-2.pdf?sfvrsn=d0608346_6
- https://www.pepsico.com/docs/album/esg-topics-policies/2019-cdp-climate-response.pdf?sfvrsn=feb57a1a_4
- https://www.pepsico.com/docs/album/esg-topics-policies/2018-cdp-climate-response.pdf?sfvrsn=3d7c9d36_6
- https://www.pepsico.com/docs/album/sustainability-report/2019-csr/2019_sustainability_report_summary.pdf</t>
  </si>
  <si>
    <t>Pfizer Inc.</t>
  </si>
  <si>
    <t>20% GHG reduction from 2012 to 2020; 60-80% (75%) reduction from 2000 to 2050
2012 Scope 1 + 2: 2,131,885
2000 Scope 1 + 2: 3,597,487</t>
  </si>
  <si>
    <t>- Reduce greenhouse gas (GHG) emissions by 20% by 2020 compared to a 2012 baseline, which keeps us on the trajectory to reduce our GHG footprint by 60%-80% by 2050 from a 2000 base year</t>
  </si>
  <si>
    <t>- https://pfe-pfizercom-prod.s3.amazonaws.com/responsibility/protecting_environment/Pfizer_2019_Climate_Change.pdf
- https://www.pfizer.com/sites/default/files/investors/financial_reports/annual_reports/2019/our-performance/key-performance-indicators/index.html
- https://www.pfizer.com/sites/default/files/investors/financial_reports/annual_reports/2019/assets/pfizer-2019-annual-review.pdf
- https://pfe-pfizercom-d8-prod.s3.amazonaws.com/2018_Pfizer_KPI_Dashboard.pdf
- https://www.cdp.net/en/formatted_responses/responses?campaign_id=66216852&amp;discloser_id=825472&amp;locale=en&amp;organization_name=Pfizer+Inc.&amp;organization_number=14683&amp;program=Investor&amp;project_year=2019&amp;redirect=https%3A%2F%2Fcdp.credit360.com%2Fsurveys%2F9hz110bc%2F50007&amp;survey_id=65670419</t>
  </si>
  <si>
    <t>Philip Morris International</t>
  </si>
  <si>
    <t>From 2010 baseline, 30% reduction by 2020, 40% reduction by 2030, and 60% reduction by 2040
2010: Scope 1 - 443,186; Scope 2 - 470,864; Scope 3 - 7,435,000
Carbon neutral by 2030 for Scope 1 + 2 and by 2050 for Scopes 1, 2 + 3</t>
  </si>
  <si>
    <t>- Projects focused on energy-efficient buildings, fuel control in manufacturing, and LED lighting
- Internal carbon price of USD 17 per ton of CO2e in order to allocate capital for the best return in terms of carbon reduction and cost-effectiveness
- Vehicle maintenance, ongoing switch to hybrid and more fuel-effi cient vehicles, and eco-driving behavior
- Work with tobacco farmers to help them reduce their emissions through (1) Supporting the implementation by our suppliers to plant trees in farmers’ communities, and commercial wood lots which are managed sustainably; (2) Improving the fuel effi ciency of flue-curing barns; and (3) Switching from high-carbon or unsustainable fuels, such as coal, to sustainable wood sources and a range of biomass products (wood pellets, agro-pellets, or other agricultural waste products.) 
- Investments in more efficient curing and curing fuel</t>
  </si>
  <si>
    <t>- https://www.pmi.com/resources/docs/default-source/pmi-sustainability/pmi-sustainability-report-2018-low-res.pdf?sfvrsn=cada91b5_4
- https://www.pmi.com/docs/default-source/pmi-sustainability/pmi-sustainability-report-2017.pdf
- https://www.pmi.com/resources/docs/default-source/sustainability-reports-and-publications/pmi-sustainability-report-2018-highlights.pdf?sfvrsn=d4ef95b5_4</t>
  </si>
  <si>
    <t>Procter &amp; Gamble</t>
  </si>
  <si>
    <t>30% Scope 1 + 2 reduction from 2010 to 2020
50% Scope 1 + 2 reduction from 2010 to 2030
2010 Scope 1 + 2: 5422275</t>
  </si>
  <si>
    <t>Yes -  joined the Climate Leadership Council (CLC), which advocates for a Carbon Dividends Program in the US</t>
  </si>
  <si>
    <t>- Reducing the intensity of greenhouse gas emissions (GHG) from our own operations through:
Driving energy efficiency measures throughout our facilities
Transitioning energy sources toward lower/zero carbon alternatives
Driving more energy-efficient modes of transporting finished products
- We will help consumers to reduce their own GHG emissions through the use of our products via:
Product and packaging innovations that enable more efficient consumer product use and energy consumption
Consumer education to reduce GHG emissions such as the benefits of using cold water for machine washing
- Work with partners across our value chain to ensure responsible sourcing of agricultural commodities that are known to be associated with deforestation risks (e.g. palm oil, wood pulp).
- Work with our suppliers to identify meaningful opportunities to reduce our Scope 3 emissions
- Internal Climate Council and Sustainability Leadership Council that meet quarterly to review sustainability initiatives
- Aim to reduce energy by 20% per unit of production by 2020</t>
  </si>
  <si>
    <t>- https://us.pg.com/policies-and-practices/environmental-policies-and-practices/
- https://assets.ctfassets.net/oggad6svuzkv/6mGPEJVwbe0cIe8ywg2IcA/986dee6a8445a56cfdd30f40f99afd02/Climate_change_perspective.pdf
- https://assets.ctfassets.net/oggad6svuzkv/4v6eZmhIcES0Ei4YKI0yWy/3f80032b9b6e9307752fa4b217d85e22/FY_17-18_P_G_Assurance_Statement-ASR_authorized.pdf
- https://downloads.ctfassets.net/oggad6svuzkv/5AXke1Str22EYkYkIyO8QE/c876f5bb05e568aa71e7c1819059c37c/citizenship_report_2019.pdf
- https://downloads.ctfassets.net/oggad6svuzkv/5AXke1Str22EYkYkIyO8QE/c876f5bb05e568aa71e7c1819059c37c/citizenship_report_2019.pdf
- https://downloads.ctfassets.net/oggad6svuzkv/325tJmPxGEWQOgc6eGskKy/b69cb86ada52cfe97e468daadf20b741/2017_Full_Citizenship_Report.pdf
- https://downloads.ctfassets.net/oggad6svuzkv/325tJmPxGEWQOgc6eGskKy/b69cb86ada52cfe97e468daadf20b741/2017_Full_Citizenship_Report.pdf
- https://www.cdp.net/en/formatted_responses/responses?campaign_id=66216852&amp;discloser_id=831392&amp;locale=en&amp;organization_name=Procter+%26+Gamble+Company&amp;organization_number=15132&amp;program=Investor&amp;project_year=2019&amp;redirect=https%3A%2F%2Fcdp.credit360.com%2Fsurveys%2F9hz110bc%2F50695&amp;survey_id=65670419</t>
  </si>
  <si>
    <t>QUALCOMM Inc.</t>
  </si>
  <si>
    <t>30% reduction in Scope 1 + 2 from 2014 to 2025
2014 Scope 1 + 2: 230637</t>
  </si>
  <si>
    <t>- To date, we've reduced our GHG emissions by 17.9 percent, of which 5.8 percent is attributed to the purchase of renewable energy certificates (AP81RECs) and carbon offsets (do offsets and RECs through Natural Capital Partners)
- Own and operate several on-site solar generating systems in San Diego and Bangalore
- Promote the use of electric vehicles (EVs) by installing dozens of new EV charging stations at our campuses in San
Diego and Santa Clara, and give employees discounted electric rates at our owned Level 2 EV charging stations and free charging at Level 1 outlets in our garages
- Combined heat and power plants enable us to self-generate electricity to meet our site needs, while efficiently utilizing the waste heat to provide cooling to our headquarters’ buildings
-Scope 3: employee business air travel, business car rental and employee commuting)</t>
  </si>
  <si>
    <t>- https://www.qualcomm.com/media/documents/files/2019-qualcomm-sustainability-report.pdf
- https://www.qualcomm.com/media/documents/files/2017-qualcomm-sustainability-report.pdf
- https://www.cdp.net/en/formatted_responses/responses?campaign_id=66216852&amp;discloser_id=832614&amp;locale=en&amp;organization_name=QUALCOMM+Inc.&amp;organization_number=15419&amp;program=Investor&amp;project_year=2019&amp;redirect=https%3A%2F%2Fcdp.credit360.com%2Fsurveys%2F9hz110bc%2F49086&amp;survey_id=65670419</t>
  </si>
  <si>
    <t>Raytheon Technologies</t>
  </si>
  <si>
    <t>None beyond 2020 goal of reducing Scope 1 + 2 emissions by 12% from 2015 baseline</t>
  </si>
  <si>
    <t>- Upgraded/optimized HVAC systems, installed energy-effi cient measures in our data centers and server rooms, and installed LED lighting while making other changes to building infrastructure and equipment
- We also monitor and track developments in alternative energy technologies, low-carbon energy solutions and other techniques for reducing greenhouse gas emissions</t>
  </si>
  <si>
    <t>Poor reporting, no carbon emissions reduction goals, and minimal initiatives beyond some basic energy efficiency projects</t>
  </si>
  <si>
    <t>- https://investors.rtx.com/static-files/f8a4c491-7745-4e82-be4e-807d6b0e995f
- https://www.raytheon.com/sites/default/files/2019-05/raytheon-crr-2018.pdf
- https://sdd-pdf.s3.amazonaws.com/report-pdfs/2017/60b417e473a9ae1f103146ff1b3954a9.pdf?AWSAccessKeyId=AKIAJZQ4KYD2D35QKCDA&amp;Expires=1594924661&amp;Signature=SguKZk1%2FdQ3x1HRRJy0UTofONhs%3D</t>
  </si>
  <si>
    <t>Salesforce</t>
  </si>
  <si>
    <t>Reduce absolute Scope 1 and Scope 2 emissions by 50% from 2018 to 2030, and reduce Scope 3 emissions from fuel and energy related activities by 50% from 2018 to 2030</t>
  </si>
  <si>
    <t>- https://www.salesforce.com/content/dam/web/en_us/www/documents/white-papers/sustainability-FY20-stakeholder-impact-report.pdf
- https://www.salesforce.com/content/dam/web/en_us/www/documents/reports/sustainability-FY19-stakeholder-impact-report.pdf
- https://www.salesforce.com/content/dam/web/en_us/www/documents/reports/sustainability-FY18-stakeholder-impact-report.pdf
- https://www.salesforce.com/content/dam/web/en_us/www/documents/datasheets/sfdc-fy17-stakeholder-impact.pdf</t>
  </si>
  <si>
    <t>Schlumberger Ltd.</t>
  </si>
  <si>
    <t>- Sells CCUS services to clients</t>
  </si>
  <si>
    <t>- https://investorcenter.slb.com/news-releases/news-release-details/schlumberger-announces-full-year-and-fourth-quarter-2019-results#:~:text=Schlumberger%20CEO%20Olivier%20Le%20Peuch,achievement%20under%20these%20market%20conditions.
- https://www.slb.com/globalstewardship/pdf/Schlumberger_GlobalStewardship_2018.pdf
- https://www.slb.com/globalstewardship/pdf/Schlumberger_GlobalStewardship_2016.pdf
- https://www.slb.com/newsroom/press-release/2019/pr-2019-1219-slb-gs-sbti</t>
  </si>
  <si>
    <t>Simon Property Group Inc.</t>
  </si>
  <si>
    <t>None stated</t>
  </si>
  <si>
    <t>-  Proprietary sustainability benchmarking tool for enclosed centers that allow us to better compare properties to improve the shopping center’s overall energy use
- Upgraded conventional lighting such as fluorescent and metal halide to energy-efficient LED lighting at over 200 properties over the last few years
- Investing in intelligent energy pilots of sensor-enabled LEDs in partnership with industry-leading companies such as GE and Acuity. Simon will further explore opportunities to install smart networks and sensors to optimize LED lighting both indoors and out
- Continuously assesses our portfolio to upgrade to more efficient equipment, such as Central Plant, Energy Management Systems, and HVAC replacements. Energy audits and retrocommissioning are the foundation of our energy efficiency programs
- Installing 3MW solar photovoltaic arrays at three regional malls and three Premium Outlets; completed roof-top solar and battery storage installations
- Expanding electric vehicle charging stations</t>
  </si>
  <si>
    <t>- https://simon-malls.cld.bz/Simon-Sustainability-Report-2019
- https://simon-malls.cld.bz/Simon-Sustainability-Report-2018
- https://simon-malls.cld.bz/Simon-Sustainability-Report-2016
- https://investors.simon.com/news-releases/news-release-details/simon-launches-bold-new-vision-sustainability</t>
  </si>
  <si>
    <t>Southern Company</t>
  </si>
  <si>
    <t>50% emissions reduction from 2007 to 2030 (intermediary goal on path to net zero in 2050)
2007 Scopes 1 + 2: 156650362.8</t>
  </si>
  <si>
    <t>- Growing our investment in renewable energy, modernizing the grid to optimize technology advancements, increasing the use of natural gas, building new nuclear generating units, continuing our industry-leading, robust research and development (R&amp;D) efforts, and investing in energy efficiency for savings on both sides of the meter
- Invests in the research, development and deployment of new technologies, such as carbon capture, utilization and storage
- Policy engagement but focus on environmental policy unclear</t>
  </si>
  <si>
    <t>Starbucks Corp.</t>
  </si>
  <si>
    <t>50% reduction in Scope 1, 2 + 3 from 2020 to 2030</t>
  </si>
  <si>
    <t>No target date</t>
  </si>
  <si>
    <t>- At the farm level, we have worked with Conservation International to include climate-smart agricultural practices as part of Coffee and Farmer Equity (C.A.F.E.) practices, our ethical Coffee buying guidelines
- Through the purchase of Renewable Energy Credits (RECs) we are able to offset 62% of our store emissions globally
- Expanding plant-based and environmentally friendly menu options (shifting consumers away from dairy to alternative milks)
- Shifting from single-use to reusable packaging
- Investing in innovative agricultural, water conservation and reforestation practices
- Looking for ways to better manage waste (including food waste) in stores and in communities
- Developing more eco-friendly operations, from stores to supply chain to manufacturing</t>
  </si>
  <si>
    <t>- https://www.starbucks.com/responsibility/environment/climate-change
- https://stories.starbucks.com/uploads/2020/01/Starbucks-Environmental-Baseline-Report.pdf
- https://stories.starbucks.com/stories/2020/5-things-to-know-about-starbucks-new-environmental-sustainability-commitment/
- https://fortune.com/2020/01/21/starbucks-carbon-footprint-dairy/</t>
  </si>
  <si>
    <t>Target Corp.</t>
  </si>
  <si>
    <t>30% reduction in Scope 1, 2 + 3 emissions from 2017 to 2030</t>
  </si>
  <si>
    <t>2030
60% by 2025</t>
  </si>
  <si>
    <t>- Committing 80 percent of our suppliers by spend to set science-based reduction targets on their Scope 1 and 2 emissions by 2023
- Partnership with the Apparel Impact Institute’s Clean by Design program, which is reducing the environmental impact of textile mills
- Plan to leverage the Vietnam Improvement Program in partnership with the International Finance Corporation as it increases factories’ energy and water efficiency
- Launching an electric vehicle programs
- Converting to LED lights
- Adopting renewable energy onsite and through PPAs</t>
  </si>
  <si>
    <t>- https://corporate.target.com/annual-reports/2019
- https://corporate.target.com/_media/TargetCorp/csr/pdf/2019_corporate_responsibility_report.pdf
- https://corporate.target.com/_media/targetcorp/csr/pdf/2016-corporate-social-responsibility-report.pdf
- https://corporate.target.com/_media/TargetCorp/csr/pdf/2018_corporate_responsibility_report.pdf
- https://corporate.target.com/_media/TargetCorp/csr/pdf/2015-Corporate-Social-Responsibility-Report.pdf</t>
  </si>
  <si>
    <t>Texas Instruments</t>
  </si>
  <si>
    <t>None beyond 15% Scope 1 + 2 reduction from 2015 to 2020</t>
  </si>
  <si>
    <t>- Reducing energy use through improved building energy efficiency
- Reducing PFCs by using alternative gases and reusing chemicals
- Encouraging employees to use alternative forms of transportation to commute to work
- - but to PACs that support their "competitiveness," not environmental causes</t>
  </si>
  <si>
    <t>- https://www.ti.com/lit/ml/sszo049/sszo049.pdf?ts=1594900881760&amp;ref_url=https%253A%252F%252Fwww.google.com%252F
- https://www.ti.com/lit/ml/sszo011/sszo011.pdf?ts=1594900884309&amp;ref_url=https%253A%252F%252Fwww.google.com%252F</t>
  </si>
  <si>
    <t>The Bank of New York Mellon</t>
  </si>
  <si>
    <t>-Reduce GHG emissions by 20% by 2025 from a 2018 base year
- maintain carbon neutrality commitment through 2025
-Offsets purchased for Scope 3 emissions
-Purchase of Renewable energy certifcates to offset non-renewable energy use</t>
  </si>
  <si>
    <t>The Walt Disney Company</t>
  </si>
  <si>
    <t>By 2020, reduce net emissions by 50% compared to a 2012 baseline
2012 Scope 1 + 2: 1742927</t>
  </si>
  <si>
    <t>- In 2019, we brought online a new 270-acre, 50 megawatt solar facility at Walt Disney World, built in collaboration with the Reedy Creek Improvement District and Origis Energy USA. This facility is anticipated to generate enough power from the sun to operate two of our four theme parks in Orlando annually
- Operate our bus fleet at Walt Disney World using 50% renewable diesel fuel, while our film and TV productions are piloting electric generators on set
- Commuter assistance program for employees
- The Grand Central Creative Campus expansion in Glendale, CA received a Leadership in Energy and Environmental Design (LEED) Platinum certification. The 460-kilowatt solar photovoltaic installation on the parking garage provides 12% of the energy use for the new building</t>
  </si>
  <si>
    <t>- https://thewaltdisneycompany.com/environmental-sustainability/
- https://www.cdp.net/en/responses?page=2&amp;per_page=5&amp;queries%5Bname%5D=disney&amp;sort_by=project_year&amp;sort_dir=desc&amp;utf8=%E2%9C%93
- https://www.cdp.net/en/formatted_responses/responses?campaign_id=66216852&amp;discloser_id=827642&amp;locale=en&amp;organization_name=Walt+Disney+Company&amp;organization_number=20384&amp;program=Investor&amp;project_year=2019&amp;redirect=https%3A%2F%2Fcdp.credit360.com%2Fsurveys%2F9hz110bc%2F55701&amp;survey_id=65670419</t>
  </si>
  <si>
    <t>Thermo Fisher Scientific</t>
  </si>
  <si>
    <t>- Some investments in renewable energy projects like solar
- Some investments to make products that can be reused to reduce single use plastics</t>
  </si>
  <si>
    <t>- https://www.thermofisher.com/content/dam/LifeTech/global/CSR/2018%20CSR%20Report.pdf
- https://www.thermofisher.com/us/en/home/about-us/corporate-social-responsibility/environment/performance.html
- https://www.thermofisher.com/content/dam/LifeTech/Documents/PDFs/2018_Thermo_Fisher_Scientific_CDP_Report_2017reportingperiod.pdf</t>
  </si>
  <si>
    <t>Union Pacific Corp</t>
  </si>
  <si>
    <t>N - partnered with environmnetal NGOs who lobby but not actively engaged in policy work</t>
  </si>
  <si>
    <t>- Committed to investing in technology that helps us identify fuel saving opportunities and increase locomotive productivity. For example, new software helps us predict potential locomotive failures
- Building longer trains, meaning fewer locomotives haul the same amount of freight, thus reducing emissions
- Purchased nearly 14,000 square yards of carbon neutral flooring, resulting in the retirement of 120 metric tons of carbon dioxide
- Scope 3 business travel</t>
  </si>
  <si>
    <t>- https://www.up.com/cs/groups/public/@uprr/@corprel/documents/up_pdf_nativedocs/pdf_up_2019_building_america_r.pdf
- https://www.up.com/cs/groups/public/@uprr/documents/up_pdf_nativedocs/pdf_up_build_america_rep_2017.pdf</t>
  </si>
  <si>
    <t>United Health Group</t>
  </si>
  <si>
    <t>Healthcare Plans</t>
  </si>
  <si>
    <t>From 2017 baseline, 3% Scope 1 + 2 reduction by 2023</t>
  </si>
  <si>
    <t xml:space="preserve">- Goal is to decrease our environmental impact through energy conservation and renewable energy; incorporate energy efficiency and high-performance design during construction practices; and invest annually in energy efficiency projects to reduce carbon emissions
- Completed 20 funded sustainability projects including interior and exterior lighting upgrades and water reduction projects
- Maintained business operations in LEED-certified facilities (Leadership in Energy &amp; Environmental Design) totaling 2.1 million square feet
</t>
  </si>
  <si>
    <t>- https://www.unitedhealthgroup.com/viewer.html?file=%2Fcontent%2Fdam%2FUHG%2FPDF%2FAbout%2FUNH-Environmental-Impact-Statement.pdf
- https://www.unitedhealthgroup.com/what-we-do/performance-tables.html</t>
  </si>
  <si>
    <t>United Parcel Service</t>
  </si>
  <si>
    <t>From 2015 baseline, 12% reduction in Scope 1 + 2 by 2025</t>
  </si>
  <si>
    <t>Y - participate in public policy forums, where we advocate for prudent innovation and investment
in new technologies and infrastructure development</t>
  </si>
  <si>
    <t>- Utilizing operational improvements through technology to create overall network and delivery efficiencies beyond reducing miles/fuel, (e.g., higher trailer utilization, decreased sortation time, increased safety, reduced errors/duplication of work, higher asset utilization/less waste, etc.) that reduce GHG footprint;
- Expanding our fleet of alternative fuel and advanced technology vehicles, known as our rolling laboratory, in order to reduce the proportion of conventional fuels we use;
- Reducing conventional energy use and increasing the use of renewable energy in our facilities and alternative fuel in our fleet;
- Providing customers with services that help them reduce their environmental impact; and
- Helping increase supplier awareness about GHG emissions and how to reduce them</t>
  </si>
  <si>
    <t>- https://sustainability.ups.com/media/2018-gri-index.pdf
- https://sustainability.ups.com/media/GRI-Index-2017.pdf</t>
  </si>
  <si>
    <t>US Bancorp</t>
  </si>
  <si>
    <t>1968?</t>
  </si>
  <si>
    <t>From 2014 baseline, 40% reduction by 2029 and 60% reduction by 2044
2014 Scope 1 + 2: 415211</t>
  </si>
  <si>
    <t>- In 2019 alone, U.S. Bank committed more than $1.2 billion to finance over 2.2 gigawatts of renewable energy projects throughout the U.S.
- To date, we have 26 LEED certified branches and are continuing to follow sustainable principles in the design of our new facilities with plans to maintain this focus in the future
- Partnerships with CERES, GRID Alternatives, and Earthwatch Ignite Program -- environmental NGOs -- to better understand environmental issues and identify solutions
- We will continue to evaluate opportunities to invest in products and practices that reduce our dependence on energy in areas such as facilities, equipment, operations and business travel</t>
  </si>
  <si>
    <t>- https://www.usbank.com/about-us-bank/community/sustainability.html
- https://www.usbank.com/about-us-bank/community/sustainability/environment-initiatives.html
- https://www.usbank.com/dam/documents/pdf/about-us-bank/community/sustainability/USBank-2019-CDP.pdf
- https://www.usbank.com/dam/documents/pdf/about-us-bank/community/sustainability/USBank-2017-CDP-Report_v2.pdf
- https://www.usbank.com/dam/documents/pdf/about-us-bank/community/sustainability/Environmental-Responsibility-Policy-2019.pdf
- https://www.cdp.net/en/formatted_responses/responses?campaign_id=66216852&amp;discloser_id=824883&amp;locale=en&amp;organization_name=U.S.+Bancorp&amp;organization_number=19593&amp;program=Investor&amp;project_year=2019&amp;redirect=https%3A%2F%2Fcdp.credit360.com%2Fsurveys%2F9hz110bc%2F54190&amp;survey_id=65670419</t>
  </si>
  <si>
    <t>Verizon Communications</t>
  </si>
  <si>
    <t>50% by 2025</t>
  </si>
  <si>
    <t>- A 28% Carbon Intensity reduction since 2016 with the goal set for a 50% carbon intensity reduction by 2025
- A green energy initiative which has offset 20,000 metric tons of CO2
- A 2025 commitment to source renewable energy equivalent to 50% of Verizon's total electricity usage
- Carbon abatement will enable customers to also reduce their carbon footprint
- 278 ENERGY STAR-certified buildings and 22 onsite renewable energy installations
- 28,000 Green Team employees in 44 countries
- Two million trees planted by 2030 with more than 700,000 planted already</t>
  </si>
  <si>
    <t>Scope 1 and 2 emissions</t>
  </si>
  <si>
    <t>- https://www.verizon.com/about/news/verizon-goes-carbon-neutral-2035
- https://www.verizon.com/about/sites/default/files/corporate-responsibility-report/2018/environment/emissions.html
- https://www.verizon.com/about/sites/default/files/esg-report/2019/environmental/our-emissions-by-scope.html</t>
  </si>
  <si>
    <t>Visa Inc.</t>
  </si>
  <si>
    <t>- Green building design (64% LEED certified)
- Energy efficiency (lighting upgrades and motion sensors)
- Efficient electronics policy that mandates at least 90 percent of new electronics in our largest corporate campus offices meet either ENERGY STAR or EPACT certification standards
- Progress towards our commitment to purchase 100 percent renewable electricity
- Use mechanical cooling
- Reduce refrigerant use
- Decomission underutilized servers
- Commuter benefits and other incentives to encourage sustainable employee behavior</t>
  </si>
  <si>
    <t>Included purchased goods and services and employee commuting for first time in 2018 Scope 3 reporting</t>
  </si>
  <si>
    <t>- https://s1.q4cdn.com/050606653/files/doc_financials/2019/q4/Visa-Inc.-Q4-2019-Financial-Results.pdf
- https://usa.visa.com/dam/VCOM/download/corporate-responsibility/visa-2018-corporate-responsibility-report.pdf
- https://usa.visa.com/dam/VCOM/download/corporate-responsibility/visa-2017-corporate-responsibility-report.pdf</t>
  </si>
  <si>
    <t>Walgreens Boots Alliance</t>
  </si>
  <si>
    <t xml:space="preserve"> </t>
  </si>
  <si>
    <t>- Invest in energy efficient lighting, heating, ventilation and air conditioning (HVAC) units and refrigerators, engage and educate employees around energy consumption, Invest in photovoltaic systems, source electricity from low-carbon generation sources, use alternative energy management programs, contract to purchase electricity generated from renewable origins in the UK and the Republic of Ireland and interact with utilities toward programmed demand-response curtailment of energy use</t>
  </si>
  <si>
    <t>- https://www.walgreensbootsalliance.com/corporate-social-responsibility/resource-library
- https://www.walgreensbootsalliance.com/corporate-social-responsibility/csr-report-archive</t>
  </si>
  <si>
    <t>Walmart</t>
  </si>
  <si>
    <t>18% reduction from 2015 to 2025</t>
  </si>
  <si>
    <t>Membership and participation but seemingly little advocacy - Renewable Energy Buyers Alliance, Paris and Bonn Negotiations, We Are Still In</t>
  </si>
  <si>
    <t>- Under Project GigatonTM, aim to work with suppliers to avoid 1 billion metric tons of greenhouse gases from the global value chain by 2030 (Scope 3) (1,000 suppliers had signed on by 2019) - engages suppliers in setting targets and pursuing initiatives to avoid emissions in any of six areas where there are opportunities to do so: energy use, sustainable agriculture, waste, deforestation, packaging and product use
- 50% renewable energy by 2025
- In FY2017, Walmart and the Walmart Foundation pledged $25 million in cash and in-kind donations to support disaster preparedness and relief through 2020
- Improving the performance of our refrigeration systems
- Maximizing the sustainability of our fleet</t>
  </si>
  <si>
    <t>First retailer to announce a science-based target to reduce greenhouse gases in alignment with the Paris Agreement
Has not reported emissions for 2018 or 2019</t>
  </si>
  <si>
    <t>- https://corporate.walmart.com/media-library/document/2019-environmental-social-governance-report/_proxyDocument?id=0000016c-20b5-d46a-afff-f5bdafd30000
- https://ilsr.org/wp-content/uploads/2012/04/topten-walmartsustainability.pdf</t>
  </si>
  <si>
    <t>Wells Fargo</t>
  </si>
  <si>
    <t>45% + reduction from 2008 Scope 1, 2 + business air travel emissions (2008 total: 1,953,466)</t>
  </si>
  <si>
    <t>N - renewable energy RECs though</t>
  </si>
  <si>
    <t>- Continue to purchase renewable electricity to meet 100% of our global operations needs (purchased RECs)
- Transition to long-term agreements that fund new sources of green power by 2020
- Sustain or increase our 45% reduction in greenhouse gas emissions from 2008 levels
- Reduce energy consumption 40% (2008 to 2020)
- Achieve LEED® status for 35% of buildings (by square footage in leased and owned buildings)
- Provide $200 billion in financing to sustainable businesses and projects (2018-2030) with more than 50 percent focused on clean technology and renewable energy transactions that directly support the transition to a low-carbon economy</t>
  </si>
  <si>
    <t>- https://www08.wellsfargomedia.com/assets/pdf/about/corporate-responsibility/gri-environmental-indicators.pdf
- https://www08.wellsfargomedia.com/assets/pdf/about/corporate-responsibility/verification-statement.pdf
- https://www08.wellsfargomedia.com/assets/pdf/about/corporate-responsibility/climate-change-issue-brief.pdf
- https://www08.wellsfargomedia.com/assets/pdf/about/corporate-responsibility/climate-change-information-request.pdf
- https://www08.wellsfargomedia.com/assets/pdf/about/corporate-responsibility/2015-social-responsibility-report.pdf</t>
  </si>
  <si>
    <t>AIG</t>
  </si>
  <si>
    <t>CVS</t>
  </si>
  <si>
    <t>GE</t>
  </si>
  <si>
    <t>GM</t>
  </si>
  <si>
    <t>UPS</t>
  </si>
  <si>
    <t>Berkshire Hathaway</t>
  </si>
  <si>
    <t>BlackRock</t>
  </si>
  <si>
    <t>Charter Communications</t>
  </si>
  <si>
    <t>Gilead Sciences</t>
  </si>
  <si>
    <t>Kinder Morgan</t>
  </si>
  <si>
    <t>Nike</t>
  </si>
  <si>
    <t>NR</t>
  </si>
  <si>
    <t>Apple</t>
  </si>
  <si>
    <t>Facebook</t>
  </si>
  <si>
    <t>AT&amp;T</t>
  </si>
  <si>
    <t>PepsiCo</t>
  </si>
  <si>
    <t>Starbucks</t>
  </si>
  <si>
    <t>Cisco</t>
  </si>
  <si>
    <t>Amazon</t>
  </si>
  <si>
    <t>- Carbon neutral targets not company wide, only for wind, solar division operations. Now targeting carbon neutrality for all operations
- Engaged in policy, but vague on how or through what channels</t>
  </si>
  <si>
    <t>- Scope 2 emissions are location-based for 2017 and 2016 because market-based data was not provided</t>
  </si>
  <si>
    <t>- All Scope 2 figures are location-based because market-based data was not provided</t>
  </si>
  <si>
    <t>- Scope 3 only includes business travel for 2016 and 2015</t>
  </si>
  <si>
    <t>-reduce scope 1 and 2 emissions 65% by 2025 from our 2016 baseline (20% of total emissions 1257636). To date, we have cut these emissions by more than 19%.
- Currently at 26% RE</t>
  </si>
  <si>
    <t>American International Group (AIG)</t>
  </si>
  <si>
    <t>- Scope 1 is omitted for 2015-2018 because the figures were reported for UK operations only</t>
  </si>
  <si>
    <t>Per third source, BofA does not calculate the Scope 3 emissions of its investments, which is a notable omission of their culpability in bankrolling the fossil fuel industry
"Carbon neutral" refers to their Scope 1 and 2 emissions</t>
  </si>
  <si>
    <t>Scope 3 includes business travel only</t>
  </si>
  <si>
    <t>-Boeing is working to achieve its environmental goals by 2025, which include reducing greenhouse gas emissions by 25%
- data available for relative decline in emissions, but not actual GHG emissions '
- partnership with suppliers for sustainable manufacture, but no concrete targets for what that means
- Reduce carbon emissions by 50% from 2017 by 2050</t>
  </si>
  <si>
    <t>Scope 3 emissions are non-exhaustive</t>
  </si>
  <si>
    <t>Majority of Scope 3 emissions come from 'use of sold products'</t>
  </si>
  <si>
    <t>Calculates Scope 3 emissions from investments in select years</t>
  </si>
  <si>
    <t>-Vague infomration about sustainability targets around renewables use and fleet emissions. No scope 1/2/3 information available or SBT</t>
  </si>
  <si>
    <t>- Net Zero includes Scopes 1 and 2</t>
  </si>
  <si>
    <t>- Country specific targets, not global effort for carbon neutrality
- Reports GHG emissions for Scope 1 and 2 but normalized by sales figures. Does not report absolute emissions</t>
  </si>
  <si>
    <t>- Scope 2 emissions are location-based</t>
  </si>
  <si>
    <t>- Scope 3 emissions are non-exhaustive</t>
  </si>
  <si>
    <t>Scope 3 is non-exhaustive</t>
  </si>
  <si>
    <t>Scope 3 is non-exhaustive
Scope 2 is location-based</t>
  </si>
  <si>
    <t>Seems like somewhat of a laggard in terms of carbon reduction (not very ambitious goals or initiatives) but CDP has them on their A list (maybe that's just for their diclosure)
Scope 2 is location-based</t>
  </si>
  <si>
    <t>Scope 3 non-exhaustive</t>
  </si>
  <si>
    <t>2018 Scope 1 + 2 were not measured so 2019 data was used as a proxy</t>
  </si>
  <si>
    <t>- http://www.nexteraenergy.com/sustainability/overview/about-this-report/by-the-numbers.html</t>
  </si>
  <si>
    <t>Used CO2e multipliers to convert CO2 and NO2 metrics into total CO2e</t>
  </si>
  <si>
    <t>Net zero as of FY18 through carbon offsets (including Scope 3)
Scope 3 only includes business travel and employee commuting</t>
  </si>
  <si>
    <t>- Avoid emissions by siting facilities on clean energy grids.
- Reduce ongoing projects throughout our operations with investments in green office spaces and improvements to data center efficiency.
- Mitigate and offset electricity consumption for years to come by signing virtual power purchase agreements.
- Commits that suppliers representing 60% of its scope 3 emissions, covering all upstream emission categories, will set science-based targets by 2024</t>
  </si>
  <si>
    <t>- https://s2.q4cdn.com/471677839/files/doc_financials/2019/annual/SO_2019_AR_Final.pdf
- https://www.southerncompany.com/content/dam/southern-company/pdf/corpresponsibility/The-Southern-Company-2018-CDP-Climate-Change-response.pdf
- https://www.southerncompany.com/content/dam/southern-company/pdf/corpresponsibility/CDP-Climate-Disclosure-2019.pdf
- https://www.southerncompany.com/corporate-responsibility/environment/air-and-climate.html
- https://www.southerncompany.com/content/dam/southern-company/pdf/corpresponsibility/2017_Corporate_Responsibility_Report.pdf
- https://www.southerncompany.com/content/dam/southern-company/pdf/reports/CarbonDisclosureReport2016.pdf
- https://www.cdp.net/en/formatted_responses/responses?campaign_id=66216852&amp;discloser_id=831071&amp;locale=en&amp;organization_name=The+Southern+Company&amp;organization_number=18951&amp;program=Investor&amp;project_year=2019&amp;redirect=https%3A%2F%2Fcdp.credit360.com%2Fsurveys%2F9hz110bc%2F54074&amp;survey_id=65670419
- https://www.southerncompany.com/content/dam/southern-company/pdf/corpresponsibility/CDP-Climate-Disclosure-2020.pdf</t>
  </si>
  <si>
    <t>Shorthand Company Name</t>
  </si>
  <si>
    <t>Netflix</t>
  </si>
  <si>
    <t>Nextera Energy</t>
  </si>
  <si>
    <t>Dow</t>
  </si>
  <si>
    <t>Union Pacific</t>
  </si>
  <si>
    <t>Verizon</t>
  </si>
  <si>
    <t>Intel</t>
  </si>
  <si>
    <t>Target</t>
  </si>
  <si>
    <t>Schlumberger</t>
  </si>
  <si>
    <t>Honeywell</t>
  </si>
  <si>
    <t>Caterpillar</t>
  </si>
  <si>
    <t>Mondelez</t>
  </si>
  <si>
    <t>Raytheon</t>
  </si>
  <si>
    <t>Kraft Heinz</t>
  </si>
  <si>
    <t>Pfizer</t>
  </si>
  <si>
    <t>Thermo Fisher</t>
  </si>
  <si>
    <t>Citigroup</t>
  </si>
  <si>
    <t>AbbVie</t>
  </si>
  <si>
    <t>Philip Morris</t>
  </si>
  <si>
    <t>Amgen</t>
  </si>
  <si>
    <t>Simon Property Group</t>
  </si>
  <si>
    <t>QUALCOMM</t>
  </si>
  <si>
    <t>Allstate</t>
  </si>
  <si>
    <t>Biogen</t>
  </si>
  <si>
    <t>Booking Holdings</t>
  </si>
  <si>
    <t>Visa</t>
  </si>
  <si>
    <t>Adobe</t>
  </si>
  <si>
    <t>Goldman Sachs</t>
  </si>
  <si>
    <t>MetLife</t>
  </si>
  <si>
    <t>Capital One</t>
  </si>
  <si>
    <t>MasterCard</t>
  </si>
  <si>
    <t xml:space="preserve">Microsoft </t>
  </si>
  <si>
    <t xml:space="preserve">Merck </t>
  </si>
  <si>
    <t xml:space="preserve">IBM </t>
  </si>
  <si>
    <t xml:space="preserve">Lockheed Martin </t>
  </si>
  <si>
    <t xml:space="preserve">JPMorgan Chase </t>
  </si>
  <si>
    <t xml:space="preserve">McDonald's </t>
  </si>
  <si>
    <t>Altria</t>
  </si>
  <si>
    <t>Ford</t>
  </si>
  <si>
    <t>Lowe's</t>
  </si>
  <si>
    <t>Coca Cola</t>
  </si>
  <si>
    <t>P&amp;G</t>
  </si>
  <si>
    <t>Walgreens</t>
  </si>
  <si>
    <t>Disney</t>
  </si>
  <si>
    <t>J&amp;J</t>
  </si>
  <si>
    <t>Alphabet / Google</t>
  </si>
  <si>
    <t>Bank of New York Mellon</t>
  </si>
  <si>
    <t>*Data as of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</si>
</sst>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quot;$&quot;#,##0"/>
    <numFmt numFmtId="165" formatCode="_(* #,##0_);_(* \(#,##0\);_(* &quot;-&quot;??_);_(@_)"/>
  </numFmts>
  <fonts count="7" x14ac:knownFonts="1">
    <font>
      <sz val="10"/>
      <color rgb="FF000000"/>
      <name val="Arial"/>
    </font>
    <font>
      <u/>
      <sz val="10"/>
      <color theme="10"/>
      <name val="Arial"/>
      <family val="2"/>
    </font>
    <font>
      <b/>
      <sz val="10"/>
      <color rgb="FF000000"/>
      <name val="Arial"/>
      <family val="2"/>
    </font>
    <font>
      <sz val="10"/>
      <color rgb="FF000000"/>
      <name val="Arial"/>
      <family val="2"/>
    </font>
    <font>
      <sz val="10"/>
      <color rgb="FF000000"/>
      <name val="Arial"/>
      <family val="2"/>
    </font>
    <font>
      <sz val="10"/>
      <color rgb="FFFF0000"/>
      <name val="Arial"/>
      <family val="2"/>
    </font>
    <font>
      <sz val="8"/>
      <name val="Arial"/>
      <family val="2"/>
    </font>
  </fonts>
  <fills count="7">
    <fill>
      <patternFill patternType="none"/>
    </fill>
    <fill>
      <patternFill patternType="gray125"/>
    </fill>
    <fill>
      <patternFill patternType="solid">
        <fgColor rgb="FFDDEBF7"/>
        <bgColor indexed="64"/>
      </patternFill>
    </fill>
    <fill>
      <patternFill patternType="solid">
        <fgColor rgb="FFE2EFDA"/>
        <bgColor indexed="64"/>
      </patternFill>
    </fill>
    <fill>
      <patternFill patternType="solid">
        <fgColor rgb="FFFFF2CC"/>
        <bgColor indexed="64"/>
      </patternFill>
    </fill>
    <fill>
      <patternFill patternType="solid">
        <fgColor rgb="FFD6DCE4"/>
        <bgColor indexed="64"/>
      </patternFill>
    </fill>
    <fill>
      <patternFill patternType="solid">
        <fgColor rgb="FFFCE4D6"/>
        <bgColor indexed="64"/>
      </patternFill>
    </fill>
  </fills>
  <borders count="1">
    <border>
      <left/>
      <right/>
      <top/>
      <bottom/>
      <diagonal/>
    </border>
  </borders>
  <cellStyleXfs count="4">
    <xf numFmtId="0" fontId="0" fillId="0" borderId="0"/>
    <xf numFmtId="0" fontId="1" fillId="0" borderId="0" applyNumberFormat="0" applyFill="0" applyBorder="0" applyAlignment="0" applyProtection="0"/>
    <xf numFmtId="44" fontId="3" fillId="0" borderId="0" applyFont="0" applyFill="0" applyBorder="0" applyAlignment="0" applyProtection="0"/>
    <xf numFmtId="43" fontId="4" fillId="0" borderId="0" applyFont="0" applyFill="0" applyBorder="0" applyAlignment="0" applyProtection="0"/>
  </cellStyleXfs>
  <cellXfs count="40">
    <xf numFmtId="0" fontId="0" fillId="0" borderId="0" xfId="0" applyFont="1" applyAlignment="1"/>
    <xf numFmtId="0" fontId="2" fillId="0" borderId="0" xfId="0" applyFont="1" applyAlignment="1"/>
    <xf numFmtId="0" fontId="2" fillId="0" borderId="0" xfId="0" applyFont="1" applyAlignment="1">
      <alignment wrapText="1"/>
    </xf>
    <xf numFmtId="0" fontId="0" fillId="0" borderId="0" xfId="0" applyFont="1" applyAlignment="1">
      <alignment wrapText="1"/>
    </xf>
    <xf numFmtId="0" fontId="3" fillId="0" borderId="0" xfId="0" applyFont="1" applyAlignment="1"/>
    <xf numFmtId="164" fontId="0" fillId="0" borderId="0" xfId="2" applyNumberFormat="1" applyFont="1" applyAlignment="1"/>
    <xf numFmtId="3" fontId="0" fillId="0" borderId="0" xfId="0" applyNumberFormat="1" applyFont="1" applyAlignment="1">
      <alignment wrapText="1"/>
    </xf>
    <xf numFmtId="0" fontId="0" fillId="0" borderId="0" xfId="0" quotePrefix="1" applyFont="1" applyAlignment="1"/>
    <xf numFmtId="1" fontId="2" fillId="0" borderId="0" xfId="0" applyNumberFormat="1" applyFont="1" applyAlignment="1">
      <alignment wrapText="1"/>
    </xf>
    <xf numFmtId="1" fontId="0" fillId="0" borderId="0" xfId="2" applyNumberFormat="1" applyFont="1" applyAlignment="1"/>
    <xf numFmtId="1" fontId="0" fillId="0" borderId="0" xfId="0" applyNumberFormat="1" applyFont="1" applyAlignment="1"/>
    <xf numFmtId="6" fontId="0" fillId="0" borderId="0" xfId="0" applyNumberFormat="1" applyFont="1" applyAlignment="1"/>
    <xf numFmtId="165" fontId="3" fillId="0" borderId="0" xfId="3" applyNumberFormat="1" applyFont="1" applyAlignment="1">
      <alignment wrapText="1"/>
    </xf>
    <xf numFmtId="165" fontId="0" fillId="0" borderId="0" xfId="3" applyNumberFormat="1" applyFont="1" applyAlignment="1">
      <alignment wrapText="1"/>
    </xf>
    <xf numFmtId="0" fontId="3" fillId="0" borderId="0" xfId="0" quotePrefix="1" applyFont="1" applyAlignment="1">
      <alignment wrapText="1"/>
    </xf>
    <xf numFmtId="3" fontId="3" fillId="0" borderId="0" xfId="0" applyNumberFormat="1" applyFont="1" applyAlignment="1">
      <alignment wrapText="1"/>
    </xf>
    <xf numFmtId="0" fontId="3" fillId="0" borderId="0" xfId="0" quotePrefix="1" applyFont="1" applyAlignment="1"/>
    <xf numFmtId="165" fontId="0" fillId="0" borderId="0" xfId="3" applyNumberFormat="1" applyFont="1" applyAlignment="1"/>
    <xf numFmtId="0" fontId="0" fillId="0" borderId="0" xfId="0" quotePrefix="1" applyFont="1" applyAlignment="1">
      <alignment wrapText="1"/>
    </xf>
    <xf numFmtId="3" fontId="0" fillId="0" borderId="0" xfId="0" applyNumberFormat="1" applyFont="1" applyAlignment="1"/>
    <xf numFmtId="0" fontId="1" fillId="0" borderId="0" xfId="1" applyAlignment="1">
      <alignment wrapText="1"/>
    </xf>
    <xf numFmtId="0" fontId="0" fillId="0" borderId="0" xfId="0" applyFont="1" applyFill="1" applyAlignment="1"/>
    <xf numFmtId="0" fontId="5" fillId="0" borderId="0" xfId="0" applyFont="1" applyAlignment="1"/>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2" fillId="6" borderId="0" xfId="0" applyFont="1" applyFill="1" applyAlignment="1">
      <alignment wrapText="1"/>
    </xf>
    <xf numFmtId="9" fontId="0" fillId="0" borderId="0" xfId="0" applyNumberFormat="1" applyFont="1" applyAlignment="1"/>
    <xf numFmtId="49" fontId="0" fillId="0" borderId="0" xfId="0" applyNumberFormat="1" applyFont="1" applyFill="1" applyAlignment="1"/>
    <xf numFmtId="0" fontId="3" fillId="0" borderId="0" xfId="0" applyFont="1" applyAlignment="1">
      <alignment wrapText="1"/>
    </xf>
    <xf numFmtId="164" fontId="3" fillId="0" borderId="0" xfId="2" applyNumberFormat="1" applyFont="1" applyAlignment="1"/>
    <xf numFmtId="0" fontId="3" fillId="0" borderId="0" xfId="0" applyFont="1" applyFill="1" applyAlignment="1"/>
    <xf numFmtId="49" fontId="3" fillId="0" borderId="0" xfId="0" applyNumberFormat="1" applyFont="1" applyFill="1" applyAlignment="1"/>
    <xf numFmtId="0" fontId="0" fillId="0" borderId="0" xfId="0"/>
    <xf numFmtId="0" fontId="0" fillId="0" borderId="0" xfId="0" applyAlignment="1">
      <alignment wrapText="1"/>
    </xf>
    <xf numFmtId="3" fontId="3" fillId="0" borderId="0" xfId="0" applyNumberFormat="1" applyFont="1" applyAlignment="1"/>
    <xf numFmtId="164" fontId="3" fillId="0" borderId="0" xfId="0" applyNumberFormat="1" applyFont="1" applyAlignment="1"/>
    <xf numFmtId="1" fontId="3" fillId="0" borderId="0" xfId="0" applyNumberFormat="1" applyFont="1" applyAlignment="1"/>
    <xf numFmtId="165" fontId="3" fillId="0" borderId="0" xfId="0" applyNumberFormat="1" applyFont="1" applyAlignment="1">
      <alignment wrapText="1"/>
    </xf>
  </cellXfs>
  <cellStyles count="4">
    <cellStyle name="Comma" xfId="3" builtinId="3"/>
    <cellStyle name="Currency" xfId="2" builtinId="4"/>
    <cellStyle name="Hyperlink" xfId="1" builtinId="8"/>
    <cellStyle name="Normal" xfId="0" builtinId="0"/>
  </cellStyles>
  <dxfs count="80">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3" Type="http://schemas.openxmlformats.org/officeDocument/2006/relationships/connections" Target="connections.xml"/><Relationship Id="rId21" Type="http://schemas.openxmlformats.org/officeDocument/2006/relationships/customXml" Target="../customXml/item14.xml"/><Relationship Id="rId7" Type="http://schemas.openxmlformats.org/officeDocument/2006/relationships/calcChain" Target="calcChain.xml"/><Relationship Id="rId12" Type="http://schemas.openxmlformats.org/officeDocument/2006/relationships/customXml" Target="../customXml/item5.xml"/><Relationship Id="rId17" Type="http://schemas.openxmlformats.org/officeDocument/2006/relationships/customXml" Target="../customXml/item10.xml"/><Relationship Id="rId2" Type="http://schemas.openxmlformats.org/officeDocument/2006/relationships/theme" Target="theme/theme1.xml"/><Relationship Id="rId16" Type="http://schemas.openxmlformats.org/officeDocument/2006/relationships/customXml" Target="../customXml/item9.xml"/><Relationship Id="rId20"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owerPivotData" Target="model/item.data"/><Relationship Id="rId11" Type="http://schemas.openxmlformats.org/officeDocument/2006/relationships/customXml" Target="../customXml/item4.xml"/><Relationship Id="rId5" Type="http://schemas.openxmlformats.org/officeDocument/2006/relationships/sharedStrings" Target="sharedStrings.xml"/><Relationship Id="rId15" Type="http://schemas.openxmlformats.org/officeDocument/2006/relationships/customXml" Target="../customXml/item8.xml"/><Relationship Id="rId23" Type="http://schemas.openxmlformats.org/officeDocument/2006/relationships/customXml" Target="../customXml/item16.xml"/><Relationship Id="rId10" Type="http://schemas.openxmlformats.org/officeDocument/2006/relationships/customXml" Target="../customXml/item3.xml"/><Relationship Id="rId19" Type="http://schemas.openxmlformats.org/officeDocument/2006/relationships/customXml" Target="../customXml/item12.xml"/><Relationship Id="rId4" Type="http://schemas.openxmlformats.org/officeDocument/2006/relationships/styles" Target="styles.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24FFCF-A1E3-48CF-933B-0806807F1D49}" name="Table1" displayName="Table1" ref="A1:AX102" totalsRowCount="1" headerRowDxfId="79" dataDxfId="78">
  <autoFilter ref="A1:AX101" xr:uid="{B38EC9B0-0C32-471C-984D-71F543716B72}"/>
  <sortState xmlns:xlrd2="http://schemas.microsoft.com/office/spreadsheetml/2017/richdata2" ref="A2:AX101">
    <sortCondition ref="A1:A101"/>
  </sortState>
  <tableColumns count="50">
    <tableColumn id="1" xr3:uid="{398EA38E-C384-4BDD-9E09-25FC1FF0C7C7}" name="Company Name" dataDxfId="77" totalsRowDxfId="38"/>
    <tableColumn id="69" xr3:uid="{537EA2F0-2F2A-42E9-859D-B5A35F2F38C8}" name="Shorthand Company Name" dataDxfId="76" totalsRowDxfId="37"/>
    <tableColumn id="2" xr3:uid="{71B1879C-D438-4C5C-8ADA-01AF3F0C5AF0}" name="Sector"/>
    <tableColumn id="3" xr3:uid="{0C2C7332-081E-4A7F-88D9-2982C2DE2235}" name="Industry" dataDxfId="75" totalsRowDxfId="36"/>
    <tableColumn id="4" xr3:uid="{77C2697E-E2C2-487F-AB09-8EA64EF7DF20}" name="Size (2019 Revenue)" dataDxfId="74" totalsRowDxfId="35" dataCellStyle="Currency"/>
    <tableColumn id="5" xr3:uid="{8F2FF33B-2525-4FB4-A163-5E2571D8B502}" name="Net Earnings/Income (2019)" dataDxfId="73" totalsRowDxfId="34" dataCellStyle="Currency"/>
    <tableColumn id="6" xr3:uid="{CE4200D0-58F6-4F2E-8A32-5ABF8AD49FC4}" name="IPO Year" dataDxfId="72" totalsRowDxfId="33" dataCellStyle="Currency"/>
    <tableColumn id="7" xr3:uid="{4528A40F-3394-4A74-8194-AAFC08C6C072}" name="S&amp;P 100? (Y/N)" dataDxfId="71" totalsRowDxfId="32" dataCellStyle="Currency"/>
    <tableColumn id="8" xr3:uid="{C56AFEC0-BAA3-4F42-BE5B-32940CD8CF1C}" name="Carbon Neutral Goal? (Y/N)"/>
    <tableColumn id="9" xr3:uid="{5A8D5E3F-216C-4049-AF7D-284D43E0BB47}" name="Science-Based Target? (Y/N)"/>
    <tableColumn id="10" xr3:uid="{D571FC94-7AF2-431D-AC48-04599689158B}" name="Carbon Neutral by.... (year)"/>
    <tableColumn id="11" xr3:uid="{4A38C53F-CE16-460B-B710-A9A7A92686B4}" name="Carbon Neutral Announcement (year)"/>
    <tableColumn id="12" xr3:uid="{2E5B117F-AE37-408C-BB2D-14CC69D0A39E}" name="Carbon Goal (if non-zero)"/>
    <tableColumn id="13" xr3:uid="{7BBB9DC0-8C94-449D-9B4F-35C56437727A}" name="Reliance on Offsets? (Y/N)"/>
    <tableColumn id="14" xr3:uid="{A1985EC7-50A3-491A-A7E9-D9F6EB155545}" name="RE100 Commitment? (Y/N)"/>
    <tableColumn id="15" xr3:uid="{55B44FD0-A4F9-4855-ADAD-3F4FC6FE2407}" name="100% Renewable Energy by... (year)"/>
    <tableColumn id="16" xr3:uid="{F3CCBB0D-7275-48EB-A472-9BE1DF1DC5E6}" name="2019 Scope 1 (MeT Co2)" dataDxfId="70" totalsRowDxfId="31" dataCellStyle="Comma"/>
    <tableColumn id="17" xr3:uid="{3AAB91F8-5653-4BA9-B8A2-534E8E5D2B69}" name="2019 Scope 2 " dataDxfId="69" totalsRowDxfId="30" dataCellStyle="Comma"/>
    <tableColumn id="18" xr3:uid="{F14E36A1-FF38-41E0-B480-1B2CB14DE342}" name="2019 Offsets Purchased" dataDxfId="68" totalsRowDxfId="29" dataCellStyle="Comma"/>
    <tableColumn id="19" xr3:uid="{CE5E2375-DA7C-4F58-A701-3FAA145D84B7}" name="2019 Net Scope 1 + 2 Emissions" dataDxfId="67" totalsRowDxfId="28" dataCellStyle="Comma">
      <calculatedColumnFormula>IFERROR(Q2+R2-S2,"")</calculatedColumnFormula>
    </tableColumn>
    <tableColumn id="20" xr3:uid="{F9A03DDB-CFFE-4D15-9111-7324364D552B}" name="2019 Scope 3 " dataDxfId="66" totalsRowDxfId="27" dataCellStyle="Comma"/>
    <tableColumn id="62" xr3:uid="{842F8120-486C-488E-BB06-83C15C9B2D83}" name="2019 Total Scope 1, 2 + 3" dataDxfId="65" totalsRowDxfId="26" dataCellStyle="Comma">
      <calculatedColumnFormula>IFERROR(T2+U2,"")</calculatedColumnFormula>
    </tableColumn>
    <tableColumn id="21" xr3:uid="{46CB6DCC-3475-40D9-A426-F32EBF168D6D}" name="2018 Scope 1" dataDxfId="64" totalsRowDxfId="25" dataCellStyle="Comma"/>
    <tableColumn id="22" xr3:uid="{E48FFEA6-F944-4042-A53A-BBE0B66FC329}" name="2018 Scope 2" dataDxfId="63" totalsRowDxfId="24" dataCellStyle="Comma"/>
    <tableColumn id="23" xr3:uid="{EE846130-6D2D-45E1-8D82-07C6BA87A779}" name="2018 Offsets Purchased" dataDxfId="62" totalsRowDxfId="23" dataCellStyle="Comma"/>
    <tableColumn id="24" xr3:uid="{F794873A-5F80-4E88-B5AE-80CD8BCDFAAF}" name="2018 Net Scope 1 + 2 Emissions" dataDxfId="61" totalsRowDxfId="22" dataCellStyle="Comma">
      <calculatedColumnFormula>IFERROR(W2+X2-Y2,"")</calculatedColumnFormula>
    </tableColumn>
    <tableColumn id="25" xr3:uid="{29A4C0E0-3FAD-4F63-8E5F-88E1F32EA37F}" name="2018 Scope 3" dataDxfId="60" totalsRowDxfId="21" dataCellStyle="Comma"/>
    <tableColumn id="61" xr3:uid="{C45762E3-4919-4A70-8B64-588CE24F1BD0}" name="2018 Total Scope 1, 2 + Scope 3" dataDxfId="59" totalsRowDxfId="20" dataCellStyle="Comma">
      <calculatedColumnFormula>IFERROR(Z2+AA2,"")</calculatedColumnFormula>
    </tableColumn>
    <tableColumn id="26" xr3:uid="{68E54195-066F-49CB-AACD-19A8A2478DF9}" name="2017 Scope 1" dataDxfId="58" totalsRowDxfId="19" dataCellStyle="Comma"/>
    <tableColumn id="27" xr3:uid="{AFD0D8F0-0DD8-4C68-AEE3-452E5FCF0780}" name="2017 Scope 2" dataDxfId="57" totalsRowDxfId="18" dataCellStyle="Comma"/>
    <tableColumn id="28" xr3:uid="{C50834F2-FE8F-4E66-A200-C70133A87101}" name="2017 Offsets Purchased" dataDxfId="56" totalsRowDxfId="17" dataCellStyle="Comma"/>
    <tableColumn id="29" xr3:uid="{18284B08-2E15-4CE2-8A33-5D0BE59C64D8}" name="2017 Net Scope 1 + 2 Emissions" dataDxfId="55" totalsRowDxfId="16" dataCellStyle="Comma">
      <calculatedColumnFormula>IFERROR(AC2+AD2-AE2,"")</calculatedColumnFormula>
    </tableColumn>
    <tableColumn id="30" xr3:uid="{E2B2A7F0-002B-4018-A9DE-16C831A16512}" name="2017 Scope 3" dataDxfId="54" totalsRowDxfId="15" dataCellStyle="Comma"/>
    <tableColumn id="63" xr3:uid="{9A757284-2687-46CF-BF9A-D5CB4D8ED432}" name="2017 Total Scope 1, 2 + 3" dataDxfId="53" totalsRowDxfId="14" dataCellStyle="Comma">
      <calculatedColumnFormula>IFERROR(AF2+AG2,"")</calculatedColumnFormula>
    </tableColumn>
    <tableColumn id="31" xr3:uid="{6B018613-C9C4-4BA6-B7EB-3B1BAFDC5EB3}" name="2016 Scope 1" dataDxfId="52" totalsRowDxfId="13" dataCellStyle="Comma"/>
    <tableColumn id="32" xr3:uid="{568AC599-B73D-41EC-BE15-016AE6E1318C}" name="2016 Scope 2" dataDxfId="51" totalsRowDxfId="12" dataCellStyle="Comma"/>
    <tableColumn id="33" xr3:uid="{7541ACA9-BF60-40D5-986B-A67F0E46B8A5}" name="2016 Offsets Purchased" dataDxfId="50" totalsRowDxfId="11" dataCellStyle="Comma"/>
    <tableColumn id="34" xr3:uid="{9FD1F91F-0D90-46B4-8568-8D912EB51435}" name="2016 Net Scope 1 + 2 Emissions" dataDxfId="49" totalsRowDxfId="10" dataCellStyle="Comma">
      <calculatedColumnFormula>IFERROR(AI2+AJ2-AK2,"")</calculatedColumnFormula>
    </tableColumn>
    <tableColumn id="35" xr3:uid="{EF22F29A-C551-42CD-8BFD-165D4DA5A80E}" name="2016 Scope 3" dataDxfId="48" totalsRowDxfId="9" dataCellStyle="Comma"/>
    <tableColumn id="64" xr3:uid="{9895AAE3-98CB-406B-A7BF-34F6590C1931}" name="2016 Total Scope 1, 2 + 3" dataDxfId="47" totalsRowDxfId="8" dataCellStyle="Comma">
      <calculatedColumnFormula>IFERROR(AL2+AM2,"")</calculatedColumnFormula>
    </tableColumn>
    <tableColumn id="36" xr3:uid="{86BC0C75-4244-4E3E-AD91-39CCE9C443A5}" name="2015 Scope 1" dataDxfId="46" totalsRowDxfId="7" dataCellStyle="Comma"/>
    <tableColumn id="37" xr3:uid="{F3B728F3-195C-4AC6-87B9-BDA0074BE45A}" name="2015 Scope 2" dataDxfId="45" totalsRowDxfId="6" dataCellStyle="Comma"/>
    <tableColumn id="38" xr3:uid="{D8FE239B-38CE-4586-BBE6-BC85E8FF6511}" name="2015 Offsets Purchased" dataDxfId="44" totalsRowDxfId="5" dataCellStyle="Comma"/>
    <tableColumn id="39" xr3:uid="{AD0FEE62-ADB7-4A66-8746-EF8285EE1F2D}" name="2015 Net Scope 1 + 2 Emissions" dataDxfId="43" totalsRowDxfId="4" dataCellStyle="Comma">
      <calculatedColumnFormula>IFERROR(AO2+AP2-AQ2,"")</calculatedColumnFormula>
    </tableColumn>
    <tableColumn id="40" xr3:uid="{36258CC5-840E-44AB-82F0-2AA91A7E1684}" name="2015 Scope 3" dataDxfId="42" totalsRowDxfId="3" dataCellStyle="Comma"/>
    <tableColumn id="65" xr3:uid="{5ADFCADD-520F-4F49-AEEB-D141C30EC90A}" name="2015 Total Scope 1, 2 + 3" dataDxfId="41" totalsRowDxfId="2" dataCellStyle="Comma">
      <calculatedColumnFormula>IFERROR(AR2+AS2,"")</calculatedColumnFormula>
    </tableColumn>
    <tableColumn id="41" xr3:uid="{0097CD94-3DD0-403D-A540-8B881D50B476}" name="Policy Arm?"/>
    <tableColumn id="42" xr3:uid="{733772B4-6C09-49A3-B92D-04311A832694}" name="Initiatives for Carbon Neutrality" dataDxfId="40" totalsRowDxfId="1"/>
    <tableColumn id="43" xr3:uid="{5736213F-B696-47D2-9295-2E1950A63B45}" name="Notes"/>
    <tableColumn id="44" xr3:uid="{1B4075C5-7613-4AD8-9BC2-A0D6BC03AFAD}" name="Sources" dataDxfId="39" totalsRow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ir-capitalone.gcs-web.com/news-releases/news-release-details/capital-one-reports-fourth-quarter-2019-net-income-12-billion-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C759-9CC9-40B7-B10F-456F7314DA71}">
  <dimension ref="A1:AX181"/>
  <sheetViews>
    <sheetView tabSelected="1" workbookViewId="0">
      <pane xSplit="1" ySplit="1" topLeftCell="F2" activePane="bottomRight" state="frozen"/>
      <selection pane="topRight"/>
      <selection pane="bottomLeft"/>
      <selection pane="bottomRight"/>
    </sheetView>
  </sheetViews>
  <sheetFormatPr defaultRowHeight="12.5" x14ac:dyDescent="0.25"/>
  <cols>
    <col min="1" max="1" width="24.453125" bestFit="1" customWidth="1"/>
    <col min="2" max="2" width="24.453125" hidden="1" customWidth="1"/>
    <col min="3" max="3" width="20.54296875" bestFit="1" customWidth="1"/>
    <col min="4" max="4" width="15.54296875" customWidth="1"/>
    <col min="5" max="5" width="20.1796875" customWidth="1"/>
    <col min="6" max="6" width="25.81640625" customWidth="1"/>
    <col min="7" max="7" width="10.453125" style="10" customWidth="1"/>
    <col min="8" max="16" width="10.7265625" customWidth="1"/>
    <col min="17" max="46" width="11.90625" customWidth="1"/>
    <col min="47" max="47" width="10.7265625" customWidth="1"/>
    <col min="48" max="48" width="114" customWidth="1"/>
    <col min="49" max="49" width="50.453125" customWidth="1"/>
    <col min="50" max="50" width="78.453125" customWidth="1"/>
  </cols>
  <sheetData>
    <row r="1" spans="1:50" ht="52" x14ac:dyDescent="0.3">
      <c r="A1" s="2" t="s">
        <v>17</v>
      </c>
      <c r="B1" s="2" t="s">
        <v>437</v>
      </c>
      <c r="C1" s="2" t="s">
        <v>18</v>
      </c>
      <c r="D1" s="2" t="s">
        <v>19</v>
      </c>
      <c r="E1" s="2" t="s">
        <v>20</v>
      </c>
      <c r="F1" s="2" t="s">
        <v>21</v>
      </c>
      <c r="G1" s="8" t="s">
        <v>22</v>
      </c>
      <c r="H1" s="2" t="s">
        <v>23</v>
      </c>
      <c r="I1" s="2" t="s">
        <v>24</v>
      </c>
      <c r="J1" s="2" t="s">
        <v>25</v>
      </c>
      <c r="K1" s="2" t="s">
        <v>26</v>
      </c>
      <c r="L1" s="2" t="s">
        <v>27</v>
      </c>
      <c r="M1" s="2" t="s">
        <v>28</v>
      </c>
      <c r="N1" s="2" t="s">
        <v>29</v>
      </c>
      <c r="O1" s="2" t="s">
        <v>30</v>
      </c>
      <c r="P1" s="2" t="s">
        <v>31</v>
      </c>
      <c r="Q1" s="23" t="s">
        <v>32</v>
      </c>
      <c r="R1" s="23" t="s">
        <v>33</v>
      </c>
      <c r="S1" s="23" t="s">
        <v>34</v>
      </c>
      <c r="T1" s="23" t="s">
        <v>13</v>
      </c>
      <c r="U1" s="23" t="s">
        <v>35</v>
      </c>
      <c r="V1" s="23" t="s">
        <v>36</v>
      </c>
      <c r="W1" s="24" t="s">
        <v>37</v>
      </c>
      <c r="X1" s="24" t="s">
        <v>38</v>
      </c>
      <c r="Y1" s="24" t="s">
        <v>39</v>
      </c>
      <c r="Z1" s="24" t="s">
        <v>14</v>
      </c>
      <c r="AA1" s="24" t="s">
        <v>40</v>
      </c>
      <c r="AB1" s="24" t="s">
        <v>41</v>
      </c>
      <c r="AC1" s="25" t="s">
        <v>42</v>
      </c>
      <c r="AD1" s="25" t="s">
        <v>43</v>
      </c>
      <c r="AE1" s="25" t="s">
        <v>44</v>
      </c>
      <c r="AF1" s="25" t="s">
        <v>15</v>
      </c>
      <c r="AG1" s="25" t="s">
        <v>45</v>
      </c>
      <c r="AH1" s="25" t="s">
        <v>46</v>
      </c>
      <c r="AI1" s="26" t="s">
        <v>47</v>
      </c>
      <c r="AJ1" s="26" t="s">
        <v>48</v>
      </c>
      <c r="AK1" s="26" t="s">
        <v>49</v>
      </c>
      <c r="AL1" s="26" t="s">
        <v>16</v>
      </c>
      <c r="AM1" s="26" t="s">
        <v>50</v>
      </c>
      <c r="AN1" s="26" t="s">
        <v>51</v>
      </c>
      <c r="AO1" s="27" t="s">
        <v>52</v>
      </c>
      <c r="AP1" s="27" t="s">
        <v>53</v>
      </c>
      <c r="AQ1" s="27" t="s">
        <v>54</v>
      </c>
      <c r="AR1" s="27" t="s">
        <v>55</v>
      </c>
      <c r="AS1" s="27" t="s">
        <v>56</v>
      </c>
      <c r="AT1" s="27" t="s">
        <v>57</v>
      </c>
      <c r="AU1" s="1" t="s">
        <v>58</v>
      </c>
      <c r="AV1" s="2" t="s">
        <v>59</v>
      </c>
      <c r="AW1" s="2" t="s">
        <v>60</v>
      </c>
      <c r="AX1" s="2" t="s">
        <v>61</v>
      </c>
    </row>
    <row r="2" spans="1:50" x14ac:dyDescent="0.25">
      <c r="A2" t="s">
        <v>62</v>
      </c>
      <c r="B2" t="s">
        <v>62</v>
      </c>
      <c r="C2" s="4" t="s">
        <v>8</v>
      </c>
      <c r="D2" s="4" t="s">
        <v>63</v>
      </c>
      <c r="E2" s="5">
        <v>32136000000</v>
      </c>
      <c r="F2" s="5">
        <v>4570000000</v>
      </c>
      <c r="G2" s="9">
        <v>1978</v>
      </c>
      <c r="H2" s="5" t="s">
        <v>1</v>
      </c>
      <c r="I2" t="s">
        <v>0</v>
      </c>
      <c r="J2" s="4" t="s">
        <v>0</v>
      </c>
      <c r="M2" s="15">
        <v>9150000</v>
      </c>
      <c r="N2" t="s">
        <v>0</v>
      </c>
      <c r="O2" t="s">
        <v>1</v>
      </c>
      <c r="P2">
        <v>2050</v>
      </c>
      <c r="Q2" s="12">
        <v>4050000</v>
      </c>
      <c r="R2" s="12">
        <v>1320000</v>
      </c>
      <c r="S2" s="12"/>
      <c r="T2" s="12">
        <f t="shared" ref="T2:T33" si="0">IFERROR(Q2+R2-S2,"")</f>
        <v>5370000</v>
      </c>
      <c r="U2" s="12">
        <v>8920000</v>
      </c>
      <c r="V2" s="12">
        <f t="shared" ref="V2:V33" si="1">IFERROR(T2+U2,"")</f>
        <v>14290000</v>
      </c>
      <c r="W2" s="12">
        <v>4790000</v>
      </c>
      <c r="X2" s="12">
        <v>1480000</v>
      </c>
      <c r="Y2" s="12"/>
      <c r="Z2" s="12">
        <f t="shared" ref="Z2:Z33" si="2">IFERROR(W2+X2-Y2,"")</f>
        <v>6270000</v>
      </c>
      <c r="AA2" s="12">
        <v>9530000</v>
      </c>
      <c r="AB2" s="12">
        <f t="shared" ref="AB2:AB33" si="3">IFERROR(Z2+AA2,"")</f>
        <v>15800000</v>
      </c>
      <c r="AC2" s="12">
        <v>3960000</v>
      </c>
      <c r="AD2" s="12">
        <v>1650000</v>
      </c>
      <c r="AE2" s="12"/>
      <c r="AF2" s="12">
        <f t="shared" ref="AF2:AF33" si="4">IFERROR(AC2+AD2-AE2,"")</f>
        <v>5610000</v>
      </c>
      <c r="AG2" s="12">
        <v>9280000</v>
      </c>
      <c r="AH2" s="12">
        <f t="shared" ref="AH2:AH33" si="5">IFERROR(AF2+AG2,"")</f>
        <v>14890000</v>
      </c>
      <c r="AI2" s="12">
        <v>4140000</v>
      </c>
      <c r="AJ2" s="12">
        <v>1780000</v>
      </c>
      <c r="AK2" s="12"/>
      <c r="AL2" s="12">
        <f t="shared" ref="AL2:AL42" si="6">IFERROR(AI2+AJ2-AK2,"")</f>
        <v>5920000</v>
      </c>
      <c r="AM2" s="12">
        <v>9420000</v>
      </c>
      <c r="AN2" s="12">
        <f t="shared" ref="AN2:AN33" si="7">IFERROR(AL2+AM2,"")</f>
        <v>15340000</v>
      </c>
      <c r="AO2" s="12">
        <v>3770000</v>
      </c>
      <c r="AP2" s="12">
        <v>1930000</v>
      </c>
      <c r="AQ2" s="12"/>
      <c r="AR2" s="12">
        <f t="shared" ref="AR2:AR42" si="8">IFERROR(AO2+AP2-AQ2,"")</f>
        <v>5700000</v>
      </c>
      <c r="AS2" s="12">
        <f>6860000+577000+621000+780000+254000+55800+356000</f>
        <v>9503800</v>
      </c>
      <c r="AT2" s="12">
        <f t="shared" ref="AT2:AT33" si="9">IFERROR(AR2+AS2,"")</f>
        <v>15203800</v>
      </c>
      <c r="AU2" s="17" t="s">
        <v>1</v>
      </c>
      <c r="AV2" s="14" t="s">
        <v>64</v>
      </c>
    </row>
    <row r="3" spans="1:50" x14ac:dyDescent="0.25">
      <c r="A3" t="s">
        <v>65</v>
      </c>
      <c r="B3" s="21" t="s">
        <v>65</v>
      </c>
      <c r="C3" s="4" t="s">
        <v>7</v>
      </c>
      <c r="D3" s="4" t="s">
        <v>66</v>
      </c>
      <c r="E3" s="11">
        <v>31904000000</v>
      </c>
      <c r="F3" s="11">
        <v>3687000000</v>
      </c>
      <c r="G3" s="10">
        <v>1929</v>
      </c>
      <c r="H3" s="4" t="s">
        <v>1</v>
      </c>
      <c r="I3" s="4" t="s">
        <v>0</v>
      </c>
      <c r="J3" s="4" t="s">
        <v>0</v>
      </c>
      <c r="K3" s="4"/>
      <c r="L3" s="4"/>
      <c r="M3" s="15">
        <v>742000</v>
      </c>
      <c r="N3" t="s">
        <v>0</v>
      </c>
      <c r="O3" s="4" t="s">
        <v>0</v>
      </c>
      <c r="P3" s="4" t="s">
        <v>0</v>
      </c>
      <c r="Q3" s="12">
        <v>533000</v>
      </c>
      <c r="R3" s="12">
        <v>439000</v>
      </c>
      <c r="S3" s="12"/>
      <c r="T3" s="12">
        <f t="shared" si="0"/>
        <v>972000</v>
      </c>
      <c r="U3" s="12">
        <f>8382000+2860000+290000+1501000+15000+332000+306000+508000+169000</f>
        <v>14363000</v>
      </c>
      <c r="V3" s="12">
        <f t="shared" si="1"/>
        <v>15335000</v>
      </c>
      <c r="W3" s="12">
        <v>525000</v>
      </c>
      <c r="X3" s="12">
        <v>506000</v>
      </c>
      <c r="Y3" s="12"/>
      <c r="Z3" s="12">
        <f t="shared" si="2"/>
        <v>1031000</v>
      </c>
      <c r="AA3" s="12">
        <v>13678000</v>
      </c>
      <c r="AB3" s="12">
        <f t="shared" si="3"/>
        <v>14709000</v>
      </c>
      <c r="AC3" s="12">
        <v>526000</v>
      </c>
      <c r="AD3" s="12">
        <v>506000</v>
      </c>
      <c r="AE3" s="12"/>
      <c r="AF3" s="12">
        <f t="shared" si="4"/>
        <v>1032000</v>
      </c>
      <c r="AG3" s="12">
        <v>13710000</v>
      </c>
      <c r="AH3" s="12">
        <f t="shared" si="5"/>
        <v>14742000</v>
      </c>
      <c r="AI3" s="12">
        <v>516000</v>
      </c>
      <c r="AJ3" s="12">
        <v>544000</v>
      </c>
      <c r="AK3" s="12"/>
      <c r="AL3" s="12">
        <f t="shared" si="6"/>
        <v>1060000</v>
      </c>
      <c r="AM3" s="12">
        <v>14082000</v>
      </c>
      <c r="AN3" s="12">
        <f t="shared" si="7"/>
        <v>15142000</v>
      </c>
      <c r="AO3" s="12" t="s">
        <v>401</v>
      </c>
      <c r="AP3" s="12" t="s">
        <v>401</v>
      </c>
      <c r="AQ3" s="12"/>
      <c r="AR3" s="12" t="str">
        <f t="shared" si="8"/>
        <v/>
      </c>
      <c r="AS3" s="12" t="s">
        <v>401</v>
      </c>
      <c r="AT3" s="12" t="str">
        <f t="shared" si="9"/>
        <v/>
      </c>
      <c r="AU3" s="17" t="s">
        <v>0</v>
      </c>
      <c r="AV3" s="16" t="s">
        <v>67</v>
      </c>
    </row>
    <row r="4" spans="1:50" ht="25" x14ac:dyDescent="0.25">
      <c r="A4" t="s">
        <v>68</v>
      </c>
      <c r="B4" s="21" t="s">
        <v>454</v>
      </c>
      <c r="C4" t="s">
        <v>7</v>
      </c>
      <c r="D4" s="4" t="s">
        <v>69</v>
      </c>
      <c r="E4" s="11">
        <v>33266000000</v>
      </c>
      <c r="F4" s="11">
        <v>5697000000</v>
      </c>
      <c r="G4" s="10">
        <v>2013</v>
      </c>
      <c r="H4" s="4" t="s">
        <v>1</v>
      </c>
      <c r="I4" s="4" t="s">
        <v>0</v>
      </c>
      <c r="J4" s="4" t="s">
        <v>0</v>
      </c>
      <c r="K4" s="4"/>
      <c r="L4" s="4"/>
      <c r="M4" s="15">
        <v>334482</v>
      </c>
      <c r="N4" t="s">
        <v>0</v>
      </c>
      <c r="O4" s="4" t="s">
        <v>1</v>
      </c>
      <c r="P4">
        <v>2035</v>
      </c>
      <c r="Q4" s="12">
        <v>314421</v>
      </c>
      <c r="R4" s="12">
        <v>249777</v>
      </c>
      <c r="S4" s="12"/>
      <c r="T4" s="12">
        <f t="shared" si="0"/>
        <v>564198</v>
      </c>
      <c r="U4" s="12">
        <f>990981+20324+77371+5483+56303+183747</f>
        <v>1334209</v>
      </c>
      <c r="V4" s="12">
        <f t="shared" si="1"/>
        <v>1898407</v>
      </c>
      <c r="W4" s="12">
        <v>311000</v>
      </c>
      <c r="X4" s="12">
        <v>271000</v>
      </c>
      <c r="Y4" s="12"/>
      <c r="Z4" s="12">
        <f t="shared" si="2"/>
        <v>582000</v>
      </c>
      <c r="AA4" s="12">
        <f>711499+17595+70284+5484+65924+177779</f>
        <v>1048565</v>
      </c>
      <c r="AB4" s="12">
        <f t="shared" si="3"/>
        <v>1630565</v>
      </c>
      <c r="AC4" s="12">
        <v>299000</v>
      </c>
      <c r="AD4" s="12">
        <v>284000</v>
      </c>
      <c r="AE4" s="12"/>
      <c r="AF4" s="12">
        <f t="shared" si="4"/>
        <v>583000</v>
      </c>
      <c r="AG4" s="12">
        <f>652163+11640+53093+3956+106698+185438</f>
        <v>1012988</v>
      </c>
      <c r="AH4" s="12">
        <f t="shared" si="5"/>
        <v>1595988</v>
      </c>
      <c r="AI4" s="12">
        <v>297395</v>
      </c>
      <c r="AJ4" s="12">
        <v>319692</v>
      </c>
      <c r="AK4" s="12"/>
      <c r="AL4" s="12">
        <f t="shared" si="6"/>
        <v>617087</v>
      </c>
      <c r="AM4" s="12">
        <f>681914+13229+19813+2052+67536+124527+172</f>
        <v>909243</v>
      </c>
      <c r="AN4" s="12">
        <f t="shared" si="7"/>
        <v>1526330</v>
      </c>
      <c r="AO4" s="12">
        <v>318216</v>
      </c>
      <c r="AP4" s="12">
        <v>347250</v>
      </c>
      <c r="AQ4" s="12"/>
      <c r="AR4" s="12">
        <f t="shared" si="8"/>
        <v>665466</v>
      </c>
      <c r="AS4" s="12">
        <f>619274+8239+20560+42819+9277+41030+102658+172</f>
        <v>844029</v>
      </c>
      <c r="AT4" s="12">
        <f t="shared" si="9"/>
        <v>1509495</v>
      </c>
      <c r="AU4" s="17" t="s">
        <v>0</v>
      </c>
      <c r="AV4" s="14" t="s">
        <v>70</v>
      </c>
    </row>
    <row r="5" spans="1:50" ht="37.5" x14ac:dyDescent="0.25">
      <c r="A5" t="s">
        <v>71</v>
      </c>
      <c r="B5" s="21" t="s">
        <v>71</v>
      </c>
      <c r="C5" t="s">
        <v>11</v>
      </c>
      <c r="D5" t="s">
        <v>72</v>
      </c>
      <c r="E5" s="11">
        <v>43200000000</v>
      </c>
      <c r="F5" s="11">
        <v>4780000000</v>
      </c>
      <c r="G5" s="10">
        <v>2001</v>
      </c>
      <c r="H5" s="4" t="s">
        <v>1</v>
      </c>
      <c r="I5" s="4" t="s">
        <v>0</v>
      </c>
      <c r="J5" t="s">
        <v>1</v>
      </c>
      <c r="M5" s="15">
        <v>88000</v>
      </c>
      <c r="N5" t="s">
        <v>0</v>
      </c>
      <c r="O5" s="4" t="s">
        <v>1</v>
      </c>
      <c r="P5">
        <v>2023</v>
      </c>
      <c r="Q5" s="12">
        <v>18923</v>
      </c>
      <c r="R5" s="12">
        <v>214680</v>
      </c>
      <c r="S5" s="12"/>
      <c r="T5" s="12">
        <f t="shared" si="0"/>
        <v>233603</v>
      </c>
      <c r="U5" s="12">
        <v>932653</v>
      </c>
      <c r="V5" s="12">
        <f t="shared" si="1"/>
        <v>1166256</v>
      </c>
      <c r="W5" s="12">
        <v>22183</v>
      </c>
      <c r="X5" s="12">
        <v>218855</v>
      </c>
      <c r="Y5" s="12"/>
      <c r="Z5" s="12">
        <f t="shared" si="2"/>
        <v>241038</v>
      </c>
      <c r="AA5" s="12">
        <v>948756</v>
      </c>
      <c r="AB5" s="12">
        <f t="shared" si="3"/>
        <v>1189794</v>
      </c>
      <c r="AC5" s="12">
        <v>24095</v>
      </c>
      <c r="AD5" s="12">
        <v>243773</v>
      </c>
      <c r="AE5" s="12"/>
      <c r="AF5" s="12">
        <f t="shared" si="4"/>
        <v>267868</v>
      </c>
      <c r="AG5" s="12">
        <v>974176</v>
      </c>
      <c r="AH5" s="12">
        <f t="shared" si="5"/>
        <v>1242044</v>
      </c>
      <c r="AI5" s="12">
        <v>27203</v>
      </c>
      <c r="AJ5" s="12">
        <v>263050</v>
      </c>
      <c r="AK5" s="12"/>
      <c r="AL5" s="12">
        <f t="shared" si="6"/>
        <v>290253</v>
      </c>
      <c r="AM5" s="12">
        <f>506841</f>
        <v>506841</v>
      </c>
      <c r="AN5" s="12">
        <f t="shared" si="7"/>
        <v>797094</v>
      </c>
      <c r="AO5" s="12">
        <v>26290</v>
      </c>
      <c r="AP5" s="12">
        <v>237239</v>
      </c>
      <c r="AQ5" s="12"/>
      <c r="AR5" s="12">
        <f t="shared" si="8"/>
        <v>263529</v>
      </c>
      <c r="AS5" s="12">
        <v>449240</v>
      </c>
      <c r="AT5" s="12">
        <f t="shared" si="9"/>
        <v>712769</v>
      </c>
      <c r="AU5" t="s">
        <v>0</v>
      </c>
      <c r="AV5" s="14" t="s">
        <v>413</v>
      </c>
      <c r="AW5" s="16" t="s">
        <v>412</v>
      </c>
    </row>
    <row r="6" spans="1:50" x14ac:dyDescent="0.25">
      <c r="A6" s="21" t="s">
        <v>73</v>
      </c>
      <c r="B6" s="21" t="s">
        <v>463</v>
      </c>
      <c r="C6" s="21" t="s">
        <v>11</v>
      </c>
      <c r="D6" t="s">
        <v>74</v>
      </c>
      <c r="E6" s="5">
        <v>11171000000</v>
      </c>
      <c r="F6" s="5">
        <v>2951000000</v>
      </c>
      <c r="G6" s="9">
        <v>1986</v>
      </c>
      <c r="H6" s="31" t="s">
        <v>1</v>
      </c>
      <c r="I6" t="s">
        <v>0</v>
      </c>
      <c r="J6" s="4" t="s">
        <v>1</v>
      </c>
      <c r="M6" s="15"/>
      <c r="N6" t="s">
        <v>0</v>
      </c>
      <c r="O6" t="s">
        <v>1</v>
      </c>
      <c r="P6">
        <v>2035</v>
      </c>
      <c r="Q6" s="12">
        <v>11816</v>
      </c>
      <c r="R6" s="12">
        <v>43526</v>
      </c>
      <c r="S6" s="12"/>
      <c r="T6" s="12">
        <f t="shared" si="0"/>
        <v>55342</v>
      </c>
      <c r="U6" s="12">
        <f>358472+39706+14180+57.87+88959+42037</f>
        <v>543411.87</v>
      </c>
      <c r="V6" s="12">
        <f t="shared" si="1"/>
        <v>598753.87</v>
      </c>
      <c r="W6" s="12">
        <v>12119</v>
      </c>
      <c r="X6" s="12">
        <v>47871</v>
      </c>
      <c r="Y6" s="12"/>
      <c r="Z6" s="12">
        <f t="shared" si="2"/>
        <v>59990</v>
      </c>
      <c r="AA6" s="12"/>
      <c r="AB6" s="12">
        <f t="shared" si="3"/>
        <v>59990</v>
      </c>
      <c r="AC6" s="12">
        <v>12119</v>
      </c>
      <c r="AD6" s="12">
        <v>58874</v>
      </c>
      <c r="AE6" s="12"/>
      <c r="AF6" s="12">
        <f t="shared" si="4"/>
        <v>70993</v>
      </c>
      <c r="AG6" s="12">
        <f>35952.82+16872.85+52.85+32512+9988+169+505</f>
        <v>96052.51999999999</v>
      </c>
      <c r="AH6" s="12">
        <f t="shared" si="5"/>
        <v>167045.51999999999</v>
      </c>
      <c r="AI6" s="12">
        <v>11082</v>
      </c>
      <c r="AJ6" s="12">
        <v>58474</v>
      </c>
      <c r="AK6" s="12"/>
      <c r="AL6" s="12">
        <f t="shared" si="6"/>
        <v>69556</v>
      </c>
      <c r="AM6" s="12"/>
      <c r="AN6" s="12">
        <f t="shared" si="7"/>
        <v>69556</v>
      </c>
      <c r="AO6" s="12" t="s">
        <v>401</v>
      </c>
      <c r="AP6" s="12" t="s">
        <v>401</v>
      </c>
      <c r="AQ6" s="12"/>
      <c r="AR6" s="12" t="str">
        <f t="shared" si="8"/>
        <v/>
      </c>
      <c r="AS6" s="12" t="s">
        <v>401</v>
      </c>
      <c r="AT6" s="12" t="str">
        <f t="shared" si="9"/>
        <v/>
      </c>
      <c r="AU6" t="s">
        <v>0</v>
      </c>
    </row>
    <row r="7" spans="1:50" ht="75" x14ac:dyDescent="0.25">
      <c r="A7" s="4" t="s">
        <v>75</v>
      </c>
      <c r="B7" s="21" t="s">
        <v>459</v>
      </c>
      <c r="C7" s="4" t="s">
        <v>6</v>
      </c>
      <c r="D7" t="s">
        <v>76</v>
      </c>
      <c r="E7" s="11">
        <v>44675000000</v>
      </c>
      <c r="F7" s="11">
        <v>4847000000</v>
      </c>
      <c r="G7" s="10">
        <v>1993</v>
      </c>
      <c r="H7" s="4" t="s">
        <v>1</v>
      </c>
      <c r="I7" s="4" t="s">
        <v>0</v>
      </c>
      <c r="J7" t="s">
        <v>0</v>
      </c>
      <c r="M7" s="15"/>
      <c r="N7" t="s">
        <v>0</v>
      </c>
      <c r="O7" s="4" t="s">
        <v>0</v>
      </c>
      <c r="P7" s="4" t="s">
        <v>0</v>
      </c>
      <c r="Q7" s="36">
        <v>39230</v>
      </c>
      <c r="R7" s="36">
        <v>74230</v>
      </c>
      <c r="S7" s="12"/>
      <c r="T7" s="12">
        <f t="shared" si="0"/>
        <v>113460</v>
      </c>
      <c r="U7" s="12">
        <f>10528+4343+3+446+8857+13412</f>
        <v>37589</v>
      </c>
      <c r="V7" s="12">
        <f t="shared" si="1"/>
        <v>151049</v>
      </c>
      <c r="W7" s="12">
        <v>45966</v>
      </c>
      <c r="X7" s="12">
        <v>83887</v>
      </c>
      <c r="Y7" s="12"/>
      <c r="Z7" s="12">
        <f t="shared" si="2"/>
        <v>129853</v>
      </c>
      <c r="AA7" s="12">
        <v>13264</v>
      </c>
      <c r="AB7" s="12">
        <f t="shared" si="3"/>
        <v>143117</v>
      </c>
      <c r="AC7" s="12">
        <v>53818</v>
      </c>
      <c r="AD7" s="12">
        <v>91209</v>
      </c>
      <c r="AE7" s="12"/>
      <c r="AF7" s="12">
        <f t="shared" si="4"/>
        <v>145027</v>
      </c>
      <c r="AG7" s="12">
        <v>20119</v>
      </c>
      <c r="AH7" s="12">
        <f t="shared" si="5"/>
        <v>165146</v>
      </c>
      <c r="AI7" s="12">
        <v>56521</v>
      </c>
      <c r="AJ7" s="12">
        <v>104350</v>
      </c>
      <c r="AK7" s="12"/>
      <c r="AL7" s="12">
        <f t="shared" si="6"/>
        <v>160871</v>
      </c>
      <c r="AM7" s="12">
        <v>19089</v>
      </c>
      <c r="AN7" s="12">
        <f t="shared" si="7"/>
        <v>179960</v>
      </c>
      <c r="AO7" s="12">
        <v>55709</v>
      </c>
      <c r="AP7" s="12">
        <v>111825</v>
      </c>
      <c r="AQ7" s="12"/>
      <c r="AR7" s="12">
        <f t="shared" si="8"/>
        <v>167534</v>
      </c>
      <c r="AS7" s="12">
        <v>17345</v>
      </c>
      <c r="AT7" s="12">
        <f t="shared" si="9"/>
        <v>184879</v>
      </c>
      <c r="AU7" t="s">
        <v>0</v>
      </c>
      <c r="AV7" s="18" t="s">
        <v>77</v>
      </c>
    </row>
    <row r="8" spans="1:50" ht="50" x14ac:dyDescent="0.25">
      <c r="A8" t="s">
        <v>78</v>
      </c>
      <c r="B8" s="21" t="s">
        <v>482</v>
      </c>
      <c r="C8" t="s">
        <v>2</v>
      </c>
      <c r="D8" s="4" t="s">
        <v>79</v>
      </c>
      <c r="E8" s="5">
        <v>161857000000</v>
      </c>
      <c r="F8" s="5">
        <v>34340000000</v>
      </c>
      <c r="G8" s="9">
        <v>2004</v>
      </c>
      <c r="H8" s="5" t="s">
        <v>1</v>
      </c>
      <c r="I8" t="s">
        <v>1</v>
      </c>
      <c r="J8" t="s">
        <v>0</v>
      </c>
      <c r="K8">
        <v>2007</v>
      </c>
      <c r="L8">
        <v>2007</v>
      </c>
      <c r="M8" s="15"/>
      <c r="N8" t="s">
        <v>1</v>
      </c>
      <c r="O8" t="s">
        <v>1</v>
      </c>
      <c r="P8">
        <v>2017</v>
      </c>
      <c r="Q8" s="36">
        <v>66686</v>
      </c>
      <c r="R8" s="36">
        <v>794267</v>
      </c>
      <c r="S8" s="12"/>
      <c r="T8" s="12">
        <f t="shared" si="0"/>
        <v>860953</v>
      </c>
      <c r="U8" s="12">
        <f>2158000+460000+369000+173000</f>
        <v>3160000</v>
      </c>
      <c r="V8" s="12">
        <f t="shared" si="1"/>
        <v>4020953</v>
      </c>
      <c r="W8" s="12">
        <v>63521</v>
      </c>
      <c r="X8" s="12">
        <v>684236</v>
      </c>
      <c r="Y8" s="12">
        <v>1211224</v>
      </c>
      <c r="Z8" s="12">
        <f t="shared" si="2"/>
        <v>-463467</v>
      </c>
      <c r="AA8" s="12">
        <v>14279467</v>
      </c>
      <c r="AB8" s="12">
        <f t="shared" si="3"/>
        <v>13816000</v>
      </c>
      <c r="AC8" s="12">
        <v>66546</v>
      </c>
      <c r="AD8" s="12">
        <v>509334</v>
      </c>
      <c r="AE8" s="12">
        <v>931943</v>
      </c>
      <c r="AF8" s="12">
        <f t="shared" si="4"/>
        <v>-356063</v>
      </c>
      <c r="AG8" s="12">
        <v>2719024</v>
      </c>
      <c r="AH8" s="12">
        <f t="shared" si="5"/>
        <v>2362961</v>
      </c>
      <c r="AI8" s="12">
        <v>66218</v>
      </c>
      <c r="AJ8" s="12">
        <v>1518643</v>
      </c>
      <c r="AK8" s="12">
        <v>1898889</v>
      </c>
      <c r="AL8" s="12">
        <f t="shared" si="6"/>
        <v>-314028</v>
      </c>
      <c r="AM8" s="12">
        <v>1292267</v>
      </c>
      <c r="AN8" s="12">
        <f t="shared" si="7"/>
        <v>978239</v>
      </c>
      <c r="AO8" s="12">
        <v>66991</v>
      </c>
      <c r="AP8" s="12">
        <v>1384427</v>
      </c>
      <c r="AQ8" s="12">
        <v>2686101</v>
      </c>
      <c r="AR8" s="12">
        <f t="shared" si="8"/>
        <v>-1234683</v>
      </c>
      <c r="AS8" s="12">
        <v>1234683</v>
      </c>
      <c r="AT8" s="12">
        <f t="shared" si="9"/>
        <v>0</v>
      </c>
      <c r="AU8" t="s">
        <v>1</v>
      </c>
      <c r="AV8" s="18" t="s">
        <v>80</v>
      </c>
      <c r="AX8" s="3"/>
    </row>
    <row r="9" spans="1:50" ht="62.5" x14ac:dyDescent="0.25">
      <c r="A9" t="s">
        <v>81</v>
      </c>
      <c r="B9" s="21" t="s">
        <v>474</v>
      </c>
      <c r="C9" s="4" t="s">
        <v>4</v>
      </c>
      <c r="D9" t="s">
        <v>82</v>
      </c>
      <c r="E9" s="11">
        <v>25364000000</v>
      </c>
      <c r="F9" s="11">
        <v>6963000000</v>
      </c>
      <c r="G9" s="10">
        <v>1985</v>
      </c>
      <c r="H9" s="4" t="s">
        <v>1</v>
      </c>
      <c r="I9" s="4" t="s">
        <v>0</v>
      </c>
      <c r="J9" t="s">
        <v>0</v>
      </c>
      <c r="M9" s="17">
        <v>4468432</v>
      </c>
      <c r="N9" t="s">
        <v>0</v>
      </c>
      <c r="O9" s="4" t="s">
        <v>1</v>
      </c>
      <c r="P9">
        <v>2030</v>
      </c>
      <c r="Q9" s="12">
        <v>154507</v>
      </c>
      <c r="R9" s="12">
        <v>146909</v>
      </c>
      <c r="S9" s="12"/>
      <c r="T9" s="12">
        <f t="shared" si="0"/>
        <v>301416</v>
      </c>
      <c r="U9" s="12" t="s">
        <v>401</v>
      </c>
      <c r="V9" s="12" t="str">
        <f t="shared" si="1"/>
        <v/>
      </c>
      <c r="W9" s="12">
        <v>162139</v>
      </c>
      <c r="X9" s="12">
        <v>166706</v>
      </c>
      <c r="Y9" s="12"/>
      <c r="Z9" s="12">
        <f t="shared" si="2"/>
        <v>328845</v>
      </c>
      <c r="AA9" s="12">
        <v>5078448</v>
      </c>
      <c r="AB9" s="12">
        <f t="shared" si="3"/>
        <v>5407293</v>
      </c>
      <c r="AC9" s="12">
        <v>167695</v>
      </c>
      <c r="AD9" s="12">
        <v>168889</v>
      </c>
      <c r="AE9" s="12"/>
      <c r="AF9" s="12">
        <f t="shared" si="4"/>
        <v>336584</v>
      </c>
      <c r="AG9" s="12">
        <v>5264365</v>
      </c>
      <c r="AH9" s="12">
        <f t="shared" si="5"/>
        <v>5600949</v>
      </c>
      <c r="AI9" s="12">
        <v>170442</v>
      </c>
      <c r="AJ9" s="12">
        <v>206622</v>
      </c>
      <c r="AK9" s="12"/>
      <c r="AL9" s="12">
        <f t="shared" si="6"/>
        <v>377064</v>
      </c>
      <c r="AM9" s="12">
        <f>1941444+126828+98679+165673+18158+10951+18622+243900+76389+172681</f>
        <v>2873325</v>
      </c>
      <c r="AN9" s="12">
        <f t="shared" si="7"/>
        <v>3250389</v>
      </c>
      <c r="AO9" s="12">
        <v>192293</v>
      </c>
      <c r="AP9" s="12">
        <v>204900</v>
      </c>
      <c r="AQ9" s="12"/>
      <c r="AR9" s="12">
        <f t="shared" si="8"/>
        <v>397193</v>
      </c>
      <c r="AS9" s="12">
        <f>1946817+127179+59481+97537+30299+10641+19468+244575+76601+173159</f>
        <v>2785757</v>
      </c>
      <c r="AT9" s="12">
        <f t="shared" si="9"/>
        <v>3182950</v>
      </c>
      <c r="AU9" t="s">
        <v>0</v>
      </c>
      <c r="AV9" s="3" t="s">
        <v>83</v>
      </c>
    </row>
    <row r="10" spans="1:50" ht="137.5" x14ac:dyDescent="0.25">
      <c r="A10" t="s">
        <v>84</v>
      </c>
      <c r="B10" s="21" t="s">
        <v>408</v>
      </c>
      <c r="C10" s="4" t="s">
        <v>3</v>
      </c>
      <c r="D10" s="4" t="s">
        <v>85</v>
      </c>
      <c r="E10" s="5">
        <v>280000000000</v>
      </c>
      <c r="F10" s="5">
        <v>11588000000</v>
      </c>
      <c r="G10" s="9">
        <v>1997</v>
      </c>
      <c r="H10" s="5" t="s">
        <v>1</v>
      </c>
      <c r="I10" t="s">
        <v>1</v>
      </c>
      <c r="J10" s="4" t="s">
        <v>1</v>
      </c>
      <c r="K10">
        <v>2040</v>
      </c>
      <c r="L10">
        <v>2020</v>
      </c>
      <c r="O10" t="s">
        <v>1</v>
      </c>
      <c r="P10">
        <v>2025</v>
      </c>
      <c r="Q10" s="12">
        <v>5760000</v>
      </c>
      <c r="R10" s="12">
        <v>5500000</v>
      </c>
      <c r="S10" s="12"/>
      <c r="T10" s="12">
        <f t="shared" si="0"/>
        <v>11260000</v>
      </c>
      <c r="U10" s="12">
        <v>39910000</v>
      </c>
      <c r="V10" s="12">
        <f t="shared" si="1"/>
        <v>51170000</v>
      </c>
      <c r="W10" s="12">
        <v>4980000</v>
      </c>
      <c r="X10" s="12">
        <v>4710000</v>
      </c>
      <c r="Y10" s="12"/>
      <c r="Z10" s="12">
        <f t="shared" si="2"/>
        <v>9690000</v>
      </c>
      <c r="AA10" s="12">
        <v>34710000</v>
      </c>
      <c r="AB10" s="12">
        <f t="shared" si="3"/>
        <v>44400000</v>
      </c>
      <c r="AC10" s="12" t="s">
        <v>401</v>
      </c>
      <c r="AD10" s="12" t="s">
        <v>401</v>
      </c>
      <c r="AE10" s="12"/>
      <c r="AF10" s="12" t="str">
        <f t="shared" si="4"/>
        <v/>
      </c>
      <c r="AG10" s="12" t="s">
        <v>401</v>
      </c>
      <c r="AH10" s="12" t="str">
        <f t="shared" si="5"/>
        <v/>
      </c>
      <c r="AI10" s="12" t="s">
        <v>401</v>
      </c>
      <c r="AJ10" s="12" t="s">
        <v>401</v>
      </c>
      <c r="AK10" s="12"/>
      <c r="AL10" s="12" t="str">
        <f t="shared" si="6"/>
        <v/>
      </c>
      <c r="AM10" s="12" t="s">
        <v>401</v>
      </c>
      <c r="AN10" s="12" t="str">
        <f t="shared" si="7"/>
        <v/>
      </c>
      <c r="AO10" s="12" t="s">
        <v>401</v>
      </c>
      <c r="AP10" s="12" t="s">
        <v>401</v>
      </c>
      <c r="AQ10" s="12"/>
      <c r="AR10" s="12" t="str">
        <f t="shared" si="8"/>
        <v/>
      </c>
      <c r="AS10" s="12" t="s">
        <v>401</v>
      </c>
      <c r="AT10" s="12" t="str">
        <f t="shared" si="9"/>
        <v/>
      </c>
      <c r="AU10" t="s">
        <v>1</v>
      </c>
      <c r="AV10" s="3" t="s">
        <v>86</v>
      </c>
      <c r="AW10" s="3"/>
      <c r="AX10" s="3" t="s">
        <v>87</v>
      </c>
    </row>
    <row r="11" spans="1:50" x14ac:dyDescent="0.25">
      <c r="A11" t="s">
        <v>88</v>
      </c>
      <c r="B11" t="s">
        <v>88</v>
      </c>
      <c r="C11" t="s">
        <v>6</v>
      </c>
      <c r="D11" t="s">
        <v>89</v>
      </c>
      <c r="E11" s="11">
        <v>43556000000</v>
      </c>
      <c r="F11" s="11">
        <v>6921000000</v>
      </c>
      <c r="G11" s="10">
        <v>1850</v>
      </c>
      <c r="H11" s="4" t="s">
        <v>1</v>
      </c>
      <c r="I11" s="4" t="s">
        <v>1</v>
      </c>
      <c r="J11" t="s">
        <v>0</v>
      </c>
      <c r="K11">
        <v>2018</v>
      </c>
      <c r="L11">
        <v>2018</v>
      </c>
      <c r="M11" s="17" t="s">
        <v>0</v>
      </c>
      <c r="N11" t="s">
        <v>1</v>
      </c>
      <c r="O11" s="4" t="s">
        <v>1</v>
      </c>
      <c r="P11" s="4">
        <v>2018</v>
      </c>
      <c r="Q11" s="12">
        <v>24363</v>
      </c>
      <c r="R11" s="12">
        <v>3153</v>
      </c>
      <c r="S11" s="12"/>
      <c r="T11" s="12">
        <f t="shared" si="0"/>
        <v>27516</v>
      </c>
      <c r="U11" s="12">
        <f>1956901+24863+30305+1719+51.679+138358+8000+9000</f>
        <v>2169197.679</v>
      </c>
      <c r="V11" s="12">
        <f t="shared" si="1"/>
        <v>2196713.679</v>
      </c>
      <c r="W11" s="12">
        <v>23981</v>
      </c>
      <c r="X11" s="12">
        <v>2994</v>
      </c>
      <c r="Y11" s="12"/>
      <c r="Z11" s="12">
        <f t="shared" si="2"/>
        <v>26975</v>
      </c>
      <c r="AA11" s="12">
        <f>2090113+36041+28946+1710+47285+120309+8000+9000+135</f>
        <v>2341539</v>
      </c>
      <c r="AB11" s="12">
        <f t="shared" si="3"/>
        <v>2368514</v>
      </c>
      <c r="AC11" s="12">
        <v>24162</v>
      </c>
      <c r="AD11" s="12">
        <v>55273</v>
      </c>
      <c r="AE11" s="12"/>
      <c r="AF11" s="12">
        <f t="shared" si="4"/>
        <v>79435</v>
      </c>
      <c r="AG11" s="12">
        <f>2028571+23807+30677+1314+34224+107396+8000+20000+156</f>
        <v>2254145</v>
      </c>
      <c r="AH11" s="12">
        <f t="shared" si="5"/>
        <v>2333580</v>
      </c>
      <c r="AI11" s="12">
        <v>25438</v>
      </c>
      <c r="AJ11" s="12">
        <v>59115</v>
      </c>
      <c r="AK11" s="12"/>
      <c r="AL11" s="12">
        <f t="shared" si="6"/>
        <v>84553</v>
      </c>
      <c r="AM11" s="12">
        <f>2110677+22382+30852+724+38364+122106+8000+22000+777</f>
        <v>2355882</v>
      </c>
      <c r="AN11" s="12">
        <f t="shared" si="7"/>
        <v>2440435</v>
      </c>
      <c r="AO11" s="12">
        <v>27352</v>
      </c>
      <c r="AP11" s="12">
        <v>98452</v>
      </c>
      <c r="AQ11" s="12"/>
      <c r="AR11" s="12">
        <f t="shared" si="8"/>
        <v>125804</v>
      </c>
      <c r="AS11" s="12">
        <f>1128675+25937+34489+3230+1347+43092+118926+1800</f>
        <v>1357496</v>
      </c>
      <c r="AT11" s="12">
        <f t="shared" si="9"/>
        <v>1483300</v>
      </c>
      <c r="AU11" t="s">
        <v>0</v>
      </c>
      <c r="AV11" s="3"/>
    </row>
    <row r="12" spans="1:50" ht="25" x14ac:dyDescent="0.25">
      <c r="A12" s="4" t="s">
        <v>414</v>
      </c>
      <c r="B12" s="21" t="s">
        <v>390</v>
      </c>
      <c r="C12" s="4" t="s">
        <v>6</v>
      </c>
      <c r="D12" s="4" t="s">
        <v>76</v>
      </c>
      <c r="E12" s="11">
        <v>49750000000</v>
      </c>
      <c r="F12" s="11">
        <v>3300000000</v>
      </c>
      <c r="G12" s="10">
        <v>1969</v>
      </c>
      <c r="H12" s="4" t="s">
        <v>1</v>
      </c>
      <c r="I12" s="4" t="s">
        <v>0</v>
      </c>
      <c r="J12" t="s">
        <v>0</v>
      </c>
      <c r="M12" s="17" t="s">
        <v>0</v>
      </c>
      <c r="N12" t="s">
        <v>0</v>
      </c>
      <c r="O12" s="4" t="s">
        <v>0</v>
      </c>
      <c r="P12" s="4" t="s">
        <v>0</v>
      </c>
      <c r="Q12" s="12">
        <v>17121</v>
      </c>
      <c r="R12" s="12">
        <v>93781</v>
      </c>
      <c r="S12" s="12"/>
      <c r="T12" s="12">
        <f t="shared" si="0"/>
        <v>110902</v>
      </c>
      <c r="U12" s="12" t="s">
        <v>401</v>
      </c>
      <c r="V12" s="12" t="str">
        <f t="shared" si="1"/>
        <v/>
      </c>
      <c r="W12" s="12" t="s">
        <v>401</v>
      </c>
      <c r="X12" s="12">
        <v>8824</v>
      </c>
      <c r="Y12" s="12"/>
      <c r="Z12" s="12" t="str">
        <f t="shared" si="2"/>
        <v/>
      </c>
      <c r="AA12" s="12" t="s">
        <v>401</v>
      </c>
      <c r="AB12" s="12" t="str">
        <f t="shared" si="3"/>
        <v/>
      </c>
      <c r="AC12" s="12" t="s">
        <v>401</v>
      </c>
      <c r="AD12" s="12">
        <v>9781</v>
      </c>
      <c r="AE12" s="12"/>
      <c r="AF12" s="12" t="str">
        <f t="shared" si="4"/>
        <v/>
      </c>
      <c r="AG12" s="12" t="s">
        <v>401</v>
      </c>
      <c r="AH12" s="12" t="str">
        <f t="shared" si="5"/>
        <v/>
      </c>
      <c r="AI12" s="12" t="s">
        <v>401</v>
      </c>
      <c r="AJ12" s="12">
        <v>12135</v>
      </c>
      <c r="AK12" s="12"/>
      <c r="AL12" s="12" t="str">
        <f t="shared" si="6"/>
        <v/>
      </c>
      <c r="AM12" s="12" t="s">
        <v>401</v>
      </c>
      <c r="AN12" s="12" t="str">
        <f t="shared" si="7"/>
        <v/>
      </c>
      <c r="AO12" s="12" t="s">
        <v>401</v>
      </c>
      <c r="AP12" s="12" t="s">
        <v>401</v>
      </c>
      <c r="AQ12" s="12"/>
      <c r="AR12" s="12" t="str">
        <f t="shared" si="8"/>
        <v/>
      </c>
      <c r="AS12" s="12" t="s">
        <v>401</v>
      </c>
      <c r="AT12" s="12" t="str">
        <f t="shared" si="9"/>
        <v/>
      </c>
      <c r="AU12" s="13" t="s">
        <v>0</v>
      </c>
      <c r="AV12" s="18" t="s">
        <v>90</v>
      </c>
      <c r="AW12" s="14" t="s">
        <v>415</v>
      </c>
    </row>
    <row r="13" spans="1:50" ht="50" x14ac:dyDescent="0.25">
      <c r="A13" s="21" t="s">
        <v>91</v>
      </c>
      <c r="B13" s="21" t="s">
        <v>91</v>
      </c>
      <c r="C13" s="21" t="s">
        <v>10</v>
      </c>
      <c r="D13" t="s">
        <v>10</v>
      </c>
      <c r="E13" s="11">
        <v>7580000000</v>
      </c>
      <c r="F13" s="11">
        <v>1888000000</v>
      </c>
      <c r="G13" s="10">
        <v>1995</v>
      </c>
      <c r="H13" s="4" t="s">
        <v>1</v>
      </c>
      <c r="I13" s="4"/>
      <c r="J13" s="4" t="s">
        <v>0</v>
      </c>
      <c r="M13" s="17" t="s">
        <v>0</v>
      </c>
      <c r="O13" s="4" t="s">
        <v>0</v>
      </c>
      <c r="P13" s="4" t="s">
        <v>0</v>
      </c>
      <c r="Q13" s="12">
        <v>556281</v>
      </c>
      <c r="R13" s="12">
        <v>1780621</v>
      </c>
      <c r="S13" s="12">
        <v>92145</v>
      </c>
      <c r="T13" s="12">
        <f t="shared" si="0"/>
        <v>2244757</v>
      </c>
      <c r="U13" s="12" t="s">
        <v>401</v>
      </c>
      <c r="V13" s="12" t="str">
        <f t="shared" si="1"/>
        <v/>
      </c>
      <c r="W13" s="12">
        <v>615347</v>
      </c>
      <c r="X13" s="12">
        <v>1796960</v>
      </c>
      <c r="Y13" s="12"/>
      <c r="Z13" s="12">
        <f t="shared" si="2"/>
        <v>2412307</v>
      </c>
      <c r="AA13" s="12" t="s">
        <v>401</v>
      </c>
      <c r="AB13" s="12" t="str">
        <f t="shared" si="3"/>
        <v/>
      </c>
      <c r="AC13" s="12">
        <v>650755</v>
      </c>
      <c r="AD13" s="12">
        <v>1617395</v>
      </c>
      <c r="AE13" s="12"/>
      <c r="AF13" s="12">
        <f t="shared" si="4"/>
        <v>2268150</v>
      </c>
      <c r="AG13" s="12" t="s">
        <v>401</v>
      </c>
      <c r="AH13" s="12" t="str">
        <f t="shared" si="5"/>
        <v/>
      </c>
      <c r="AI13" s="12" t="s">
        <v>401</v>
      </c>
      <c r="AJ13" s="12" t="s">
        <v>401</v>
      </c>
      <c r="AK13" s="12"/>
      <c r="AL13" s="12" t="str">
        <f t="shared" si="6"/>
        <v/>
      </c>
      <c r="AM13" s="12" t="s">
        <v>401</v>
      </c>
      <c r="AN13" s="12" t="str">
        <f t="shared" si="7"/>
        <v/>
      </c>
      <c r="AO13" s="12" t="s">
        <v>401</v>
      </c>
      <c r="AP13" s="12" t="s">
        <v>401</v>
      </c>
      <c r="AQ13" s="12"/>
      <c r="AR13" s="12" t="str">
        <f t="shared" si="8"/>
        <v/>
      </c>
      <c r="AS13" s="12" t="s">
        <v>401</v>
      </c>
      <c r="AT13" s="12" t="str">
        <f t="shared" si="9"/>
        <v/>
      </c>
      <c r="AU13" t="s">
        <v>0</v>
      </c>
      <c r="AV13" s="14" t="s">
        <v>92</v>
      </c>
    </row>
    <row r="14" spans="1:50" ht="25" x14ac:dyDescent="0.25">
      <c r="A14" t="s">
        <v>93</v>
      </c>
      <c r="B14" s="21" t="s">
        <v>456</v>
      </c>
      <c r="C14" t="s">
        <v>7</v>
      </c>
      <c r="D14" t="s">
        <v>69</v>
      </c>
      <c r="E14" s="11">
        <v>23400000000</v>
      </c>
      <c r="F14" s="11">
        <v>7840000000</v>
      </c>
      <c r="G14" s="10">
        <v>1983</v>
      </c>
      <c r="H14" s="4" t="s">
        <v>1</v>
      </c>
      <c r="I14" s="4" t="s">
        <v>0</v>
      </c>
      <c r="J14" t="s">
        <v>0</v>
      </c>
      <c r="M14" s="17"/>
      <c r="N14" t="s">
        <v>0</v>
      </c>
      <c r="O14" s="4" t="s">
        <v>0</v>
      </c>
      <c r="P14" s="4" t="s">
        <v>0</v>
      </c>
      <c r="Q14" s="12">
        <v>135954</v>
      </c>
      <c r="R14" s="12">
        <v>160360</v>
      </c>
      <c r="S14" s="12"/>
      <c r="T14" s="12">
        <f t="shared" si="0"/>
        <v>296314</v>
      </c>
      <c r="U14" s="12">
        <f>2323917+258132+52554+22572+3454+56478+56210+52991+3047</f>
        <v>2829355</v>
      </c>
      <c r="V14" s="12">
        <f t="shared" si="1"/>
        <v>3125669</v>
      </c>
      <c r="W14" s="12">
        <v>160184</v>
      </c>
      <c r="X14" s="12">
        <v>159848</v>
      </c>
      <c r="Y14" s="12"/>
      <c r="Z14" s="12">
        <f t="shared" si="2"/>
        <v>320032</v>
      </c>
      <c r="AA14" s="12">
        <f>2413684+263202+29187+33207+1405+59334+56483</f>
        <v>2856502</v>
      </c>
      <c r="AB14" s="12">
        <f t="shared" si="3"/>
        <v>3176534</v>
      </c>
      <c r="AC14" s="12">
        <v>163362</v>
      </c>
      <c r="AD14" s="12">
        <v>139035</v>
      </c>
      <c r="AE14" s="12"/>
      <c r="AF14" s="12">
        <f t="shared" si="4"/>
        <v>302397</v>
      </c>
      <c r="AG14" s="12" t="s">
        <v>401</v>
      </c>
      <c r="AH14" s="12" t="str">
        <f t="shared" si="5"/>
        <v/>
      </c>
      <c r="AI14" s="12">
        <v>116643</v>
      </c>
      <c r="AJ14" s="12">
        <v>196000</v>
      </c>
      <c r="AK14" s="12"/>
      <c r="AL14" s="12">
        <f t="shared" si="6"/>
        <v>312643</v>
      </c>
      <c r="AM14" s="12" t="s">
        <v>401</v>
      </c>
      <c r="AN14" s="12" t="str">
        <f t="shared" si="7"/>
        <v/>
      </c>
      <c r="AO14" s="12">
        <v>125674</v>
      </c>
      <c r="AP14" s="12">
        <v>281940</v>
      </c>
      <c r="AQ14" s="12"/>
      <c r="AR14" s="12">
        <f t="shared" si="8"/>
        <v>407614</v>
      </c>
      <c r="AS14" s="12" t="s">
        <v>401</v>
      </c>
      <c r="AT14" s="12" t="str">
        <f t="shared" si="9"/>
        <v/>
      </c>
      <c r="AU14" t="s">
        <v>0</v>
      </c>
      <c r="AV14" s="18" t="s">
        <v>94</v>
      </c>
    </row>
    <row r="15" spans="1:50" x14ac:dyDescent="0.25">
      <c r="A15" t="s">
        <v>95</v>
      </c>
      <c r="B15" s="21" t="s">
        <v>402</v>
      </c>
      <c r="C15" t="s">
        <v>11</v>
      </c>
      <c r="D15" s="4" t="s">
        <v>96</v>
      </c>
      <c r="E15" s="5">
        <v>260174000000</v>
      </c>
      <c r="F15" s="5">
        <v>55256000000</v>
      </c>
      <c r="G15" s="9">
        <v>1980</v>
      </c>
      <c r="H15" s="5" t="s">
        <v>1</v>
      </c>
      <c r="I15" t="s">
        <v>1</v>
      </c>
      <c r="J15" t="s">
        <v>0</v>
      </c>
      <c r="K15">
        <v>2030</v>
      </c>
      <c r="L15">
        <v>2020</v>
      </c>
      <c r="M15" s="17">
        <v>1083243</v>
      </c>
      <c r="N15" t="s">
        <v>0</v>
      </c>
      <c r="O15" t="s">
        <v>1</v>
      </c>
      <c r="P15">
        <v>2018</v>
      </c>
      <c r="Q15" s="12">
        <v>50549</v>
      </c>
      <c r="R15" s="12">
        <v>0</v>
      </c>
      <c r="S15" s="12"/>
      <c r="T15" s="12">
        <f t="shared" si="0"/>
        <v>50549</v>
      </c>
      <c r="U15" s="12">
        <f>18900000+486000+325500+194700+999000+4100000+60000</f>
        <v>25065200</v>
      </c>
      <c r="V15" s="12">
        <f t="shared" si="1"/>
        <v>25115749</v>
      </c>
      <c r="W15" s="12">
        <v>54590</v>
      </c>
      <c r="X15" s="12">
        <v>8730</v>
      </c>
      <c r="Y15" s="12"/>
      <c r="Z15" s="12">
        <f t="shared" si="2"/>
        <v>63320</v>
      </c>
      <c r="AA15" s="12">
        <v>24600000</v>
      </c>
      <c r="AB15" s="12">
        <f t="shared" si="3"/>
        <v>24663320</v>
      </c>
      <c r="AC15" s="12">
        <v>45400</v>
      </c>
      <c r="AD15" s="12">
        <v>36250</v>
      </c>
      <c r="AE15" s="12"/>
      <c r="AF15" s="12">
        <f t="shared" si="4"/>
        <v>81650</v>
      </c>
      <c r="AG15" s="12">
        <v>293440</v>
      </c>
      <c r="AH15" s="12">
        <f t="shared" si="5"/>
        <v>375090</v>
      </c>
      <c r="AI15" s="12">
        <v>34370</v>
      </c>
      <c r="AJ15" s="12">
        <v>31000</v>
      </c>
      <c r="AK15" s="12"/>
      <c r="AL15" s="12">
        <f t="shared" si="6"/>
        <v>65370</v>
      </c>
      <c r="AM15" s="12">
        <f>22800000+350000+117500+186400+830000+5000000+300000</f>
        <v>29583900</v>
      </c>
      <c r="AN15" s="12">
        <f t="shared" si="7"/>
        <v>29649270</v>
      </c>
      <c r="AO15" s="12">
        <v>28100</v>
      </c>
      <c r="AP15" s="12">
        <v>42460</v>
      </c>
      <c r="AQ15" s="12"/>
      <c r="AR15" s="12">
        <f t="shared" si="8"/>
        <v>70560</v>
      </c>
      <c r="AS15" s="12" t="s">
        <v>401</v>
      </c>
      <c r="AT15" s="12" t="str">
        <f t="shared" si="9"/>
        <v/>
      </c>
      <c r="AU15" t="s">
        <v>1</v>
      </c>
      <c r="AX15" s="34" t="s">
        <v>97</v>
      </c>
    </row>
    <row r="16" spans="1:50" ht="87.5" x14ac:dyDescent="0.25">
      <c r="A16" t="s">
        <v>98</v>
      </c>
      <c r="B16" s="21" t="s">
        <v>404</v>
      </c>
      <c r="C16" t="s">
        <v>2</v>
      </c>
      <c r="D16" t="s">
        <v>99</v>
      </c>
      <c r="E16" s="5">
        <v>181200000000</v>
      </c>
      <c r="F16" s="5">
        <v>13900000000</v>
      </c>
      <c r="G16" s="9">
        <v>1983</v>
      </c>
      <c r="H16" s="5" t="s">
        <v>1</v>
      </c>
      <c r="I16" t="s">
        <v>1</v>
      </c>
      <c r="J16" t="s">
        <v>1</v>
      </c>
      <c r="K16">
        <v>2035</v>
      </c>
      <c r="L16">
        <v>2020</v>
      </c>
      <c r="M16" t="s">
        <v>0</v>
      </c>
      <c r="N16" t="s">
        <v>1</v>
      </c>
      <c r="O16" t="s">
        <v>0</v>
      </c>
      <c r="P16" t="s">
        <v>0</v>
      </c>
      <c r="Q16" s="12">
        <v>990000</v>
      </c>
      <c r="R16" s="12">
        <v>5530000</v>
      </c>
      <c r="S16" s="12"/>
      <c r="T16" s="12">
        <f t="shared" si="0"/>
        <v>6520000</v>
      </c>
      <c r="U16" s="12">
        <v>3890000</v>
      </c>
      <c r="V16" s="12">
        <f t="shared" si="1"/>
        <v>10410000</v>
      </c>
      <c r="W16" s="12">
        <v>1020000</v>
      </c>
      <c r="X16" s="12">
        <v>6660000</v>
      </c>
      <c r="Y16" s="12"/>
      <c r="Z16" s="12">
        <f t="shared" si="2"/>
        <v>7680000</v>
      </c>
      <c r="AA16" s="12">
        <v>4350000</v>
      </c>
      <c r="AB16" s="12">
        <f t="shared" si="3"/>
        <v>12030000</v>
      </c>
      <c r="AC16" s="12">
        <v>1070000</v>
      </c>
      <c r="AD16" s="12">
        <v>6950000</v>
      </c>
      <c r="AE16" s="12"/>
      <c r="AF16" s="12">
        <f t="shared" si="4"/>
        <v>8020000</v>
      </c>
      <c r="AG16" s="12">
        <v>3620000</v>
      </c>
      <c r="AH16" s="12">
        <f t="shared" si="5"/>
        <v>11640000</v>
      </c>
      <c r="AI16" s="12">
        <v>1080000</v>
      </c>
      <c r="AJ16" s="12">
        <v>7810000</v>
      </c>
      <c r="AK16" s="12"/>
      <c r="AL16" s="12">
        <f t="shared" si="6"/>
        <v>8890000</v>
      </c>
      <c r="AM16" s="12">
        <v>3400000</v>
      </c>
      <c r="AN16" s="12">
        <f t="shared" si="7"/>
        <v>12290000</v>
      </c>
      <c r="AO16" s="12">
        <v>1070000</v>
      </c>
      <c r="AP16" s="12">
        <v>7690000</v>
      </c>
      <c r="AQ16" s="12"/>
      <c r="AR16" s="12">
        <f t="shared" si="8"/>
        <v>8760000</v>
      </c>
      <c r="AS16" s="12">
        <v>3030000</v>
      </c>
      <c r="AT16" s="12">
        <f t="shared" si="9"/>
        <v>11790000</v>
      </c>
      <c r="AU16" t="s">
        <v>0</v>
      </c>
      <c r="AV16" s="18" t="s">
        <v>100</v>
      </c>
      <c r="AX16" s="35" t="s">
        <v>101</v>
      </c>
    </row>
    <row r="17" spans="1:50" ht="100" x14ac:dyDescent="0.25">
      <c r="A17" t="s">
        <v>102</v>
      </c>
      <c r="B17" s="21" t="s">
        <v>102</v>
      </c>
      <c r="C17" t="s">
        <v>6</v>
      </c>
      <c r="D17" s="4" t="s">
        <v>103</v>
      </c>
      <c r="E17" s="5">
        <v>91240000000</v>
      </c>
      <c r="F17" s="5">
        <v>25998000000</v>
      </c>
      <c r="G17" s="9">
        <v>1998</v>
      </c>
      <c r="H17" s="5" t="s">
        <v>1</v>
      </c>
      <c r="I17" t="s">
        <v>1</v>
      </c>
      <c r="J17" t="s">
        <v>0</v>
      </c>
      <c r="K17">
        <v>2020</v>
      </c>
      <c r="L17">
        <v>2016</v>
      </c>
      <c r="N17" t="s">
        <v>1</v>
      </c>
      <c r="P17">
        <v>2020</v>
      </c>
      <c r="Q17" s="12">
        <v>62639</v>
      </c>
      <c r="R17" s="12">
        <v>17523</v>
      </c>
      <c r="S17" s="12"/>
      <c r="T17" s="12">
        <f t="shared" si="0"/>
        <v>80162</v>
      </c>
      <c r="U17" s="12">
        <f>2329208+251336+161151+140215+22386+162457+378088+1400000+4000+19000</f>
        <v>4867841</v>
      </c>
      <c r="V17" s="12">
        <f t="shared" si="1"/>
        <v>4948003</v>
      </c>
      <c r="W17" s="12">
        <v>85145</v>
      </c>
      <c r="X17" s="12">
        <v>108614</v>
      </c>
      <c r="Y17" s="12"/>
      <c r="Z17" s="12">
        <f t="shared" si="2"/>
        <v>193759</v>
      </c>
      <c r="AA17" s="12">
        <v>4819113</v>
      </c>
      <c r="AB17" s="12">
        <f t="shared" si="3"/>
        <v>5012872</v>
      </c>
      <c r="AC17" s="12">
        <v>82298</v>
      </c>
      <c r="AD17" s="12">
        <v>173512</v>
      </c>
      <c r="AE17" s="12"/>
      <c r="AF17" s="12">
        <f t="shared" si="4"/>
        <v>255810</v>
      </c>
      <c r="AG17" s="12"/>
      <c r="AH17" s="12">
        <f t="shared" si="5"/>
        <v>255810</v>
      </c>
      <c r="AI17" s="12">
        <v>83473</v>
      </c>
      <c r="AJ17" s="12">
        <v>369084</v>
      </c>
      <c r="AK17" s="12"/>
      <c r="AL17" s="12">
        <f t="shared" si="6"/>
        <v>452557</v>
      </c>
      <c r="AM17" s="12">
        <f>1944781+312588+208087+15968+10761+154531+373481+1500000+5000+18000</f>
        <v>4543197</v>
      </c>
      <c r="AN17" s="12">
        <f t="shared" si="7"/>
        <v>4995754</v>
      </c>
      <c r="AO17" s="12">
        <v>98911</v>
      </c>
      <c r="AP17" s="12">
        <v>1036822</v>
      </c>
      <c r="AQ17" s="12"/>
      <c r="AR17" s="12">
        <f t="shared" si="8"/>
        <v>1135733</v>
      </c>
      <c r="AS17" s="12">
        <f>1674213+85933+215561+14818+16525+184613+388595+900000+9000+24000</f>
        <v>3513258</v>
      </c>
      <c r="AT17" s="12">
        <f t="shared" si="9"/>
        <v>4648991</v>
      </c>
      <c r="AU17" t="s">
        <v>0</v>
      </c>
      <c r="AV17" s="3" t="s">
        <v>104</v>
      </c>
      <c r="AW17" s="30" t="s">
        <v>416</v>
      </c>
      <c r="AX17" s="3" t="s">
        <v>105</v>
      </c>
    </row>
    <row r="18" spans="1:50" x14ac:dyDescent="0.25">
      <c r="A18" s="21" t="s">
        <v>106</v>
      </c>
      <c r="B18" s="21" t="s">
        <v>395</v>
      </c>
      <c r="C18" s="21" t="s">
        <v>6</v>
      </c>
      <c r="D18" s="4" t="s">
        <v>76</v>
      </c>
      <c r="E18" s="5">
        <v>254616000000</v>
      </c>
      <c r="F18" s="5">
        <v>81417000000</v>
      </c>
      <c r="G18" s="9">
        <v>1839</v>
      </c>
      <c r="H18" s="5" t="s">
        <v>1</v>
      </c>
      <c r="I18" t="s">
        <v>0</v>
      </c>
      <c r="J18" t="s">
        <v>0</v>
      </c>
      <c r="M18" t="s">
        <v>0</v>
      </c>
      <c r="N18" t="s">
        <v>0</v>
      </c>
      <c r="O18" t="s">
        <v>0</v>
      </c>
      <c r="P18" t="s">
        <v>0</v>
      </c>
      <c r="Q18" s="12" t="s">
        <v>401</v>
      </c>
      <c r="R18" s="12" t="s">
        <v>401</v>
      </c>
      <c r="S18" s="12"/>
      <c r="T18" s="12" t="str">
        <f t="shared" si="0"/>
        <v/>
      </c>
      <c r="U18" s="12" t="s">
        <v>401</v>
      </c>
      <c r="V18" s="12" t="str">
        <f t="shared" si="1"/>
        <v/>
      </c>
      <c r="W18" s="12" t="s">
        <v>401</v>
      </c>
      <c r="X18" s="12" t="s">
        <v>401</v>
      </c>
      <c r="Y18" s="12"/>
      <c r="Z18" s="12" t="str">
        <f t="shared" si="2"/>
        <v/>
      </c>
      <c r="AA18" s="12" t="s">
        <v>401</v>
      </c>
      <c r="AB18" s="12" t="str">
        <f t="shared" si="3"/>
        <v/>
      </c>
      <c r="AC18" s="12" t="s">
        <v>401</v>
      </c>
      <c r="AD18" s="12" t="s">
        <v>401</v>
      </c>
      <c r="AE18" s="12"/>
      <c r="AF18" s="12" t="str">
        <f t="shared" si="4"/>
        <v/>
      </c>
      <c r="AG18" s="12" t="s">
        <v>401</v>
      </c>
      <c r="AH18" s="12" t="str">
        <f t="shared" si="5"/>
        <v/>
      </c>
      <c r="AI18" s="12" t="s">
        <v>401</v>
      </c>
      <c r="AJ18" s="12" t="s">
        <v>401</v>
      </c>
      <c r="AK18" s="12"/>
      <c r="AL18" s="12" t="str">
        <f t="shared" si="6"/>
        <v/>
      </c>
      <c r="AM18" s="12" t="s">
        <v>401</v>
      </c>
      <c r="AN18" s="12" t="str">
        <f t="shared" si="7"/>
        <v/>
      </c>
      <c r="AO18" s="12" t="s">
        <v>401</v>
      </c>
      <c r="AP18" s="12" t="s">
        <v>401</v>
      </c>
      <c r="AQ18" s="12"/>
      <c r="AR18" s="12" t="str">
        <f t="shared" si="8"/>
        <v/>
      </c>
      <c r="AS18" s="12" t="s">
        <v>401</v>
      </c>
      <c r="AT18" s="12" t="str">
        <f t="shared" si="9"/>
        <v/>
      </c>
      <c r="AU18" t="s">
        <v>0</v>
      </c>
    </row>
    <row r="19" spans="1:50" x14ac:dyDescent="0.25">
      <c r="A19" s="21" t="s">
        <v>107</v>
      </c>
      <c r="B19" s="21" t="s">
        <v>460</v>
      </c>
      <c r="C19" s="21" t="s">
        <v>7</v>
      </c>
      <c r="D19" t="s">
        <v>69</v>
      </c>
      <c r="E19" s="5">
        <v>13500000000</v>
      </c>
      <c r="F19" s="5">
        <v>4400000000</v>
      </c>
      <c r="G19" s="9">
        <v>1978</v>
      </c>
      <c r="H19" s="5" t="s">
        <v>1</v>
      </c>
      <c r="I19" t="s">
        <v>1</v>
      </c>
      <c r="J19" t="s">
        <v>1</v>
      </c>
      <c r="K19">
        <v>2015</v>
      </c>
      <c r="L19">
        <v>2015</v>
      </c>
      <c r="M19" t="s">
        <v>0</v>
      </c>
      <c r="N19" t="s">
        <v>1</v>
      </c>
      <c r="O19" t="s">
        <v>1</v>
      </c>
      <c r="P19">
        <v>2014</v>
      </c>
      <c r="Q19" s="12">
        <v>67031</v>
      </c>
      <c r="R19" s="12">
        <v>106</v>
      </c>
      <c r="S19" s="12"/>
      <c r="T19" s="12">
        <f t="shared" si="0"/>
        <v>67137</v>
      </c>
      <c r="U19" s="12">
        <f>334954+32759+10515+645+24083+9516+12065</f>
        <v>424537</v>
      </c>
      <c r="V19" s="12">
        <f t="shared" si="1"/>
        <v>491674</v>
      </c>
      <c r="W19" s="12">
        <v>68448</v>
      </c>
      <c r="X19" s="12">
        <v>40172</v>
      </c>
      <c r="Y19" s="12">
        <v>76642</v>
      </c>
      <c r="Z19" s="12">
        <f t="shared" si="2"/>
        <v>31978</v>
      </c>
      <c r="AA19" s="12">
        <v>436265</v>
      </c>
      <c r="AB19" s="12">
        <f t="shared" si="3"/>
        <v>468243</v>
      </c>
      <c r="AC19" s="12">
        <v>61616</v>
      </c>
      <c r="AD19" s="12">
        <v>42408</v>
      </c>
      <c r="AE19" s="12">
        <v>69783</v>
      </c>
      <c r="AF19" s="12">
        <f t="shared" si="4"/>
        <v>34241</v>
      </c>
      <c r="AG19" s="12">
        <v>436265</v>
      </c>
      <c r="AH19" s="12">
        <f t="shared" si="5"/>
        <v>470506</v>
      </c>
      <c r="AI19" s="12">
        <v>61970</v>
      </c>
      <c r="AJ19" s="12">
        <v>45899</v>
      </c>
      <c r="AK19" s="12">
        <v>316917</v>
      </c>
      <c r="AL19" s="12">
        <f t="shared" si="6"/>
        <v>-209048</v>
      </c>
      <c r="AM19" s="12">
        <v>254791</v>
      </c>
      <c r="AN19" s="12">
        <f t="shared" si="7"/>
        <v>45743</v>
      </c>
      <c r="AO19" s="12">
        <v>60179</v>
      </c>
      <c r="AP19" s="12">
        <v>38173</v>
      </c>
      <c r="AQ19" s="12">
        <v>322563</v>
      </c>
      <c r="AR19" s="12">
        <f t="shared" si="8"/>
        <v>-224211</v>
      </c>
      <c r="AS19" s="12">
        <v>262358</v>
      </c>
      <c r="AT19" s="12">
        <f t="shared" si="9"/>
        <v>38147</v>
      </c>
      <c r="AU19" t="s">
        <v>0</v>
      </c>
    </row>
    <row r="20" spans="1:50" x14ac:dyDescent="0.25">
      <c r="A20" s="21" t="s">
        <v>108</v>
      </c>
      <c r="B20" s="21" t="s">
        <v>396</v>
      </c>
      <c r="C20" s="21" t="s">
        <v>6</v>
      </c>
      <c r="D20" s="4" t="s">
        <v>109</v>
      </c>
      <c r="E20" s="5">
        <v>14539000000</v>
      </c>
      <c r="F20" s="5">
        <v>4484000000</v>
      </c>
      <c r="G20" s="9">
        <v>1988</v>
      </c>
      <c r="H20" s="5" t="s">
        <v>1</v>
      </c>
      <c r="I20" t="s">
        <v>0</v>
      </c>
      <c r="J20" t="s">
        <v>0</v>
      </c>
      <c r="O20" t="s">
        <v>1</v>
      </c>
      <c r="P20">
        <v>2020</v>
      </c>
      <c r="Q20" s="12">
        <v>5589</v>
      </c>
      <c r="R20" s="12">
        <v>0</v>
      </c>
      <c r="S20" s="12"/>
      <c r="T20" s="12">
        <f t="shared" si="0"/>
        <v>5589</v>
      </c>
      <c r="U20" s="12">
        <f>351950+15521+7865+2462+1162+39116+1161+777</f>
        <v>420014</v>
      </c>
      <c r="V20" s="12">
        <f t="shared" si="1"/>
        <v>425603</v>
      </c>
      <c r="W20" s="12">
        <v>4807</v>
      </c>
      <c r="X20" s="12">
        <v>22043</v>
      </c>
      <c r="Y20" s="12">
        <v>0</v>
      </c>
      <c r="Z20" s="12">
        <f t="shared" si="2"/>
        <v>26850</v>
      </c>
      <c r="AA20" s="12">
        <f>2.9*15349</f>
        <v>44512.1</v>
      </c>
      <c r="AB20" s="12">
        <f t="shared" si="3"/>
        <v>71362.100000000006</v>
      </c>
      <c r="AC20" s="12">
        <v>5016</v>
      </c>
      <c r="AD20" s="12">
        <v>22135</v>
      </c>
      <c r="AE20" s="12">
        <v>0</v>
      </c>
      <c r="AF20" s="12">
        <f t="shared" si="4"/>
        <v>27151</v>
      </c>
      <c r="AG20" s="12">
        <f>2.8*13816</f>
        <v>38684.799999999996</v>
      </c>
      <c r="AH20" s="12">
        <f t="shared" si="5"/>
        <v>65835.799999999988</v>
      </c>
      <c r="AI20" s="12">
        <v>4281</v>
      </c>
      <c r="AJ20" s="12">
        <v>26086</v>
      </c>
      <c r="AK20" s="12">
        <v>0</v>
      </c>
      <c r="AL20" s="12">
        <f t="shared" si="6"/>
        <v>30367</v>
      </c>
      <c r="AM20" s="12">
        <f>3*13337</f>
        <v>40011</v>
      </c>
      <c r="AN20" s="12">
        <f t="shared" si="7"/>
        <v>70378</v>
      </c>
      <c r="AO20" s="12">
        <v>4846</v>
      </c>
      <c r="AP20" s="12">
        <v>28700</v>
      </c>
      <c r="AQ20" s="12"/>
      <c r="AR20" s="12">
        <f t="shared" si="8"/>
        <v>33546</v>
      </c>
      <c r="AS20" s="12">
        <f>3.1*12994</f>
        <v>40281.4</v>
      </c>
      <c r="AT20" s="12">
        <f t="shared" si="9"/>
        <v>73827.399999999994</v>
      </c>
      <c r="AU20" t="s">
        <v>0</v>
      </c>
      <c r="AW20" t="s">
        <v>110</v>
      </c>
    </row>
    <row r="21" spans="1:50" ht="50" x14ac:dyDescent="0.25">
      <c r="A21" s="21" t="s">
        <v>111</v>
      </c>
      <c r="B21" s="21" t="s">
        <v>111</v>
      </c>
      <c r="C21" s="21" t="s">
        <v>8</v>
      </c>
      <c r="D21" t="s">
        <v>112</v>
      </c>
      <c r="E21" s="5">
        <v>76559000000</v>
      </c>
      <c r="F21" s="11">
        <v>-636000000</v>
      </c>
      <c r="G21" s="9">
        <v>1962</v>
      </c>
      <c r="H21" s="5" t="s">
        <v>1</v>
      </c>
      <c r="I21" t="s">
        <v>0</v>
      </c>
      <c r="J21" t="s">
        <v>0</v>
      </c>
      <c r="M21" s="28">
        <v>0.5</v>
      </c>
      <c r="N21" t="s">
        <v>1</v>
      </c>
      <c r="O21" t="s">
        <v>0</v>
      </c>
      <c r="P21" t="s">
        <v>0</v>
      </c>
      <c r="Q21" s="12">
        <v>613000</v>
      </c>
      <c r="R21" s="12">
        <v>733000</v>
      </c>
      <c r="S21" s="12"/>
      <c r="T21" s="12">
        <f t="shared" si="0"/>
        <v>1346000</v>
      </c>
      <c r="U21" s="12">
        <v>290000</v>
      </c>
      <c r="V21" s="12">
        <f t="shared" si="1"/>
        <v>1636000</v>
      </c>
      <c r="W21" s="12">
        <v>646000</v>
      </c>
      <c r="X21" s="12">
        <v>892000</v>
      </c>
      <c r="Y21" s="12">
        <v>0</v>
      </c>
      <c r="Z21" s="12">
        <f t="shared" si="2"/>
        <v>1538000</v>
      </c>
      <c r="AA21" s="12">
        <v>320000</v>
      </c>
      <c r="AB21" s="12">
        <f t="shared" si="3"/>
        <v>1858000</v>
      </c>
      <c r="AC21" s="12">
        <v>626000</v>
      </c>
      <c r="AD21" s="12">
        <v>896000</v>
      </c>
      <c r="AE21" s="12"/>
      <c r="AF21" s="12">
        <f t="shared" si="4"/>
        <v>1522000</v>
      </c>
      <c r="AG21" s="12">
        <v>285000</v>
      </c>
      <c r="AH21" s="12">
        <f t="shared" si="5"/>
        <v>1807000</v>
      </c>
      <c r="AI21" s="12">
        <v>593000</v>
      </c>
      <c r="AJ21" s="12">
        <v>937000</v>
      </c>
      <c r="AK21" s="12"/>
      <c r="AL21" s="12">
        <f t="shared" si="6"/>
        <v>1530000</v>
      </c>
      <c r="AM21" s="12">
        <v>244000</v>
      </c>
      <c r="AN21" s="12">
        <f t="shared" si="7"/>
        <v>1774000</v>
      </c>
      <c r="AO21" s="12">
        <v>601000</v>
      </c>
      <c r="AP21" s="12">
        <v>902000</v>
      </c>
      <c r="AQ21" s="12"/>
      <c r="AR21" s="12">
        <f t="shared" si="8"/>
        <v>1503000</v>
      </c>
      <c r="AS21" s="12">
        <v>297000</v>
      </c>
      <c r="AT21" s="12">
        <f t="shared" si="9"/>
        <v>1800000</v>
      </c>
      <c r="AU21" t="s">
        <v>1</v>
      </c>
      <c r="AV21" s="14" t="s">
        <v>418</v>
      </c>
      <c r="AW21" s="30" t="s">
        <v>417</v>
      </c>
    </row>
    <row r="22" spans="1:50" x14ac:dyDescent="0.25">
      <c r="A22" s="21" t="s">
        <v>113</v>
      </c>
      <c r="B22" s="21" t="s">
        <v>461</v>
      </c>
      <c r="C22" s="4" t="s">
        <v>3</v>
      </c>
      <c r="D22" s="4" t="s">
        <v>114</v>
      </c>
      <c r="E22" s="5">
        <v>15066000000</v>
      </c>
      <c r="F22" s="5">
        <v>4865000000</v>
      </c>
      <c r="G22" s="9">
        <v>1999</v>
      </c>
      <c r="H22" s="5" t="s">
        <v>1</v>
      </c>
      <c r="I22" t="s">
        <v>0</v>
      </c>
      <c r="J22" t="s">
        <v>0</v>
      </c>
      <c r="M22" t="s">
        <v>0</v>
      </c>
      <c r="N22" t="s">
        <v>0</v>
      </c>
      <c r="O22" t="s">
        <v>0</v>
      </c>
      <c r="P22" t="s">
        <v>0</v>
      </c>
      <c r="Q22" s="12" t="s">
        <v>401</v>
      </c>
      <c r="R22" s="12" t="s">
        <v>401</v>
      </c>
      <c r="S22" s="12"/>
      <c r="T22" s="12" t="str">
        <f t="shared" si="0"/>
        <v/>
      </c>
      <c r="U22" s="12" t="s">
        <v>401</v>
      </c>
      <c r="V22" s="12" t="str">
        <f t="shared" si="1"/>
        <v/>
      </c>
      <c r="W22" s="12">
        <v>4811.67</v>
      </c>
      <c r="X22" s="12">
        <v>57517.74</v>
      </c>
      <c r="Y22" s="12">
        <v>0</v>
      </c>
      <c r="Z22" s="12">
        <f t="shared" si="2"/>
        <v>62329.409999999996</v>
      </c>
      <c r="AA22" s="12" t="s">
        <v>401</v>
      </c>
      <c r="AB22" s="12" t="str">
        <f t="shared" si="3"/>
        <v/>
      </c>
      <c r="AC22" s="12">
        <v>3372</v>
      </c>
      <c r="AD22" s="12">
        <v>47963</v>
      </c>
      <c r="AE22" s="12">
        <v>0</v>
      </c>
      <c r="AF22" s="12">
        <f t="shared" si="4"/>
        <v>51335</v>
      </c>
      <c r="AG22" s="12" t="s">
        <v>401</v>
      </c>
      <c r="AH22" s="12" t="str">
        <f t="shared" si="5"/>
        <v/>
      </c>
      <c r="AI22" s="12" t="s">
        <v>401</v>
      </c>
      <c r="AJ22" s="12" t="s">
        <v>401</v>
      </c>
      <c r="AK22" s="12"/>
      <c r="AL22" s="12" t="str">
        <f t="shared" si="6"/>
        <v/>
      </c>
      <c r="AM22" s="12" t="s">
        <v>401</v>
      </c>
      <c r="AN22" s="12" t="str">
        <f t="shared" si="7"/>
        <v/>
      </c>
      <c r="AO22" s="12" t="s">
        <v>401</v>
      </c>
      <c r="AP22" s="12" t="s">
        <v>401</v>
      </c>
      <c r="AQ22" s="12"/>
      <c r="AR22" s="12" t="str">
        <f t="shared" si="8"/>
        <v/>
      </c>
      <c r="AS22" s="12" t="s">
        <v>401</v>
      </c>
      <c r="AT22" s="12" t="str">
        <f t="shared" si="9"/>
        <v/>
      </c>
      <c r="AU22" t="s">
        <v>0</v>
      </c>
    </row>
    <row r="23" spans="1:50" ht="37.5" x14ac:dyDescent="0.25">
      <c r="A23" s="21" t="s">
        <v>115</v>
      </c>
      <c r="B23" s="21" t="s">
        <v>115</v>
      </c>
      <c r="C23" s="21" t="s">
        <v>7</v>
      </c>
      <c r="D23" t="s">
        <v>69</v>
      </c>
      <c r="E23" s="5">
        <v>26145000000</v>
      </c>
      <c r="F23" s="5">
        <v>3439000000</v>
      </c>
      <c r="G23" s="9">
        <v>1887</v>
      </c>
      <c r="H23" s="5" t="s">
        <v>1</v>
      </c>
      <c r="I23" t="s">
        <v>0</v>
      </c>
      <c r="J23" t="s">
        <v>0</v>
      </c>
      <c r="M23" s="15">
        <v>400000</v>
      </c>
      <c r="N23" t="s">
        <v>0</v>
      </c>
      <c r="O23" t="s">
        <v>0</v>
      </c>
      <c r="P23" t="s">
        <v>0</v>
      </c>
      <c r="Q23" s="12" t="s">
        <v>401</v>
      </c>
      <c r="R23" s="12" t="s">
        <v>401</v>
      </c>
      <c r="S23" s="12"/>
      <c r="T23" s="12" t="str">
        <f t="shared" si="0"/>
        <v/>
      </c>
      <c r="U23" s="12" t="s">
        <v>401</v>
      </c>
      <c r="V23" s="12" t="str">
        <f t="shared" si="1"/>
        <v/>
      </c>
      <c r="W23" s="12">
        <v>130000</v>
      </c>
      <c r="X23" s="12">
        <v>230000</v>
      </c>
      <c r="Y23" s="12"/>
      <c r="Z23" s="12">
        <f t="shared" si="2"/>
        <v>360000</v>
      </c>
      <c r="AA23" s="12" t="s">
        <v>401</v>
      </c>
      <c r="AB23" s="12" t="str">
        <f t="shared" si="3"/>
        <v/>
      </c>
      <c r="AC23" s="12">
        <v>125000</v>
      </c>
      <c r="AD23" s="12">
        <v>250000</v>
      </c>
      <c r="AE23" s="12"/>
      <c r="AF23" s="12">
        <f t="shared" si="4"/>
        <v>375000</v>
      </c>
      <c r="AG23" s="12"/>
      <c r="AH23" s="12">
        <f t="shared" si="5"/>
        <v>375000</v>
      </c>
      <c r="AI23" s="12">
        <v>130000</v>
      </c>
      <c r="AJ23" s="12">
        <v>250000</v>
      </c>
      <c r="AK23" s="12"/>
      <c r="AL23" s="12">
        <f t="shared" si="6"/>
        <v>380000</v>
      </c>
      <c r="AM23" s="12"/>
      <c r="AN23" s="12">
        <f t="shared" si="7"/>
        <v>380000</v>
      </c>
      <c r="AO23" s="12" t="s">
        <v>401</v>
      </c>
      <c r="AP23" s="12" t="s">
        <v>401</v>
      </c>
      <c r="AQ23" s="12"/>
      <c r="AR23" s="12" t="str">
        <f t="shared" si="8"/>
        <v/>
      </c>
      <c r="AS23" s="12" t="s">
        <v>401</v>
      </c>
      <c r="AT23" s="12" t="str">
        <f t="shared" si="9"/>
        <v/>
      </c>
      <c r="AU23" t="s">
        <v>0</v>
      </c>
      <c r="AV23" s="18" t="s">
        <v>116</v>
      </c>
    </row>
    <row r="24" spans="1:50" ht="25" x14ac:dyDescent="0.25">
      <c r="A24" s="21" t="s">
        <v>117</v>
      </c>
      <c r="B24" s="21" t="s">
        <v>466</v>
      </c>
      <c r="C24" s="21" t="s">
        <v>6</v>
      </c>
      <c r="D24" s="4" t="s">
        <v>89</v>
      </c>
      <c r="E24" s="5">
        <v>28600000000</v>
      </c>
      <c r="F24" s="5">
        <v>5192000000</v>
      </c>
      <c r="G24" s="9">
        <v>1994</v>
      </c>
      <c r="H24" s="5" t="s">
        <v>1</v>
      </c>
      <c r="I24" t="s">
        <v>1</v>
      </c>
      <c r="J24" t="s">
        <v>0</v>
      </c>
      <c r="K24">
        <v>2018</v>
      </c>
      <c r="L24">
        <v>2018</v>
      </c>
      <c r="M24" s="15"/>
      <c r="N24" t="s">
        <v>1</v>
      </c>
      <c r="O24" t="s">
        <v>1</v>
      </c>
      <c r="P24">
        <v>2017</v>
      </c>
      <c r="Q24" s="12">
        <v>9495</v>
      </c>
      <c r="R24" s="12">
        <v>135</v>
      </c>
      <c r="S24" s="12"/>
      <c r="T24" s="12">
        <f t="shared" si="0"/>
        <v>9630</v>
      </c>
      <c r="U24" s="12">
        <f>165571+8156+67870+4762+37500+101249+5866.51</f>
        <v>390974.51</v>
      </c>
      <c r="V24" s="12">
        <f t="shared" si="1"/>
        <v>400604.51</v>
      </c>
      <c r="W24" s="12">
        <v>9815</v>
      </c>
      <c r="X24" s="12">
        <v>0</v>
      </c>
      <c r="Y24" s="12"/>
      <c r="Z24" s="12">
        <f t="shared" si="2"/>
        <v>9815</v>
      </c>
      <c r="AA24" s="12">
        <f>157487+9106.99+56982+3601+34539+105860+7133.21</f>
        <v>374709.2</v>
      </c>
      <c r="AB24" s="12">
        <f t="shared" si="3"/>
        <v>384524.2</v>
      </c>
      <c r="AC24" s="12">
        <v>11624</v>
      </c>
      <c r="AD24" s="12">
        <v>150</v>
      </c>
      <c r="AE24" s="12"/>
      <c r="AF24" s="12">
        <f t="shared" si="4"/>
        <v>11774</v>
      </c>
      <c r="AG24" s="12">
        <f>49982.23+62340.64+103444.88</f>
        <v>215767.75</v>
      </c>
      <c r="AH24" s="12">
        <f t="shared" si="5"/>
        <v>227541.75</v>
      </c>
      <c r="AI24" s="12">
        <v>13061</v>
      </c>
      <c r="AJ24" s="12">
        <v>176444</v>
      </c>
      <c r="AK24" s="12"/>
      <c r="AL24" s="12">
        <f t="shared" si="6"/>
        <v>189505</v>
      </c>
      <c r="AM24" s="12">
        <f>53010.86+55239.85+105093.4</f>
        <v>213344.11</v>
      </c>
      <c r="AN24" s="12">
        <f t="shared" si="7"/>
        <v>402849.11</v>
      </c>
      <c r="AO24" s="12">
        <v>14421</v>
      </c>
      <c r="AP24" s="12">
        <v>181088</v>
      </c>
      <c r="AQ24" s="12"/>
      <c r="AR24" s="12">
        <f t="shared" si="8"/>
        <v>195509</v>
      </c>
      <c r="AS24" s="12">
        <f>51042.88+32022</f>
        <v>83064.88</v>
      </c>
      <c r="AT24" s="12">
        <f t="shared" si="9"/>
        <v>278573.88</v>
      </c>
      <c r="AU24" t="s">
        <v>0</v>
      </c>
      <c r="AV24" s="7" t="s">
        <v>118</v>
      </c>
      <c r="AW24" s="4" t="s">
        <v>419</v>
      </c>
      <c r="AX24" s="20" t="s">
        <v>119</v>
      </c>
    </row>
    <row r="25" spans="1:50" ht="62.5" x14ac:dyDescent="0.25">
      <c r="A25" s="21" t="s">
        <v>120</v>
      </c>
      <c r="B25" s="21" t="s">
        <v>447</v>
      </c>
      <c r="C25" s="21" t="s">
        <v>8</v>
      </c>
      <c r="D25" s="4" t="s">
        <v>121</v>
      </c>
      <c r="E25" s="5">
        <v>53800000000</v>
      </c>
      <c r="F25" s="5">
        <v>6093000000</v>
      </c>
      <c r="G25" s="9">
        <v>1925</v>
      </c>
      <c r="H25" s="5" t="s">
        <v>1</v>
      </c>
      <c r="I25" t="s">
        <v>0</v>
      </c>
      <c r="J25" t="s">
        <v>0</v>
      </c>
      <c r="M25" s="15" t="s">
        <v>0</v>
      </c>
      <c r="N25" t="s">
        <v>0</v>
      </c>
      <c r="O25" t="s">
        <v>0</v>
      </c>
      <c r="P25" t="s">
        <v>0</v>
      </c>
      <c r="Q25" s="12">
        <v>905000</v>
      </c>
      <c r="R25" s="12">
        <v>869000</v>
      </c>
      <c r="S25" s="12">
        <v>0</v>
      </c>
      <c r="T25" s="12">
        <f t="shared" si="0"/>
        <v>1774000</v>
      </c>
      <c r="U25" s="12" t="s">
        <v>401</v>
      </c>
      <c r="V25" s="12" t="str">
        <f t="shared" si="1"/>
        <v/>
      </c>
      <c r="W25" s="12">
        <v>927000</v>
      </c>
      <c r="X25" s="12">
        <v>1280000</v>
      </c>
      <c r="Y25" s="12">
        <v>0</v>
      </c>
      <c r="Z25" s="12">
        <f t="shared" si="2"/>
        <v>2207000</v>
      </c>
      <c r="AA25" s="12" t="s">
        <v>401</v>
      </c>
      <c r="AB25" s="12" t="str">
        <f t="shared" si="3"/>
        <v/>
      </c>
      <c r="AC25" s="12">
        <v>863000</v>
      </c>
      <c r="AD25" s="12">
        <v>1256000</v>
      </c>
      <c r="AE25" s="12">
        <v>0</v>
      </c>
      <c r="AF25" s="12">
        <f t="shared" si="4"/>
        <v>2119000</v>
      </c>
      <c r="AG25" s="12" t="s">
        <v>401</v>
      </c>
      <c r="AH25" s="12" t="str">
        <f t="shared" si="5"/>
        <v/>
      </c>
      <c r="AI25" s="12">
        <v>863000</v>
      </c>
      <c r="AJ25" s="12">
        <v>1265000</v>
      </c>
      <c r="AK25" s="12">
        <v>0</v>
      </c>
      <c r="AL25" s="12">
        <f t="shared" si="6"/>
        <v>2128000</v>
      </c>
      <c r="AM25" s="12" t="s">
        <v>401</v>
      </c>
      <c r="AN25" s="12" t="str">
        <f t="shared" si="7"/>
        <v/>
      </c>
      <c r="AO25" s="12" t="s">
        <v>401</v>
      </c>
      <c r="AP25" s="12" t="s">
        <v>401</v>
      </c>
      <c r="AQ25" s="12"/>
      <c r="AR25" s="12" t="str">
        <f t="shared" si="8"/>
        <v/>
      </c>
      <c r="AS25" s="12" t="s">
        <v>401</v>
      </c>
      <c r="AT25" s="12" t="str">
        <f t="shared" si="9"/>
        <v/>
      </c>
      <c r="AU25" t="s">
        <v>0</v>
      </c>
      <c r="AV25" s="18" t="s">
        <v>122</v>
      </c>
      <c r="AX25" s="20"/>
    </row>
    <row r="26" spans="1:50" x14ac:dyDescent="0.25">
      <c r="A26" s="21" t="s">
        <v>123</v>
      </c>
      <c r="B26" s="21" t="s">
        <v>397</v>
      </c>
      <c r="C26" t="s">
        <v>2</v>
      </c>
      <c r="D26" s="4" t="s">
        <v>124</v>
      </c>
      <c r="E26" s="5">
        <v>45764000000</v>
      </c>
      <c r="F26" s="5">
        <v>1668000000</v>
      </c>
      <c r="G26" s="9">
        <v>1999</v>
      </c>
      <c r="H26" s="5" t="s">
        <v>1</v>
      </c>
      <c r="I26" t="s">
        <v>0</v>
      </c>
      <c r="J26" t="s">
        <v>0</v>
      </c>
      <c r="M26" s="15" t="s">
        <v>0</v>
      </c>
      <c r="N26" t="s">
        <v>0</v>
      </c>
      <c r="O26" t="s">
        <v>0</v>
      </c>
      <c r="P26" t="s">
        <v>0</v>
      </c>
      <c r="Q26" s="12" t="s">
        <v>401</v>
      </c>
      <c r="R26" s="12" t="s">
        <v>401</v>
      </c>
      <c r="S26" s="12"/>
      <c r="T26" s="12" t="str">
        <f t="shared" si="0"/>
        <v/>
      </c>
      <c r="U26" s="12" t="s">
        <v>401</v>
      </c>
      <c r="V26" s="12" t="str">
        <f t="shared" si="1"/>
        <v/>
      </c>
      <c r="W26" s="12" t="s">
        <v>401</v>
      </c>
      <c r="X26" s="12" t="s">
        <v>401</v>
      </c>
      <c r="Y26" s="12"/>
      <c r="Z26" s="12" t="str">
        <f t="shared" si="2"/>
        <v/>
      </c>
      <c r="AA26" s="12" t="s">
        <v>401</v>
      </c>
      <c r="AB26" s="12" t="str">
        <f t="shared" si="3"/>
        <v/>
      </c>
      <c r="AC26" s="12" t="s">
        <v>401</v>
      </c>
      <c r="AD26" s="12" t="s">
        <v>401</v>
      </c>
      <c r="AE26" s="12"/>
      <c r="AF26" s="12" t="str">
        <f t="shared" si="4"/>
        <v/>
      </c>
      <c r="AG26" s="12" t="s">
        <v>401</v>
      </c>
      <c r="AH26" s="12" t="str">
        <f t="shared" si="5"/>
        <v/>
      </c>
      <c r="AI26" s="12" t="s">
        <v>401</v>
      </c>
      <c r="AJ26" s="12" t="s">
        <v>401</v>
      </c>
      <c r="AK26" s="12"/>
      <c r="AL26" s="12" t="str">
        <f t="shared" si="6"/>
        <v/>
      </c>
      <c r="AM26" s="12" t="s">
        <v>401</v>
      </c>
      <c r="AN26" s="12" t="str">
        <f t="shared" si="7"/>
        <v/>
      </c>
      <c r="AO26" s="12" t="s">
        <v>401</v>
      </c>
      <c r="AP26" s="12" t="s">
        <v>401</v>
      </c>
      <c r="AQ26" s="12"/>
      <c r="AR26" s="12" t="str">
        <f t="shared" si="8"/>
        <v/>
      </c>
      <c r="AS26" s="12" t="s">
        <v>401</v>
      </c>
      <c r="AT26" s="12" t="str">
        <f t="shared" si="9"/>
        <v/>
      </c>
      <c r="AU26" t="s">
        <v>0</v>
      </c>
      <c r="AV26" s="7" t="s">
        <v>118</v>
      </c>
      <c r="AX26" s="20"/>
    </row>
    <row r="27" spans="1:50" x14ac:dyDescent="0.25">
      <c r="A27" s="21" t="s">
        <v>125</v>
      </c>
      <c r="B27" s="21" t="s">
        <v>125</v>
      </c>
      <c r="C27" t="s">
        <v>5</v>
      </c>
      <c r="D27" s="4" t="s">
        <v>126</v>
      </c>
      <c r="E27" s="5">
        <v>146516000000</v>
      </c>
      <c r="F27" s="5">
        <v>2924000000</v>
      </c>
      <c r="G27" s="9">
        <v>1879</v>
      </c>
      <c r="H27" s="5" t="s">
        <v>1</v>
      </c>
      <c r="I27" t="s">
        <v>0</v>
      </c>
      <c r="J27" t="s">
        <v>0</v>
      </c>
      <c r="M27" s="15" t="s">
        <v>0</v>
      </c>
      <c r="N27" t="s">
        <v>0</v>
      </c>
      <c r="O27" t="s">
        <v>0</v>
      </c>
      <c r="Q27" s="12">
        <v>55000000</v>
      </c>
      <c r="R27" s="12">
        <v>2000000</v>
      </c>
      <c r="S27" s="12">
        <v>0</v>
      </c>
      <c r="T27" s="12">
        <f t="shared" si="0"/>
        <v>57000000</v>
      </c>
      <c r="U27" s="12">
        <v>413000000</v>
      </c>
      <c r="V27" s="12">
        <f t="shared" si="1"/>
        <v>470000000</v>
      </c>
      <c r="W27" s="12">
        <v>59000000</v>
      </c>
      <c r="X27" s="12">
        <v>3000000</v>
      </c>
      <c r="Y27" s="12">
        <v>0</v>
      </c>
      <c r="Z27" s="12">
        <f t="shared" si="2"/>
        <v>62000000</v>
      </c>
      <c r="AA27" s="12">
        <v>397000000</v>
      </c>
      <c r="AB27" s="12">
        <f t="shared" si="3"/>
        <v>459000000</v>
      </c>
      <c r="AC27" s="12">
        <v>56000000</v>
      </c>
      <c r="AD27" s="12">
        <v>3000000</v>
      </c>
      <c r="AE27" s="12">
        <v>0</v>
      </c>
      <c r="AF27" s="12">
        <f t="shared" si="4"/>
        <v>59000000</v>
      </c>
      <c r="AG27" s="12">
        <v>377000000</v>
      </c>
      <c r="AH27" s="12">
        <f t="shared" si="5"/>
        <v>436000000</v>
      </c>
      <c r="AI27" s="12">
        <v>58000000</v>
      </c>
      <c r="AJ27" s="12">
        <v>3000000</v>
      </c>
      <c r="AK27" s="12">
        <v>0</v>
      </c>
      <c r="AL27" s="12">
        <f t="shared" si="6"/>
        <v>61000000</v>
      </c>
      <c r="AM27" s="12">
        <v>365000000</v>
      </c>
      <c r="AN27" s="12">
        <f t="shared" si="7"/>
        <v>426000000</v>
      </c>
      <c r="AO27" s="12">
        <v>58000000</v>
      </c>
      <c r="AP27" s="12">
        <v>3000000</v>
      </c>
      <c r="AQ27" s="12">
        <v>0</v>
      </c>
      <c r="AR27" s="12">
        <f t="shared" si="8"/>
        <v>61000000</v>
      </c>
      <c r="AS27" s="12">
        <v>367000000</v>
      </c>
      <c r="AT27" s="12">
        <f t="shared" si="9"/>
        <v>428000000</v>
      </c>
      <c r="AU27" t="s">
        <v>1</v>
      </c>
      <c r="AV27" s="7" t="s">
        <v>127</v>
      </c>
      <c r="AX27" s="20"/>
    </row>
    <row r="28" spans="1:50" ht="62.5" x14ac:dyDescent="0.25">
      <c r="A28" s="21" t="s">
        <v>128</v>
      </c>
      <c r="B28" s="21" t="s">
        <v>407</v>
      </c>
      <c r="C28" s="32" t="s">
        <v>11</v>
      </c>
      <c r="D28" s="4" t="s">
        <v>96</v>
      </c>
      <c r="E28" s="5">
        <v>51900000000</v>
      </c>
      <c r="F28" s="5">
        <v>11620000000</v>
      </c>
      <c r="G28" s="9">
        <v>1990</v>
      </c>
      <c r="H28" s="5" t="s">
        <v>1</v>
      </c>
      <c r="I28" t="s">
        <v>0</v>
      </c>
      <c r="J28" t="s">
        <v>1</v>
      </c>
      <c r="M28" s="15">
        <v>180000</v>
      </c>
      <c r="N28" t="s">
        <v>1</v>
      </c>
      <c r="O28" t="s">
        <v>0</v>
      </c>
      <c r="P28" t="s">
        <v>0</v>
      </c>
      <c r="Q28" s="12">
        <v>41181</v>
      </c>
      <c r="R28" s="12">
        <v>187428</v>
      </c>
      <c r="S28" s="12">
        <v>0</v>
      </c>
      <c r="T28" s="12">
        <f t="shared" si="0"/>
        <v>228609</v>
      </c>
      <c r="U28" s="12">
        <f>1154682+40020+39054+36598+779+207323+79699+83396+24929174+272</f>
        <v>26570997</v>
      </c>
      <c r="V28" s="12">
        <f t="shared" si="1"/>
        <v>26799606</v>
      </c>
      <c r="W28" s="12">
        <v>41171</v>
      </c>
      <c r="X28" s="12">
        <v>205141</v>
      </c>
      <c r="Y28" s="12">
        <v>0</v>
      </c>
      <c r="Z28" s="12">
        <f t="shared" si="2"/>
        <v>246312</v>
      </c>
      <c r="AA28" s="12">
        <f>1154682+40020+40002+36598+1096+217500+81394+83396+37865598+272</f>
        <v>39520558</v>
      </c>
      <c r="AB28" s="12">
        <f t="shared" si="3"/>
        <v>39766870</v>
      </c>
      <c r="AC28" s="12">
        <v>41926</v>
      </c>
      <c r="AD28" s="12">
        <v>223558</v>
      </c>
      <c r="AE28" s="12">
        <v>0</v>
      </c>
      <c r="AF28" s="12">
        <f t="shared" si="4"/>
        <v>265484</v>
      </c>
      <c r="AG28" s="12">
        <f>1283704+57607+44164+16509+177210+80506+38521+32847245+349</f>
        <v>34545815</v>
      </c>
      <c r="AH28" s="12">
        <f t="shared" si="5"/>
        <v>34811299</v>
      </c>
      <c r="AI28" s="12">
        <v>53123</v>
      </c>
      <c r="AJ28" s="12">
        <v>247933</v>
      </c>
      <c r="AK28" s="12">
        <v>0</v>
      </c>
      <c r="AL28" s="12">
        <f t="shared" si="6"/>
        <v>301056</v>
      </c>
      <c r="AM28" s="12">
        <f>1373745+67405+43897+20062+184901+91586+46810+33466582+1138</f>
        <v>35296126</v>
      </c>
      <c r="AN28" s="12">
        <f t="shared" si="7"/>
        <v>35597182</v>
      </c>
      <c r="AO28" s="12">
        <v>53123</v>
      </c>
      <c r="AP28" s="12">
        <v>247933</v>
      </c>
      <c r="AQ28" s="12">
        <v>0</v>
      </c>
      <c r="AR28" s="12">
        <f t="shared" si="8"/>
        <v>301056</v>
      </c>
      <c r="AS28" s="12">
        <f>3105862+81700+46354+196595+191573+96937+458722+33753281+6800</f>
        <v>37937824</v>
      </c>
      <c r="AT28" s="12">
        <f t="shared" si="9"/>
        <v>38238880</v>
      </c>
      <c r="AU28" t="s">
        <v>1</v>
      </c>
      <c r="AV28" s="18" t="s">
        <v>129</v>
      </c>
      <c r="AW28" s="4" t="s">
        <v>420</v>
      </c>
    </row>
    <row r="29" spans="1:50" x14ac:dyDescent="0.25">
      <c r="A29" s="21" t="s">
        <v>130</v>
      </c>
      <c r="B29" s="21" t="s">
        <v>453</v>
      </c>
      <c r="C29" s="21" t="s">
        <v>6</v>
      </c>
      <c r="D29" s="4" t="s">
        <v>103</v>
      </c>
      <c r="E29" s="5">
        <v>103449000000</v>
      </c>
      <c r="F29" s="5">
        <v>18171000000</v>
      </c>
      <c r="G29" s="9">
        <v>1998</v>
      </c>
      <c r="H29" s="5" t="s">
        <v>1</v>
      </c>
      <c r="I29" t="s">
        <v>0</v>
      </c>
      <c r="J29" t="s">
        <v>0</v>
      </c>
      <c r="M29" t="s">
        <v>0</v>
      </c>
      <c r="N29" t="s">
        <v>0</v>
      </c>
      <c r="O29" t="s">
        <v>1</v>
      </c>
      <c r="P29">
        <v>2020</v>
      </c>
      <c r="Q29" s="12">
        <v>23289</v>
      </c>
      <c r="R29" s="12">
        <v>593611</v>
      </c>
      <c r="S29" s="12">
        <v>0</v>
      </c>
      <c r="T29" s="12">
        <f t="shared" si="0"/>
        <v>616900</v>
      </c>
      <c r="U29" s="12">
        <f>3057.83+365372.29+170626.34+126229+82627.85</f>
        <v>747913.30999999994</v>
      </c>
      <c r="V29" s="12">
        <f t="shared" si="1"/>
        <v>1364813.31</v>
      </c>
      <c r="W29" s="12">
        <v>24132</v>
      </c>
      <c r="X29" s="12">
        <v>623233</v>
      </c>
      <c r="Y29" s="12">
        <v>0</v>
      </c>
      <c r="Z29" s="12">
        <f t="shared" si="2"/>
        <v>647365</v>
      </c>
      <c r="AA29" s="12">
        <f>4090.86+284991.97+187586+149815+86948.67+9990000</f>
        <v>10703432.5</v>
      </c>
      <c r="AB29" s="12">
        <f t="shared" si="3"/>
        <v>11350797.5</v>
      </c>
      <c r="AC29" s="12">
        <v>20951</v>
      </c>
      <c r="AD29" s="12">
        <v>677636</v>
      </c>
      <c r="AE29" s="12">
        <v>0</v>
      </c>
      <c r="AF29" s="12">
        <f t="shared" si="4"/>
        <v>698587</v>
      </c>
      <c r="AG29" s="12">
        <f>4245.09+227593.23+196748.31+151321+90709.34+18100000</f>
        <v>18770616.969999999</v>
      </c>
      <c r="AH29" s="12">
        <f t="shared" si="5"/>
        <v>19469203.969999999</v>
      </c>
      <c r="AI29" s="12">
        <v>23141</v>
      </c>
      <c r="AJ29" s="12">
        <v>747748</v>
      </c>
      <c r="AK29" s="12">
        <v>0</v>
      </c>
      <c r="AL29" s="12">
        <f t="shared" si="6"/>
        <v>770889</v>
      </c>
      <c r="AM29" s="12">
        <f>22105+210958+137860+95034+7760665</f>
        <v>8226622</v>
      </c>
      <c r="AN29" s="12">
        <f t="shared" si="7"/>
        <v>8997511</v>
      </c>
      <c r="AO29" s="12">
        <v>25742</v>
      </c>
      <c r="AP29" s="12">
        <v>789002</v>
      </c>
      <c r="AQ29" s="12">
        <v>0</v>
      </c>
      <c r="AR29" s="12">
        <f t="shared" si="8"/>
        <v>814744</v>
      </c>
      <c r="AS29" s="12">
        <f>28214+111292+9600000</f>
        <v>9739506</v>
      </c>
      <c r="AT29" s="12">
        <f t="shared" si="9"/>
        <v>10554250</v>
      </c>
      <c r="AU29" t="s">
        <v>1</v>
      </c>
      <c r="AV29" s="7" t="s">
        <v>131</v>
      </c>
      <c r="AW29" s="4" t="s">
        <v>421</v>
      </c>
    </row>
    <row r="30" spans="1:50" ht="62.5" x14ac:dyDescent="0.25">
      <c r="A30" s="21" t="s">
        <v>132</v>
      </c>
      <c r="B30" s="21" t="s">
        <v>477</v>
      </c>
      <c r="C30" s="4" t="s">
        <v>4</v>
      </c>
      <c r="D30" s="4" t="s">
        <v>133</v>
      </c>
      <c r="E30" s="5">
        <v>37266000000</v>
      </c>
      <c r="F30" s="5">
        <v>38640000000</v>
      </c>
      <c r="G30" s="9">
        <v>1892</v>
      </c>
      <c r="H30" s="5" t="s">
        <v>1</v>
      </c>
      <c r="I30" t="s">
        <v>0</v>
      </c>
      <c r="J30" t="s">
        <v>1</v>
      </c>
      <c r="M30" s="15">
        <v>4125000</v>
      </c>
      <c r="N30" t="s">
        <v>0</v>
      </c>
      <c r="O30" t="s">
        <v>0</v>
      </c>
      <c r="P30" t="s">
        <v>0</v>
      </c>
      <c r="Q30" s="12">
        <v>1830000</v>
      </c>
      <c r="R30" s="12">
        <v>3730000</v>
      </c>
      <c r="S30" s="12">
        <v>0</v>
      </c>
      <c r="T30" s="12">
        <f t="shared" si="0"/>
        <v>5560000</v>
      </c>
      <c r="U30" s="12" t="s">
        <v>401</v>
      </c>
      <c r="V30" s="12" t="str">
        <f t="shared" si="1"/>
        <v/>
      </c>
      <c r="W30" s="12">
        <v>1790000</v>
      </c>
      <c r="X30" s="12">
        <v>3760000</v>
      </c>
      <c r="Y30" s="12">
        <v>0</v>
      </c>
      <c r="Z30" s="12">
        <f t="shared" si="2"/>
        <v>5550000</v>
      </c>
      <c r="AA30" s="12" t="s">
        <v>401</v>
      </c>
      <c r="AB30" s="12" t="str">
        <f t="shared" si="3"/>
        <v/>
      </c>
      <c r="AC30" s="12">
        <v>1780000</v>
      </c>
      <c r="AD30" s="12">
        <v>3760000</v>
      </c>
      <c r="AE30" s="12">
        <v>0</v>
      </c>
      <c r="AF30" s="12">
        <f t="shared" si="4"/>
        <v>5540000</v>
      </c>
      <c r="AG30" s="12" t="s">
        <v>401</v>
      </c>
      <c r="AH30" s="12" t="str">
        <f t="shared" si="5"/>
        <v/>
      </c>
      <c r="AI30" s="12">
        <v>1600000</v>
      </c>
      <c r="AJ30" s="12">
        <v>3800000</v>
      </c>
      <c r="AK30" s="12">
        <v>0</v>
      </c>
      <c r="AL30" s="12">
        <f t="shared" si="6"/>
        <v>5400000</v>
      </c>
      <c r="AM30" s="12" t="s">
        <v>401</v>
      </c>
      <c r="AN30" s="12" t="str">
        <f t="shared" si="7"/>
        <v/>
      </c>
      <c r="AO30" s="12">
        <v>1700000</v>
      </c>
      <c r="AP30" s="12">
        <v>3800000</v>
      </c>
      <c r="AQ30" s="12">
        <v>0</v>
      </c>
      <c r="AR30" s="12">
        <f t="shared" si="8"/>
        <v>5500000</v>
      </c>
      <c r="AS30" s="12" t="s">
        <v>401</v>
      </c>
      <c r="AT30" s="12" t="str">
        <f t="shared" si="9"/>
        <v/>
      </c>
      <c r="AU30" t="s">
        <v>1</v>
      </c>
      <c r="AV30" s="18" t="s">
        <v>134</v>
      </c>
    </row>
    <row r="31" spans="1:50" ht="25" x14ac:dyDescent="0.25">
      <c r="A31" s="29" t="s">
        <v>135</v>
      </c>
      <c r="B31" s="21" t="s">
        <v>135</v>
      </c>
      <c r="C31" s="4" t="s">
        <v>4</v>
      </c>
      <c r="D31" s="4" t="s">
        <v>136</v>
      </c>
      <c r="E31" s="5">
        <v>15693000000</v>
      </c>
      <c r="F31" s="5">
        <v>2367000000</v>
      </c>
      <c r="G31" s="9">
        <v>1806</v>
      </c>
      <c r="H31" s="5" t="s">
        <v>1</v>
      </c>
      <c r="I31" t="s">
        <v>0</v>
      </c>
      <c r="J31" t="s">
        <v>1</v>
      </c>
      <c r="M31" s="15">
        <v>525000</v>
      </c>
      <c r="N31" t="s">
        <v>0</v>
      </c>
      <c r="O31" t="s">
        <v>0</v>
      </c>
      <c r="P31" t="s">
        <v>0</v>
      </c>
      <c r="Q31" s="12">
        <v>191000</v>
      </c>
      <c r="R31" s="12">
        <v>283000</v>
      </c>
      <c r="S31" s="12">
        <v>0</v>
      </c>
      <c r="T31" s="12">
        <f t="shared" si="0"/>
        <v>474000</v>
      </c>
      <c r="U31" s="12">
        <v>48680000</v>
      </c>
      <c r="V31" s="12">
        <f t="shared" si="1"/>
        <v>49154000</v>
      </c>
      <c r="W31" s="12">
        <v>190000</v>
      </c>
      <c r="X31" s="12">
        <v>302000</v>
      </c>
      <c r="Y31" s="12">
        <v>0</v>
      </c>
      <c r="Z31" s="12">
        <f t="shared" si="2"/>
        <v>492000</v>
      </c>
      <c r="AA31" s="12">
        <v>48299000</v>
      </c>
      <c r="AB31" s="12">
        <f t="shared" si="3"/>
        <v>48791000</v>
      </c>
      <c r="AC31" s="12">
        <v>195000</v>
      </c>
      <c r="AD31" s="12">
        <v>316000</v>
      </c>
      <c r="AE31" s="12">
        <v>0</v>
      </c>
      <c r="AF31" s="12">
        <f t="shared" si="4"/>
        <v>511000</v>
      </c>
      <c r="AG31" s="12">
        <v>51570000</v>
      </c>
      <c r="AH31" s="12">
        <f t="shared" si="5"/>
        <v>52081000</v>
      </c>
      <c r="AI31" s="12">
        <v>203000</v>
      </c>
      <c r="AJ31" s="12">
        <v>324000</v>
      </c>
      <c r="AK31" s="12">
        <v>0</v>
      </c>
      <c r="AL31" s="12">
        <f t="shared" si="6"/>
        <v>527000</v>
      </c>
      <c r="AM31" s="12">
        <v>54710000</v>
      </c>
      <c r="AN31" s="12">
        <f t="shared" si="7"/>
        <v>55237000</v>
      </c>
      <c r="AO31" s="12">
        <v>203000</v>
      </c>
      <c r="AP31" s="12">
        <v>389000</v>
      </c>
      <c r="AQ31" s="12">
        <v>0</v>
      </c>
      <c r="AR31" s="12">
        <f t="shared" si="8"/>
        <v>592000</v>
      </c>
      <c r="AS31" s="12">
        <v>54155000</v>
      </c>
      <c r="AT31" s="12">
        <f t="shared" si="9"/>
        <v>54747000</v>
      </c>
      <c r="AU31" t="s">
        <v>0</v>
      </c>
      <c r="AV31" s="18" t="s">
        <v>137</v>
      </c>
    </row>
    <row r="32" spans="1:50" ht="25" x14ac:dyDescent="0.25">
      <c r="A32" s="29" t="s">
        <v>138</v>
      </c>
      <c r="B32" s="21" t="s">
        <v>138</v>
      </c>
      <c r="C32" t="s">
        <v>2</v>
      </c>
      <c r="D32" s="4" t="s">
        <v>124</v>
      </c>
      <c r="E32" s="5">
        <v>108942000000</v>
      </c>
      <c r="F32" s="5">
        <v>13057000000</v>
      </c>
      <c r="G32" s="9">
        <v>1963</v>
      </c>
      <c r="H32" s="5" t="s">
        <v>1</v>
      </c>
      <c r="I32" t="s">
        <v>0</v>
      </c>
      <c r="J32" t="s">
        <v>0</v>
      </c>
      <c r="M32" t="s">
        <v>0</v>
      </c>
      <c r="N32" t="s">
        <v>0</v>
      </c>
      <c r="O32" t="s">
        <v>0</v>
      </c>
      <c r="P32" t="s">
        <v>0</v>
      </c>
      <c r="Q32" s="12">
        <v>498455</v>
      </c>
      <c r="R32" s="12">
        <v>1496771</v>
      </c>
      <c r="S32" s="12"/>
      <c r="T32" s="12">
        <f t="shared" si="0"/>
        <v>1995226</v>
      </c>
      <c r="U32" s="12" t="s">
        <v>401</v>
      </c>
      <c r="V32" s="12" t="str">
        <f t="shared" si="1"/>
        <v/>
      </c>
      <c r="W32" s="12">
        <v>505483</v>
      </c>
      <c r="X32" s="12">
        <v>1458463</v>
      </c>
      <c r="Y32" s="12"/>
      <c r="Z32" s="12">
        <f t="shared" si="2"/>
        <v>1963946</v>
      </c>
      <c r="AA32" s="12" t="s">
        <v>401</v>
      </c>
      <c r="AB32" s="12" t="str">
        <f t="shared" si="3"/>
        <v/>
      </c>
      <c r="AC32" s="12">
        <v>513316</v>
      </c>
      <c r="AD32" s="12">
        <v>1491298</v>
      </c>
      <c r="AE32" s="12"/>
      <c r="AF32" s="12">
        <f t="shared" si="4"/>
        <v>2004614</v>
      </c>
      <c r="AG32" s="12" t="s">
        <v>401</v>
      </c>
      <c r="AH32" s="12" t="str">
        <f t="shared" si="5"/>
        <v/>
      </c>
      <c r="AI32" s="12">
        <v>364556</v>
      </c>
      <c r="AJ32" s="12">
        <v>1380854</v>
      </c>
      <c r="AK32" s="12"/>
      <c r="AL32" s="12">
        <f t="shared" si="6"/>
        <v>1745410</v>
      </c>
      <c r="AM32" s="12" t="s">
        <v>401</v>
      </c>
      <c r="AN32" s="12" t="str">
        <f t="shared" si="7"/>
        <v/>
      </c>
      <c r="AO32" s="12" t="s">
        <v>401</v>
      </c>
      <c r="AP32" s="12" t="s">
        <v>401</v>
      </c>
      <c r="AQ32" s="12"/>
      <c r="AR32" s="12" t="str">
        <f t="shared" si="8"/>
        <v/>
      </c>
      <c r="AS32" s="12" t="s">
        <v>401</v>
      </c>
      <c r="AT32" s="12" t="str">
        <f t="shared" si="9"/>
        <v/>
      </c>
      <c r="AU32" t="s">
        <v>0</v>
      </c>
      <c r="AV32" s="18" t="s">
        <v>422</v>
      </c>
      <c r="AW32" s="14" t="s">
        <v>410</v>
      </c>
    </row>
    <row r="33" spans="1:49" ht="25" x14ac:dyDescent="0.25">
      <c r="A33" s="29" t="s">
        <v>139</v>
      </c>
      <c r="B33" s="29" t="s">
        <v>139</v>
      </c>
      <c r="C33" s="33" t="s">
        <v>5</v>
      </c>
      <c r="D33" s="4" t="s">
        <v>126</v>
      </c>
      <c r="E33" s="5">
        <v>36670000000</v>
      </c>
      <c r="F33" s="5">
        <v>7189000000</v>
      </c>
      <c r="G33" s="9">
        <v>1875</v>
      </c>
      <c r="H33" s="5" t="s">
        <v>1</v>
      </c>
      <c r="I33" s="4" t="s">
        <v>1</v>
      </c>
      <c r="J33" t="s">
        <v>0</v>
      </c>
      <c r="K33">
        <v>2050</v>
      </c>
      <c r="L33">
        <v>2020</v>
      </c>
      <c r="M33" t="s">
        <v>0</v>
      </c>
      <c r="N33" t="s">
        <v>0</v>
      </c>
      <c r="O33" t="s">
        <v>0</v>
      </c>
      <c r="P33" t="s">
        <v>0</v>
      </c>
      <c r="Q33" s="12">
        <v>19500000</v>
      </c>
      <c r="R33" s="12">
        <v>1000000</v>
      </c>
      <c r="S33" s="12">
        <v>0</v>
      </c>
      <c r="T33" s="12">
        <f t="shared" si="0"/>
        <v>20500000</v>
      </c>
      <c r="U33" s="12">
        <v>173400000</v>
      </c>
      <c r="V33" s="12">
        <f t="shared" si="1"/>
        <v>193900000</v>
      </c>
      <c r="W33" s="12">
        <v>19700000</v>
      </c>
      <c r="X33" s="12">
        <v>1100000</v>
      </c>
      <c r="Y33" s="12">
        <v>0</v>
      </c>
      <c r="Z33" s="12">
        <f t="shared" si="2"/>
        <v>20800000</v>
      </c>
      <c r="AA33" s="12">
        <f>U33/1.09</f>
        <v>159082568.80733943</v>
      </c>
      <c r="AB33" s="12">
        <f t="shared" si="3"/>
        <v>179882568.80733943</v>
      </c>
      <c r="AC33" s="12">
        <v>19700000</v>
      </c>
      <c r="AD33" s="12">
        <v>1200000</v>
      </c>
      <c r="AE33" s="12">
        <v>0</v>
      </c>
      <c r="AF33" s="12">
        <f t="shared" si="4"/>
        <v>20900000</v>
      </c>
      <c r="AG33" s="12" t="s">
        <v>401</v>
      </c>
      <c r="AH33" s="12" t="str">
        <f t="shared" si="5"/>
        <v/>
      </c>
      <c r="AI33" s="12">
        <v>25300000</v>
      </c>
      <c r="AJ33" s="12">
        <v>1500000</v>
      </c>
      <c r="AK33" s="12">
        <v>0</v>
      </c>
      <c r="AL33" s="12">
        <f t="shared" si="6"/>
        <v>26800000</v>
      </c>
      <c r="AM33" s="12" t="s">
        <v>401</v>
      </c>
      <c r="AN33" s="12" t="str">
        <f t="shared" si="7"/>
        <v/>
      </c>
      <c r="AO33" s="12">
        <v>24800000</v>
      </c>
      <c r="AP33" s="12">
        <v>1300000</v>
      </c>
      <c r="AQ33" s="12">
        <v>0</v>
      </c>
      <c r="AR33" s="12">
        <f t="shared" si="8"/>
        <v>26100000</v>
      </c>
      <c r="AS33" s="12" t="s">
        <v>401</v>
      </c>
      <c r="AT33" s="12" t="str">
        <f t="shared" si="9"/>
        <v/>
      </c>
      <c r="AU33" t="s">
        <v>1</v>
      </c>
      <c r="AV33" s="18" t="s">
        <v>140</v>
      </c>
      <c r="AW33" s="7" t="s">
        <v>423</v>
      </c>
    </row>
    <row r="34" spans="1:49" ht="25" x14ac:dyDescent="0.25">
      <c r="A34" s="29" t="s">
        <v>141</v>
      </c>
      <c r="B34" s="21" t="s">
        <v>141</v>
      </c>
      <c r="C34" s="4" t="s">
        <v>4</v>
      </c>
      <c r="D34" s="4" t="s">
        <v>85</v>
      </c>
      <c r="E34" s="5">
        <v>152703000000</v>
      </c>
      <c r="F34" s="5">
        <v>3659000000</v>
      </c>
      <c r="G34" s="9">
        <v>1976</v>
      </c>
      <c r="H34" s="5" t="s">
        <v>1</v>
      </c>
      <c r="I34" t="s">
        <v>0</v>
      </c>
      <c r="J34" t="s">
        <v>0</v>
      </c>
      <c r="M34" t="s">
        <v>0</v>
      </c>
      <c r="N34" t="s">
        <v>0</v>
      </c>
      <c r="O34" t="s">
        <v>0</v>
      </c>
      <c r="P34" t="s">
        <v>0</v>
      </c>
      <c r="Q34" s="12">
        <v>1108562.25</v>
      </c>
      <c r="R34" s="12">
        <v>1473874.16</v>
      </c>
      <c r="S34" s="12"/>
      <c r="T34" s="12">
        <f t="shared" ref="T34:T65" si="10">IFERROR(Q34+R34-S34,"")</f>
        <v>2582436.41</v>
      </c>
      <c r="U34" s="12" t="s">
        <v>401</v>
      </c>
      <c r="V34" s="12" t="str">
        <f t="shared" ref="V34:V65" si="11">IFERROR(T34+U34,"")</f>
        <v/>
      </c>
      <c r="W34" s="12">
        <v>1114966.57</v>
      </c>
      <c r="X34" s="12">
        <v>1393452.84</v>
      </c>
      <c r="Y34" s="12"/>
      <c r="Z34" s="12">
        <f t="shared" ref="Z34:Z65" si="12">IFERROR(W34+X34-Y34,"")</f>
        <v>2508419.41</v>
      </c>
      <c r="AA34" s="12" t="s">
        <v>401</v>
      </c>
      <c r="AB34" s="12" t="str">
        <f t="shared" ref="AB34:AB65" si="13">IFERROR(Z34+AA34,"")</f>
        <v/>
      </c>
      <c r="AC34" s="12">
        <v>970138</v>
      </c>
      <c r="AD34" s="12">
        <v>1388491</v>
      </c>
      <c r="AE34" s="12"/>
      <c r="AF34" s="12">
        <f t="shared" ref="AF34:AF65" si="14">IFERROR(AC34+AD34-AE34,"")</f>
        <v>2358629</v>
      </c>
      <c r="AG34" s="12" t="s">
        <v>401</v>
      </c>
      <c r="AH34" s="12" t="str">
        <f t="shared" ref="AH34:AH65" si="15">IFERROR(AF34+AG34,"")</f>
        <v/>
      </c>
      <c r="AI34" s="12">
        <v>785682</v>
      </c>
      <c r="AJ34" s="12">
        <v>1315361</v>
      </c>
      <c r="AK34" s="12"/>
      <c r="AL34" s="12">
        <f t="shared" si="6"/>
        <v>2101043</v>
      </c>
      <c r="AM34" s="12" t="s">
        <v>401</v>
      </c>
      <c r="AN34" s="12" t="str">
        <f t="shared" ref="AN34:AN65" si="16">IFERROR(AL34+AM34,"")</f>
        <v/>
      </c>
      <c r="AO34" s="12">
        <v>636727</v>
      </c>
      <c r="AP34" s="12">
        <v>1236737</v>
      </c>
      <c r="AQ34" s="12"/>
      <c r="AR34" s="12">
        <f t="shared" si="8"/>
        <v>1873464</v>
      </c>
      <c r="AS34" s="12" t="s">
        <v>401</v>
      </c>
      <c r="AT34" s="12" t="str">
        <f t="shared" ref="AT34:AT65" si="17">IFERROR(AR34+AS34,"")</f>
        <v/>
      </c>
      <c r="AU34" t="s">
        <v>0</v>
      </c>
      <c r="AV34" s="18" t="s">
        <v>142</v>
      </c>
      <c r="AW34" s="14" t="s">
        <v>411</v>
      </c>
    </row>
    <row r="35" spans="1:49" x14ac:dyDescent="0.25">
      <c r="A35" s="21" t="s">
        <v>143</v>
      </c>
      <c r="B35" s="21" t="s">
        <v>391</v>
      </c>
      <c r="C35" s="21" t="s">
        <v>7</v>
      </c>
      <c r="D35" s="4" t="s">
        <v>85</v>
      </c>
      <c r="E35" s="5">
        <v>256776000000</v>
      </c>
      <c r="F35" s="5">
        <v>6634000000</v>
      </c>
      <c r="G35" s="9">
        <v>1963</v>
      </c>
      <c r="H35" s="5" t="s">
        <v>1</v>
      </c>
      <c r="I35" t="s">
        <v>0</v>
      </c>
      <c r="J35" t="s">
        <v>1</v>
      </c>
      <c r="M35" t="s">
        <v>0</v>
      </c>
      <c r="N35" t="s">
        <v>0</v>
      </c>
      <c r="O35" t="s">
        <v>0</v>
      </c>
      <c r="P35" t="s">
        <v>0</v>
      </c>
      <c r="Q35" s="12">
        <v>157114</v>
      </c>
      <c r="R35" s="12">
        <v>1024682</v>
      </c>
      <c r="S35" s="12">
        <v>0</v>
      </c>
      <c r="T35" s="12">
        <f t="shared" si="10"/>
        <v>1181796</v>
      </c>
      <c r="U35" s="12">
        <f>14584739.12+1011729.83+51656.89+35236.88+106796.09+20400+46624.82</f>
        <v>15857183.630000001</v>
      </c>
      <c r="V35" s="12">
        <f t="shared" si="11"/>
        <v>17038979.630000003</v>
      </c>
      <c r="W35" s="12">
        <v>177347</v>
      </c>
      <c r="X35" s="12">
        <v>1096724</v>
      </c>
      <c r="Y35" s="12">
        <v>0</v>
      </c>
      <c r="Z35" s="12">
        <f t="shared" si="12"/>
        <v>1274071</v>
      </c>
      <c r="AA35" s="12">
        <f>10986342.63+1091380.21+51836.83+31736+35855.55+20400+53932.12</f>
        <v>12271483.34</v>
      </c>
      <c r="AB35" s="12">
        <f t="shared" si="13"/>
        <v>13545554.34</v>
      </c>
      <c r="AC35" s="12">
        <v>206086</v>
      </c>
      <c r="AD35" s="12">
        <v>1131013</v>
      </c>
      <c r="AE35" s="12">
        <v>0</v>
      </c>
      <c r="AF35" s="12">
        <f t="shared" si="14"/>
        <v>1337099</v>
      </c>
      <c r="AG35" s="12">
        <f>2400000+97000+31736+36636+53469</f>
        <v>2618841</v>
      </c>
      <c r="AH35" s="12">
        <f t="shared" si="15"/>
        <v>3955940</v>
      </c>
      <c r="AI35" s="12">
        <v>198055</v>
      </c>
      <c r="AJ35" s="12">
        <v>1265480</v>
      </c>
      <c r="AK35" s="12"/>
      <c r="AL35" s="12">
        <f t="shared" si="6"/>
        <v>1463535</v>
      </c>
      <c r="AM35" s="12">
        <f>2400000+119000+40280+50310</f>
        <v>2609590</v>
      </c>
      <c r="AN35" s="12">
        <f t="shared" si="16"/>
        <v>4073125</v>
      </c>
      <c r="AO35" s="12">
        <v>214156</v>
      </c>
      <c r="AP35" s="12">
        <v>1378660</v>
      </c>
      <c r="AQ35" s="12"/>
      <c r="AR35" s="12">
        <f t="shared" si="8"/>
        <v>1592816</v>
      </c>
      <c r="AS35" s="12" t="s">
        <v>401</v>
      </c>
      <c r="AT35" s="12" t="str">
        <f t="shared" si="17"/>
        <v/>
      </c>
      <c r="AU35" t="s">
        <v>0</v>
      </c>
      <c r="AV35" s="18" t="s">
        <v>144</v>
      </c>
    </row>
    <row r="36" spans="1:49" ht="25" x14ac:dyDescent="0.25">
      <c r="A36" s="21" t="s">
        <v>145</v>
      </c>
      <c r="B36" s="21" t="s">
        <v>145</v>
      </c>
      <c r="C36" s="21" t="s">
        <v>7</v>
      </c>
      <c r="D36" s="4" t="s">
        <v>146</v>
      </c>
      <c r="E36" s="5">
        <v>17910000000</v>
      </c>
      <c r="F36" s="5">
        <v>2940000000</v>
      </c>
      <c r="G36" s="9">
        <v>1969</v>
      </c>
      <c r="H36" s="5" t="s">
        <v>1</v>
      </c>
      <c r="I36" t="s">
        <v>0</v>
      </c>
      <c r="J36" t="s">
        <v>0</v>
      </c>
      <c r="M36" t="s">
        <v>0</v>
      </c>
      <c r="N36" t="s">
        <v>0</v>
      </c>
      <c r="O36" t="s">
        <v>0</v>
      </c>
      <c r="P36" t="s">
        <v>0</v>
      </c>
      <c r="Q36" s="12" t="s">
        <v>401</v>
      </c>
      <c r="R36" s="12" t="s">
        <v>401</v>
      </c>
      <c r="S36" s="12"/>
      <c r="T36" s="12" t="str">
        <f t="shared" si="10"/>
        <v/>
      </c>
      <c r="U36" s="12" t="s">
        <v>401</v>
      </c>
      <c r="V36" s="12" t="str">
        <f t="shared" si="11"/>
        <v/>
      </c>
      <c r="W36" s="12">
        <f>7.13*E36/1000000</f>
        <v>127698.3</v>
      </c>
      <c r="X36" s="12">
        <f>10.16*E36/1000000</f>
        <v>181965.6</v>
      </c>
      <c r="Y36" s="12">
        <v>0</v>
      </c>
      <c r="Z36" s="12">
        <f t="shared" si="12"/>
        <v>309663.90000000002</v>
      </c>
      <c r="AA36" s="12" t="s">
        <v>401</v>
      </c>
      <c r="AB36" s="12" t="str">
        <f t="shared" si="13"/>
        <v/>
      </c>
      <c r="AC36" s="12" t="s">
        <v>401</v>
      </c>
      <c r="AD36" s="12" t="s">
        <v>401</v>
      </c>
      <c r="AE36" s="12"/>
      <c r="AF36" s="12" t="str">
        <f t="shared" si="14"/>
        <v/>
      </c>
      <c r="AG36" s="12" t="s">
        <v>401</v>
      </c>
      <c r="AH36" s="12" t="str">
        <f t="shared" si="15"/>
        <v/>
      </c>
      <c r="AI36" s="12" t="s">
        <v>401</v>
      </c>
      <c r="AJ36" s="12" t="s">
        <v>401</v>
      </c>
      <c r="AK36" s="12"/>
      <c r="AL36" s="12" t="str">
        <f t="shared" si="6"/>
        <v/>
      </c>
      <c r="AM36" s="12" t="s">
        <v>401</v>
      </c>
      <c r="AN36" s="12" t="str">
        <f t="shared" si="16"/>
        <v/>
      </c>
      <c r="AO36" s="12" t="s">
        <v>401</v>
      </c>
      <c r="AP36" s="12" t="s">
        <v>401</v>
      </c>
      <c r="AQ36" s="12"/>
      <c r="AR36" s="12" t="str">
        <f t="shared" si="8"/>
        <v/>
      </c>
      <c r="AS36" s="12" t="s">
        <v>401</v>
      </c>
      <c r="AT36" s="12" t="str">
        <f t="shared" si="17"/>
        <v/>
      </c>
      <c r="AU36" t="s">
        <v>0</v>
      </c>
      <c r="AV36" s="14" t="s">
        <v>424</v>
      </c>
    </row>
    <row r="37" spans="1:49" ht="50" x14ac:dyDescent="0.25">
      <c r="A37" s="21" t="s">
        <v>147</v>
      </c>
      <c r="B37" s="21" t="s">
        <v>440</v>
      </c>
      <c r="C37" t="s">
        <v>9</v>
      </c>
      <c r="D37" s="4" t="s">
        <v>148</v>
      </c>
      <c r="E37" s="5">
        <v>42951000000</v>
      </c>
      <c r="F37" s="11">
        <v>-1359000000</v>
      </c>
      <c r="G37" s="9">
        <v>1897</v>
      </c>
      <c r="H37" s="5" t="s">
        <v>1</v>
      </c>
      <c r="I37" t="s">
        <v>1</v>
      </c>
      <c r="J37" t="s">
        <v>0</v>
      </c>
      <c r="K37">
        <v>2050</v>
      </c>
      <c r="L37">
        <v>2020</v>
      </c>
      <c r="M37" t="s">
        <v>0</v>
      </c>
      <c r="N37" t="s">
        <v>0</v>
      </c>
      <c r="O37" t="s">
        <v>0</v>
      </c>
      <c r="P37" t="s">
        <v>0</v>
      </c>
      <c r="Q37" s="12">
        <v>27600000</v>
      </c>
      <c r="R37" s="12">
        <v>6050000</v>
      </c>
      <c r="S37" s="12">
        <v>0</v>
      </c>
      <c r="T37" s="12">
        <f t="shared" si="10"/>
        <v>33650000</v>
      </c>
      <c r="U37" s="12">
        <v>91400000</v>
      </c>
      <c r="V37" s="12">
        <f t="shared" si="11"/>
        <v>125050000</v>
      </c>
      <c r="W37" s="12">
        <v>28700000</v>
      </c>
      <c r="X37" s="12">
        <v>6820000</v>
      </c>
      <c r="Y37" s="12">
        <v>0</v>
      </c>
      <c r="Z37" s="12">
        <f t="shared" si="12"/>
        <v>35520000</v>
      </c>
      <c r="AA37" s="12">
        <v>76300000</v>
      </c>
      <c r="AB37" s="12">
        <f t="shared" si="13"/>
        <v>111820000</v>
      </c>
      <c r="AC37" s="12">
        <v>25760540</v>
      </c>
      <c r="AD37" s="12">
        <v>8814966</v>
      </c>
      <c r="AE37" s="12"/>
      <c r="AF37" s="12">
        <f t="shared" si="14"/>
        <v>34575506</v>
      </c>
      <c r="AG37" s="12">
        <f>39700000+2400000+800000+2000000+260000+74000+200000+60000+2000000+3000000+24500000+200000+3700000</f>
        <v>78894000</v>
      </c>
      <c r="AH37" s="12">
        <f t="shared" si="15"/>
        <v>113469506</v>
      </c>
      <c r="AI37" s="12">
        <v>25570000</v>
      </c>
      <c r="AJ37" s="12">
        <v>9840000</v>
      </c>
      <c r="AK37" s="12"/>
      <c r="AL37" s="12">
        <f t="shared" si="6"/>
        <v>35410000</v>
      </c>
      <c r="AM37" s="12">
        <f>36500000+2400000+2500000+2000000+260000+820000+110000+60000+2000000+2900000+25000000+1800000</f>
        <v>76350000</v>
      </c>
      <c r="AN37" s="12">
        <f t="shared" si="16"/>
        <v>111760000</v>
      </c>
      <c r="AO37" s="12">
        <v>25240000</v>
      </c>
      <c r="AP37" s="12">
        <v>9710000</v>
      </c>
      <c r="AQ37" s="12"/>
      <c r="AR37" s="12">
        <f t="shared" si="8"/>
        <v>34950000</v>
      </c>
      <c r="AS37" s="12">
        <f>48800000+2200000+10300000+3000000+150000+670000+100000+60000+3400000+7400000+20900000+3400000</f>
        <v>100380000</v>
      </c>
      <c r="AT37" s="12">
        <f t="shared" si="17"/>
        <v>135330000</v>
      </c>
      <c r="AU37" t="s">
        <v>1</v>
      </c>
      <c r="AV37" s="18" t="s">
        <v>149</v>
      </c>
      <c r="AW37" s="16" t="s">
        <v>425</v>
      </c>
    </row>
    <row r="38" spans="1:49" ht="37.5" x14ac:dyDescent="0.25">
      <c r="A38" s="21" t="s">
        <v>150</v>
      </c>
      <c r="B38" s="21" t="s">
        <v>150</v>
      </c>
      <c r="C38" t="s">
        <v>12</v>
      </c>
      <c r="D38" t="s">
        <v>12</v>
      </c>
      <c r="E38" s="5">
        <v>25079000000</v>
      </c>
      <c r="F38" s="5">
        <v>3707000000</v>
      </c>
      <c r="G38" s="9">
        <v>1900</v>
      </c>
      <c r="H38" s="5" t="s">
        <v>1</v>
      </c>
      <c r="I38" t="s">
        <v>1</v>
      </c>
      <c r="J38" t="s">
        <v>0</v>
      </c>
      <c r="K38">
        <v>2050</v>
      </c>
      <c r="L38">
        <v>2019</v>
      </c>
      <c r="M38" t="s">
        <v>0</v>
      </c>
      <c r="N38" t="s">
        <v>0</v>
      </c>
      <c r="O38" t="s">
        <v>0</v>
      </c>
      <c r="P38" t="s">
        <v>0</v>
      </c>
      <c r="Q38" s="12">
        <v>93000000</v>
      </c>
      <c r="R38" s="12">
        <v>11122000</v>
      </c>
      <c r="S38" s="12">
        <v>0</v>
      </c>
      <c r="T38" s="12">
        <f t="shared" si="10"/>
        <v>104122000</v>
      </c>
      <c r="U38" s="12">
        <v>19811000</v>
      </c>
      <c r="V38" s="12">
        <f t="shared" si="11"/>
        <v>123933000</v>
      </c>
      <c r="W38" s="12">
        <v>96548800</v>
      </c>
      <c r="X38" s="12">
        <v>23200</v>
      </c>
      <c r="Y38" s="12"/>
      <c r="Z38" s="12">
        <f t="shared" si="12"/>
        <v>96572000</v>
      </c>
      <c r="AA38" s="12">
        <f>10100000+17977642</f>
        <v>28077642</v>
      </c>
      <c r="AB38" s="12">
        <f t="shared" si="13"/>
        <v>124649642</v>
      </c>
      <c r="AC38" s="12">
        <v>95213400</v>
      </c>
      <c r="AD38" s="12">
        <v>0</v>
      </c>
      <c r="AE38" s="12"/>
      <c r="AF38" s="12">
        <f t="shared" si="14"/>
        <v>95213400</v>
      </c>
      <c r="AG38" s="12">
        <f>15948080</f>
        <v>15948080</v>
      </c>
      <c r="AH38" s="12">
        <f t="shared" si="15"/>
        <v>111161480</v>
      </c>
      <c r="AI38" s="12">
        <v>96837200</v>
      </c>
      <c r="AJ38" s="12">
        <v>0</v>
      </c>
      <c r="AK38" s="12"/>
      <c r="AL38" s="12">
        <f t="shared" si="6"/>
        <v>96837200</v>
      </c>
      <c r="AM38" s="12">
        <f>16640509</f>
        <v>16640509</v>
      </c>
      <c r="AN38" s="12">
        <f t="shared" si="16"/>
        <v>113477709</v>
      </c>
      <c r="AO38" s="12">
        <v>100238000</v>
      </c>
      <c r="AP38" s="12">
        <v>0</v>
      </c>
      <c r="AQ38" s="12"/>
      <c r="AR38" s="12">
        <f t="shared" si="8"/>
        <v>100238000</v>
      </c>
      <c r="AS38" s="12" t="s">
        <v>401</v>
      </c>
      <c r="AT38" s="12" t="str">
        <f t="shared" si="17"/>
        <v/>
      </c>
      <c r="AU38" s="13" t="s">
        <v>0</v>
      </c>
      <c r="AV38" s="18" t="s">
        <v>151</v>
      </c>
      <c r="AW38" s="16" t="s">
        <v>426</v>
      </c>
    </row>
    <row r="39" spans="1:49" ht="75" x14ac:dyDescent="0.25">
      <c r="A39" s="21" t="s">
        <v>152</v>
      </c>
      <c r="B39" s="21" t="s">
        <v>152</v>
      </c>
      <c r="C39" s="21" t="s">
        <v>9</v>
      </c>
      <c r="D39" s="4" t="s">
        <v>148</v>
      </c>
      <c r="E39" s="5">
        <v>21570000000</v>
      </c>
      <c r="F39" s="5">
        <v>498000000</v>
      </c>
      <c r="G39" s="9">
        <v>1802</v>
      </c>
      <c r="H39" s="5" t="s">
        <v>1</v>
      </c>
      <c r="I39" t="s">
        <v>1</v>
      </c>
      <c r="J39" t="s">
        <v>0</v>
      </c>
      <c r="K39">
        <v>2050</v>
      </c>
      <c r="L39">
        <v>2018</v>
      </c>
      <c r="M39" t="s">
        <v>0</v>
      </c>
      <c r="N39" t="s">
        <v>0</v>
      </c>
      <c r="O39" t="s">
        <v>0</v>
      </c>
      <c r="P39" t="s">
        <v>0</v>
      </c>
      <c r="Q39" s="12">
        <v>3057000</v>
      </c>
      <c r="R39" s="12">
        <v>2323000</v>
      </c>
      <c r="S39" s="12">
        <v>0</v>
      </c>
      <c r="T39" s="12">
        <f t="shared" si="10"/>
        <v>5380000</v>
      </c>
      <c r="U39" s="12">
        <f>1207243+23037+72464</f>
        <v>1302744</v>
      </c>
      <c r="V39" s="12">
        <f t="shared" si="11"/>
        <v>6682744</v>
      </c>
      <c r="W39" s="12" t="s">
        <v>401</v>
      </c>
      <c r="X39" s="12" t="s">
        <v>401</v>
      </c>
      <c r="Y39" s="12"/>
      <c r="Z39" s="12" t="str">
        <f t="shared" si="12"/>
        <v/>
      </c>
      <c r="AA39" s="12" t="s">
        <v>401</v>
      </c>
      <c r="AB39" s="12" t="str">
        <f t="shared" si="13"/>
        <v/>
      </c>
      <c r="AC39" s="12" t="s">
        <v>401</v>
      </c>
      <c r="AD39" s="12" t="s">
        <v>401</v>
      </c>
      <c r="AE39" s="12"/>
      <c r="AF39" s="12" t="str">
        <f t="shared" si="14"/>
        <v/>
      </c>
      <c r="AG39" s="12" t="s">
        <v>401</v>
      </c>
      <c r="AH39" s="12" t="str">
        <f t="shared" si="15"/>
        <v/>
      </c>
      <c r="AI39" s="12" t="s">
        <v>401</v>
      </c>
      <c r="AJ39" s="12" t="s">
        <v>401</v>
      </c>
      <c r="AK39" s="12"/>
      <c r="AL39" s="12" t="str">
        <f t="shared" si="6"/>
        <v/>
      </c>
      <c r="AM39" s="12" t="s">
        <v>401</v>
      </c>
      <c r="AN39" s="12" t="str">
        <f t="shared" si="16"/>
        <v/>
      </c>
      <c r="AO39" s="12" t="s">
        <v>401</v>
      </c>
      <c r="AP39" s="12" t="s">
        <v>401</v>
      </c>
      <c r="AQ39" s="12"/>
      <c r="AR39" s="12" t="str">
        <f t="shared" si="8"/>
        <v/>
      </c>
      <c r="AS39" s="12" t="s">
        <v>401</v>
      </c>
      <c r="AT39" s="12" t="str">
        <f t="shared" si="17"/>
        <v/>
      </c>
      <c r="AU39" t="s">
        <v>1</v>
      </c>
      <c r="AV39" s="18" t="s">
        <v>153</v>
      </c>
    </row>
    <row r="40" spans="1:49" x14ac:dyDescent="0.25">
      <c r="A40" s="21" t="s">
        <v>154</v>
      </c>
      <c r="B40" s="21" t="s">
        <v>154</v>
      </c>
      <c r="C40" s="21" t="s">
        <v>7</v>
      </c>
      <c r="D40" s="4" t="s">
        <v>69</v>
      </c>
      <c r="E40" s="5">
        <v>22320000000</v>
      </c>
      <c r="F40" s="5">
        <v>8318000000</v>
      </c>
      <c r="G40" s="9">
        <v>1876</v>
      </c>
      <c r="H40" s="5" t="s">
        <v>1</v>
      </c>
      <c r="I40" t="s">
        <v>0</v>
      </c>
      <c r="J40" t="s">
        <v>0</v>
      </c>
      <c r="M40">
        <v>700000</v>
      </c>
      <c r="N40" t="s">
        <v>0</v>
      </c>
      <c r="O40" t="s">
        <v>0</v>
      </c>
      <c r="P40" t="s">
        <v>0</v>
      </c>
      <c r="Q40" s="12">
        <v>193000</v>
      </c>
      <c r="R40" s="12">
        <v>671000</v>
      </c>
      <c r="S40" s="12">
        <v>0</v>
      </c>
      <c r="T40" s="12">
        <f t="shared" si="10"/>
        <v>864000</v>
      </c>
      <c r="U40" s="12">
        <v>240000</v>
      </c>
      <c r="V40" s="12">
        <f t="shared" si="11"/>
        <v>1104000</v>
      </c>
      <c r="W40" s="12">
        <v>201000</v>
      </c>
      <c r="X40" s="12">
        <v>654000</v>
      </c>
      <c r="Y40" s="12">
        <v>0</v>
      </c>
      <c r="Z40" s="12">
        <f t="shared" si="12"/>
        <v>855000</v>
      </c>
      <c r="AA40" s="12">
        <v>265000</v>
      </c>
      <c r="AB40" s="12">
        <f t="shared" si="13"/>
        <v>1120000</v>
      </c>
      <c r="AC40" s="12">
        <v>228000</v>
      </c>
      <c r="AD40" s="12">
        <v>636000</v>
      </c>
      <c r="AE40" s="12">
        <v>0</v>
      </c>
      <c r="AF40" s="12">
        <f t="shared" si="14"/>
        <v>864000</v>
      </c>
      <c r="AG40" s="12">
        <v>232000</v>
      </c>
      <c r="AH40" s="12">
        <f t="shared" si="15"/>
        <v>1096000</v>
      </c>
      <c r="AI40" s="12">
        <v>216000</v>
      </c>
      <c r="AJ40" s="12">
        <v>660000</v>
      </c>
      <c r="AK40" s="12">
        <v>0</v>
      </c>
      <c r="AL40" s="12">
        <f t="shared" si="6"/>
        <v>876000</v>
      </c>
      <c r="AM40" s="12">
        <v>248000</v>
      </c>
      <c r="AN40" s="12">
        <f t="shared" si="16"/>
        <v>1124000</v>
      </c>
      <c r="AO40" s="12">
        <v>214000</v>
      </c>
      <c r="AP40" s="12">
        <v>713000</v>
      </c>
      <c r="AQ40" s="12">
        <v>0</v>
      </c>
      <c r="AR40" s="12">
        <f t="shared" si="8"/>
        <v>927000</v>
      </c>
      <c r="AS40" s="12">
        <v>237000</v>
      </c>
      <c r="AT40" s="12">
        <f t="shared" si="17"/>
        <v>1164000</v>
      </c>
      <c r="AU40" t="s">
        <v>0</v>
      </c>
      <c r="AV40" s="18" t="s">
        <v>155</v>
      </c>
    </row>
    <row r="41" spans="1:49" ht="25" x14ac:dyDescent="0.25">
      <c r="A41" s="21" t="s">
        <v>156</v>
      </c>
      <c r="B41" s="21" t="s">
        <v>156</v>
      </c>
      <c r="C41" s="21" t="s">
        <v>8</v>
      </c>
      <c r="D41" s="4" t="s">
        <v>121</v>
      </c>
      <c r="E41" s="5">
        <v>18372000000</v>
      </c>
      <c r="F41" s="5">
        <v>2306000000</v>
      </c>
      <c r="G41" s="9">
        <v>1890</v>
      </c>
      <c r="H41" t="s">
        <v>1</v>
      </c>
      <c r="I41" t="s">
        <v>0</v>
      </c>
      <c r="J41" t="s">
        <v>0</v>
      </c>
      <c r="M41" t="s">
        <v>0</v>
      </c>
      <c r="N41" t="s">
        <v>0</v>
      </c>
      <c r="O41" t="s">
        <v>0</v>
      </c>
      <c r="P41" t="s">
        <v>0</v>
      </c>
      <c r="Q41" s="12">
        <v>163945</v>
      </c>
      <c r="R41" s="12">
        <v>699739</v>
      </c>
      <c r="S41" s="12">
        <v>0</v>
      </c>
      <c r="T41" s="12">
        <f t="shared" si="10"/>
        <v>863684</v>
      </c>
      <c r="U41" s="12" t="s">
        <v>401</v>
      </c>
      <c r="V41" s="12" t="str">
        <f t="shared" si="11"/>
        <v/>
      </c>
      <c r="W41" s="12">
        <v>166132</v>
      </c>
      <c r="X41" s="12">
        <v>699423</v>
      </c>
      <c r="Y41" s="12">
        <v>0</v>
      </c>
      <c r="Z41" s="12">
        <f t="shared" si="12"/>
        <v>865555</v>
      </c>
      <c r="AA41" s="12" t="s">
        <v>401</v>
      </c>
      <c r="AB41" s="12" t="str">
        <f t="shared" si="13"/>
        <v/>
      </c>
      <c r="AC41" s="12" t="s">
        <v>401</v>
      </c>
      <c r="AD41" s="12" t="s">
        <v>401</v>
      </c>
      <c r="AE41" s="12"/>
      <c r="AF41" s="12" t="str">
        <f t="shared" si="14"/>
        <v/>
      </c>
      <c r="AG41" s="12" t="s">
        <v>401</v>
      </c>
      <c r="AH41" s="12" t="str">
        <f t="shared" si="15"/>
        <v/>
      </c>
      <c r="AI41" s="12" t="s">
        <v>401</v>
      </c>
      <c r="AJ41" s="12" t="s">
        <v>401</v>
      </c>
      <c r="AK41" s="12"/>
      <c r="AL41" s="12" t="str">
        <f t="shared" si="6"/>
        <v/>
      </c>
      <c r="AM41" s="12" t="s">
        <v>401</v>
      </c>
      <c r="AN41" s="12" t="str">
        <f t="shared" si="16"/>
        <v/>
      </c>
      <c r="AO41" s="12" t="s">
        <v>401</v>
      </c>
      <c r="AP41" s="12" t="s">
        <v>401</v>
      </c>
      <c r="AQ41" s="12"/>
      <c r="AR41" s="12" t="str">
        <f t="shared" si="8"/>
        <v/>
      </c>
      <c r="AS41" s="12" t="s">
        <v>401</v>
      </c>
      <c r="AT41" s="12" t="str">
        <f t="shared" si="17"/>
        <v/>
      </c>
      <c r="AU41" t="s">
        <v>1</v>
      </c>
      <c r="AV41" s="18" t="s">
        <v>157</v>
      </c>
    </row>
    <row r="42" spans="1:49" x14ac:dyDescent="0.25">
      <c r="A42" s="21" t="s">
        <v>158</v>
      </c>
      <c r="B42" s="21" t="s">
        <v>158</v>
      </c>
      <c r="C42" s="21" t="s">
        <v>12</v>
      </c>
      <c r="D42" t="s">
        <v>12</v>
      </c>
      <c r="E42" s="5">
        <v>34438000000</v>
      </c>
      <c r="F42" s="5">
        <v>2936000000</v>
      </c>
      <c r="G42" s="9">
        <v>2000</v>
      </c>
      <c r="H42" t="s">
        <v>1</v>
      </c>
      <c r="I42" s="4"/>
      <c r="J42" s="4" t="s">
        <v>0</v>
      </c>
      <c r="L42" s="4"/>
      <c r="M42" s="4" t="s">
        <v>0</v>
      </c>
      <c r="N42" s="4" t="s">
        <v>1</v>
      </c>
      <c r="O42" s="4" t="s">
        <v>0</v>
      </c>
      <c r="P42" s="4" t="s">
        <v>0</v>
      </c>
      <c r="Q42" s="12">
        <v>9395000</v>
      </c>
      <c r="R42" s="12">
        <v>6103000</v>
      </c>
      <c r="S42" s="12">
        <f>R42-4914000</f>
        <v>1189000</v>
      </c>
      <c r="T42" s="12">
        <f t="shared" si="10"/>
        <v>14309000</v>
      </c>
      <c r="U42" s="12">
        <v>180732000</v>
      </c>
      <c r="V42" s="12">
        <f t="shared" si="11"/>
        <v>195041000</v>
      </c>
      <c r="W42" s="12">
        <v>9526000</v>
      </c>
      <c r="X42" s="12">
        <v>6120000</v>
      </c>
      <c r="Y42" s="12">
        <f>X42-4817000</f>
        <v>1303000</v>
      </c>
      <c r="Z42" s="12">
        <f t="shared" si="12"/>
        <v>14343000</v>
      </c>
      <c r="AA42" s="12">
        <v>197376000</v>
      </c>
      <c r="AB42" s="12">
        <f t="shared" si="13"/>
        <v>211719000</v>
      </c>
      <c r="AC42" s="12">
        <v>10200000</v>
      </c>
      <c r="AD42" s="12">
        <v>6521000</v>
      </c>
      <c r="AE42" s="12">
        <f>AD42-5037000</f>
        <v>1484000</v>
      </c>
      <c r="AF42" s="12">
        <f t="shared" si="14"/>
        <v>15237000</v>
      </c>
      <c r="AG42" s="12">
        <v>195220000</v>
      </c>
      <c r="AH42" s="12">
        <f t="shared" si="15"/>
        <v>210457000</v>
      </c>
      <c r="AI42" s="12" t="s">
        <v>401</v>
      </c>
      <c r="AJ42" s="12" t="s">
        <v>401</v>
      </c>
      <c r="AK42" s="12"/>
      <c r="AL42" s="12" t="str">
        <f t="shared" si="6"/>
        <v/>
      </c>
      <c r="AM42" s="12" t="s">
        <v>401</v>
      </c>
      <c r="AN42" s="12" t="str">
        <f t="shared" si="16"/>
        <v/>
      </c>
      <c r="AO42" s="12" t="s">
        <v>401</v>
      </c>
      <c r="AP42" s="12" t="s">
        <v>401</v>
      </c>
      <c r="AQ42" s="12"/>
      <c r="AR42" s="12" t="str">
        <f t="shared" si="8"/>
        <v/>
      </c>
      <c r="AS42" s="12" t="s">
        <v>401</v>
      </c>
      <c r="AT42" s="12" t="str">
        <f t="shared" si="17"/>
        <v/>
      </c>
      <c r="AU42" s="4" t="s">
        <v>1</v>
      </c>
      <c r="AV42" s="14" t="s">
        <v>159</v>
      </c>
    </row>
    <row r="43" spans="1:49" ht="50" x14ac:dyDescent="0.25">
      <c r="A43" s="21" t="s">
        <v>160</v>
      </c>
      <c r="B43" s="21" t="s">
        <v>160</v>
      </c>
      <c r="C43" s="21" t="s">
        <v>5</v>
      </c>
      <c r="D43" s="4" t="s">
        <v>126</v>
      </c>
      <c r="E43" s="5">
        <v>264938000000</v>
      </c>
      <c r="F43" s="5">
        <v>14340000000</v>
      </c>
      <c r="G43" s="9">
        <v>1870</v>
      </c>
      <c r="H43" t="s">
        <v>1</v>
      </c>
      <c r="I43" s="4" t="s">
        <v>0</v>
      </c>
      <c r="J43" s="4" t="s">
        <v>0</v>
      </c>
      <c r="K43" s="4"/>
      <c r="L43" s="4"/>
      <c r="M43" s="4" t="s">
        <v>0</v>
      </c>
      <c r="N43" s="4" t="s">
        <v>0</v>
      </c>
      <c r="O43" s="4" t="s">
        <v>0</v>
      </c>
      <c r="P43" s="4" t="s">
        <v>0</v>
      </c>
      <c r="Q43" s="12" t="s">
        <v>401</v>
      </c>
      <c r="R43" s="12" t="s">
        <v>401</v>
      </c>
      <c r="S43" s="12"/>
      <c r="T43" s="12" t="str">
        <f t="shared" si="10"/>
        <v/>
      </c>
      <c r="U43" s="12" t="s">
        <v>401</v>
      </c>
      <c r="V43" s="12" t="str">
        <f t="shared" si="11"/>
        <v/>
      </c>
      <c r="W43" s="12">
        <v>116000000</v>
      </c>
      <c r="X43" s="12">
        <v>8000000</v>
      </c>
      <c r="Y43" s="12">
        <v>0</v>
      </c>
      <c r="Z43" s="12">
        <f t="shared" si="12"/>
        <v>124000000</v>
      </c>
      <c r="AA43" s="12" t="s">
        <v>401</v>
      </c>
      <c r="AB43" s="12" t="str">
        <f t="shared" si="13"/>
        <v/>
      </c>
      <c r="AC43" s="12">
        <v>115000000</v>
      </c>
      <c r="AD43" s="12">
        <v>8000000</v>
      </c>
      <c r="AE43" s="12">
        <v>0</v>
      </c>
      <c r="AF43" s="12">
        <f t="shared" si="14"/>
        <v>123000000</v>
      </c>
      <c r="AG43" s="12" t="s">
        <v>401</v>
      </c>
      <c r="AH43" s="12" t="str">
        <f t="shared" si="15"/>
        <v/>
      </c>
      <c r="AI43" s="12" t="s">
        <v>401</v>
      </c>
      <c r="AJ43" s="12" t="s">
        <v>401</v>
      </c>
      <c r="AK43" s="12"/>
      <c r="AL43" s="12">
        <v>125000000</v>
      </c>
      <c r="AM43" s="12" t="s">
        <v>401</v>
      </c>
      <c r="AN43" s="12" t="str">
        <f t="shared" si="16"/>
        <v/>
      </c>
      <c r="AO43" s="12" t="s">
        <v>401</v>
      </c>
      <c r="AP43" s="12" t="s">
        <v>401</v>
      </c>
      <c r="AQ43" s="12"/>
      <c r="AR43" s="12">
        <v>122000000</v>
      </c>
      <c r="AS43" s="12" t="s">
        <v>401</v>
      </c>
      <c r="AT43" s="12" t="str">
        <f t="shared" si="17"/>
        <v/>
      </c>
      <c r="AU43" s="4" t="s">
        <v>1</v>
      </c>
      <c r="AV43" s="14" t="s">
        <v>161</v>
      </c>
    </row>
    <row r="44" spans="1:49" ht="25" x14ac:dyDescent="0.25">
      <c r="A44" s="21" t="s">
        <v>162</v>
      </c>
      <c r="B44" s="21" t="s">
        <v>403</v>
      </c>
      <c r="C44" s="21" t="s">
        <v>2</v>
      </c>
      <c r="D44" s="4" t="s">
        <v>79</v>
      </c>
      <c r="E44" s="5">
        <v>70697000000</v>
      </c>
      <c r="F44" s="5">
        <v>18485000000</v>
      </c>
      <c r="G44" s="9">
        <v>2012</v>
      </c>
      <c r="H44" s="5" t="s">
        <v>1</v>
      </c>
      <c r="I44" s="4" t="s">
        <v>1</v>
      </c>
      <c r="J44" s="4" t="s">
        <v>1</v>
      </c>
      <c r="K44">
        <v>2030</v>
      </c>
      <c r="L44">
        <v>2020</v>
      </c>
      <c r="M44" s="4" t="s">
        <v>0</v>
      </c>
      <c r="N44" s="4" t="s">
        <v>1</v>
      </c>
      <c r="O44" t="s">
        <v>1</v>
      </c>
      <c r="P44">
        <v>2020</v>
      </c>
      <c r="Q44" s="12">
        <v>207000</v>
      </c>
      <c r="R44" s="12">
        <v>44000</v>
      </c>
      <c r="S44" s="12">
        <v>0</v>
      </c>
      <c r="T44" s="12">
        <f t="shared" si="10"/>
        <v>251000</v>
      </c>
      <c r="U44" s="12" t="s">
        <v>401</v>
      </c>
      <c r="V44" s="12" t="str">
        <f t="shared" si="11"/>
        <v/>
      </c>
      <c r="W44" s="12">
        <v>314000</v>
      </c>
      <c r="X44" s="12">
        <v>42000</v>
      </c>
      <c r="Y44" s="12">
        <v>0</v>
      </c>
      <c r="Z44" s="12">
        <f t="shared" si="12"/>
        <v>356000</v>
      </c>
      <c r="AA44" s="12" t="s">
        <v>401</v>
      </c>
      <c r="AB44" s="12" t="str">
        <f t="shared" si="13"/>
        <v/>
      </c>
      <c r="AC44" s="12">
        <v>568000</v>
      </c>
      <c r="AD44" s="12">
        <v>48800</v>
      </c>
      <c r="AE44" s="12">
        <v>0</v>
      </c>
      <c r="AF44" s="12">
        <f t="shared" si="14"/>
        <v>616800</v>
      </c>
      <c r="AG44" s="12" t="s">
        <v>401</v>
      </c>
      <c r="AH44" s="12" t="str">
        <f t="shared" si="15"/>
        <v/>
      </c>
      <c r="AI44" s="12">
        <v>516000</v>
      </c>
      <c r="AJ44" s="12">
        <v>39000</v>
      </c>
      <c r="AK44" s="12">
        <v>0</v>
      </c>
      <c r="AL44" s="12">
        <f t="shared" ref="AL44:AL70" si="18">IFERROR(AI44+AJ44-AK44,"")</f>
        <v>555000</v>
      </c>
      <c r="AM44" s="12" t="s">
        <v>401</v>
      </c>
      <c r="AN44" s="12" t="str">
        <f t="shared" si="16"/>
        <v/>
      </c>
      <c r="AO44" s="12">
        <v>423000</v>
      </c>
      <c r="AP44" s="12">
        <v>28000</v>
      </c>
      <c r="AQ44" s="12">
        <v>0</v>
      </c>
      <c r="AR44" s="12">
        <f t="shared" ref="AR44:AR75" si="19">IFERROR(AO44+AP44-AQ44,"")</f>
        <v>451000</v>
      </c>
      <c r="AS44" s="12" t="s">
        <v>401</v>
      </c>
      <c r="AT44" s="12" t="str">
        <f t="shared" si="17"/>
        <v/>
      </c>
      <c r="AU44" s="4" t="s">
        <v>1</v>
      </c>
      <c r="AV44" s="18" t="s">
        <v>163</v>
      </c>
    </row>
    <row r="45" spans="1:49" ht="25" x14ac:dyDescent="0.25">
      <c r="A45" s="21" t="s">
        <v>164</v>
      </c>
      <c r="B45" s="21" t="s">
        <v>164</v>
      </c>
      <c r="C45" s="21" t="s">
        <v>8</v>
      </c>
      <c r="D45" s="4" t="s">
        <v>165</v>
      </c>
      <c r="E45" s="5">
        <v>69693000000</v>
      </c>
      <c r="F45" s="5">
        <v>540000000</v>
      </c>
      <c r="G45" s="9">
        <v>1971</v>
      </c>
      <c r="H45" s="5" t="s">
        <v>1</v>
      </c>
      <c r="I45" s="4" t="s">
        <v>0</v>
      </c>
      <c r="J45" s="4" t="s">
        <v>0</v>
      </c>
      <c r="M45" t="s">
        <v>0</v>
      </c>
      <c r="N45" t="s">
        <v>0</v>
      </c>
      <c r="O45" t="s">
        <v>0</v>
      </c>
      <c r="P45" t="s">
        <v>0</v>
      </c>
      <c r="Q45" s="12">
        <v>15406173</v>
      </c>
      <c r="R45" s="12">
        <v>995988</v>
      </c>
      <c r="S45" s="12">
        <v>0</v>
      </c>
      <c r="T45" s="12">
        <f t="shared" si="10"/>
        <v>16402161</v>
      </c>
      <c r="U45" s="12">
        <v>3099293</v>
      </c>
      <c r="V45" s="12">
        <f t="shared" si="11"/>
        <v>19501454</v>
      </c>
      <c r="W45" s="12">
        <v>15152383</v>
      </c>
      <c r="X45" s="12">
        <v>1049987</v>
      </c>
      <c r="Y45" s="12">
        <v>0</v>
      </c>
      <c r="Z45" s="12">
        <f t="shared" si="12"/>
        <v>16202370</v>
      </c>
      <c r="AA45" s="12">
        <v>2820965</v>
      </c>
      <c r="AB45" s="12">
        <f t="shared" si="13"/>
        <v>19023335</v>
      </c>
      <c r="AC45" s="12">
        <v>14053599</v>
      </c>
      <c r="AD45" s="12">
        <v>1094109</v>
      </c>
      <c r="AE45" s="12">
        <v>0</v>
      </c>
      <c r="AF45" s="12">
        <f t="shared" si="14"/>
        <v>15147708</v>
      </c>
      <c r="AG45" s="12">
        <v>2642415</v>
      </c>
      <c r="AH45" s="12">
        <f t="shared" si="15"/>
        <v>17790123</v>
      </c>
      <c r="AI45" s="12">
        <v>13759865</v>
      </c>
      <c r="AJ45" s="12">
        <v>958526</v>
      </c>
      <c r="AK45" s="12"/>
      <c r="AL45" s="12">
        <f t="shared" si="18"/>
        <v>14718391</v>
      </c>
      <c r="AM45" s="12">
        <f>2150216+63944+186515</f>
        <v>2400675</v>
      </c>
      <c r="AN45" s="12">
        <f t="shared" si="16"/>
        <v>17119066</v>
      </c>
      <c r="AO45" s="12">
        <v>13751187</v>
      </c>
      <c r="AP45" s="12">
        <v>970981</v>
      </c>
      <c r="AQ45" s="12"/>
      <c r="AR45" s="12">
        <f t="shared" si="19"/>
        <v>14722168</v>
      </c>
      <c r="AS45" s="12">
        <f>2023432+50897</f>
        <v>2074329</v>
      </c>
      <c r="AT45" s="12">
        <f t="shared" si="17"/>
        <v>16796497</v>
      </c>
      <c r="AU45" s="4" t="s">
        <v>1</v>
      </c>
      <c r="AV45" s="18" t="s">
        <v>166</v>
      </c>
      <c r="AW45" s="30" t="s">
        <v>428</v>
      </c>
    </row>
    <row r="46" spans="1:49" x14ac:dyDescent="0.25">
      <c r="A46" s="21" t="s">
        <v>167</v>
      </c>
      <c r="B46" s="21" t="s">
        <v>475</v>
      </c>
      <c r="C46" s="32" t="s">
        <v>3</v>
      </c>
      <c r="D46" s="4" t="s">
        <v>168</v>
      </c>
      <c r="E46" s="5">
        <v>155900000000</v>
      </c>
      <c r="F46" s="5">
        <v>47000000</v>
      </c>
      <c r="G46" s="9">
        <v>1956</v>
      </c>
      <c r="H46" s="5" t="s">
        <v>1</v>
      </c>
      <c r="I46" t="s">
        <v>1</v>
      </c>
      <c r="J46" s="4" t="s">
        <v>0</v>
      </c>
      <c r="K46">
        <v>2050</v>
      </c>
      <c r="L46">
        <v>2020</v>
      </c>
      <c r="M46" t="s">
        <v>0</v>
      </c>
      <c r="N46" t="s">
        <v>0</v>
      </c>
      <c r="O46" t="s">
        <v>1</v>
      </c>
      <c r="P46">
        <v>2035</v>
      </c>
      <c r="Q46" s="12">
        <v>1451947</v>
      </c>
      <c r="R46" s="12">
        <v>3068182</v>
      </c>
      <c r="S46" s="12"/>
      <c r="T46" s="12">
        <f t="shared" si="10"/>
        <v>4520129</v>
      </c>
      <c r="U46" s="12">
        <f>39676648+1280384+1066000+2102900+9297+61306+803387+134760000+1360000+1957800</f>
        <v>183077722</v>
      </c>
      <c r="V46" s="12">
        <f t="shared" si="11"/>
        <v>187597851</v>
      </c>
      <c r="W46" s="12">
        <v>1442963</v>
      </c>
      <c r="X46" s="12">
        <v>3349808</v>
      </c>
      <c r="Y46" s="12">
        <v>0</v>
      </c>
      <c r="Z46" s="12">
        <f t="shared" si="12"/>
        <v>4792771</v>
      </c>
      <c r="AA46" s="12">
        <v>134409771</v>
      </c>
      <c r="AB46" s="12">
        <f t="shared" si="13"/>
        <v>139202542</v>
      </c>
      <c r="AC46" s="12">
        <v>1389740</v>
      </c>
      <c r="AD46" s="12">
        <v>3482444</v>
      </c>
      <c r="AE46" s="12">
        <v>0</v>
      </c>
      <c r="AF46" s="12">
        <f t="shared" si="14"/>
        <v>4872184</v>
      </c>
      <c r="AG46" s="12" t="s">
        <v>401</v>
      </c>
      <c r="AH46" s="12" t="str">
        <f t="shared" si="15"/>
        <v/>
      </c>
      <c r="AI46" s="12">
        <v>1304409</v>
      </c>
      <c r="AJ46" s="12">
        <v>3312936</v>
      </c>
      <c r="AK46" s="12"/>
      <c r="AL46" s="12">
        <f t="shared" si="18"/>
        <v>4617345</v>
      </c>
      <c r="AM46" s="12">
        <f>13133594+2413+1502980+22295+57192+651750+665461+131000000</f>
        <v>147035685</v>
      </c>
      <c r="AN46" s="12">
        <f t="shared" si="16"/>
        <v>151653030</v>
      </c>
      <c r="AO46" s="12" t="s">
        <v>401</v>
      </c>
      <c r="AP46" s="12" t="s">
        <v>401</v>
      </c>
      <c r="AQ46" s="12"/>
      <c r="AR46" s="12" t="str">
        <f t="shared" si="19"/>
        <v/>
      </c>
      <c r="AS46" s="12" t="s">
        <v>401</v>
      </c>
      <c r="AT46" s="12" t="str">
        <f t="shared" si="17"/>
        <v/>
      </c>
      <c r="AU46" s="3" t="s">
        <v>169</v>
      </c>
      <c r="AV46" s="18" t="s">
        <v>170</v>
      </c>
    </row>
    <row r="47" spans="1:49" x14ac:dyDescent="0.25">
      <c r="A47" s="21" t="s">
        <v>171</v>
      </c>
      <c r="B47" s="21" t="s">
        <v>171</v>
      </c>
      <c r="C47" s="21" t="s">
        <v>8</v>
      </c>
      <c r="D47" t="s">
        <v>8</v>
      </c>
      <c r="E47" s="5">
        <v>39350000000</v>
      </c>
      <c r="F47" s="5">
        <v>3484000000</v>
      </c>
      <c r="G47" s="9">
        <v>1899</v>
      </c>
      <c r="H47" s="5" t="s">
        <v>1</v>
      </c>
      <c r="I47" t="s">
        <v>0</v>
      </c>
      <c r="J47" s="4" t="s">
        <v>0</v>
      </c>
      <c r="K47" s="4"/>
      <c r="L47" s="4"/>
      <c r="M47" s="4" t="s">
        <v>0</v>
      </c>
      <c r="N47" s="4" t="s">
        <v>0</v>
      </c>
      <c r="O47" s="4" t="s">
        <v>0</v>
      </c>
      <c r="P47" s="4" t="s">
        <v>0</v>
      </c>
      <c r="Q47" s="12">
        <v>317081</v>
      </c>
      <c r="R47" s="12">
        <v>445119</v>
      </c>
      <c r="S47" s="12"/>
      <c r="T47" s="12">
        <f t="shared" si="10"/>
        <v>762200</v>
      </c>
      <c r="U47" s="12" t="s">
        <v>401</v>
      </c>
      <c r="V47" s="12" t="str">
        <f t="shared" si="11"/>
        <v/>
      </c>
      <c r="W47" s="12">
        <v>306430</v>
      </c>
      <c r="X47" s="12">
        <v>487731</v>
      </c>
      <c r="Y47" s="12"/>
      <c r="Z47" s="12">
        <f t="shared" si="12"/>
        <v>794161</v>
      </c>
      <c r="AA47" s="12" t="s">
        <v>401</v>
      </c>
      <c r="AB47" s="12" t="str">
        <f t="shared" si="13"/>
        <v/>
      </c>
      <c r="AC47" s="12">
        <v>305836</v>
      </c>
      <c r="AD47" s="12">
        <v>478428</v>
      </c>
      <c r="AE47" s="12"/>
      <c r="AF47" s="12">
        <f t="shared" si="14"/>
        <v>784264</v>
      </c>
      <c r="AG47" s="12" t="s">
        <v>401</v>
      </c>
      <c r="AH47" s="12" t="str">
        <f t="shared" si="15"/>
        <v/>
      </c>
      <c r="AI47" s="12">
        <v>298276</v>
      </c>
      <c r="AJ47" s="12">
        <v>523497</v>
      </c>
      <c r="AK47" s="12"/>
      <c r="AL47" s="12">
        <f t="shared" si="18"/>
        <v>821773</v>
      </c>
      <c r="AM47" s="12" t="s">
        <v>401</v>
      </c>
      <c r="AN47" s="12" t="str">
        <f t="shared" si="16"/>
        <v/>
      </c>
      <c r="AO47" s="12" t="s">
        <v>401</v>
      </c>
      <c r="AP47" s="12" t="s">
        <v>401</v>
      </c>
      <c r="AQ47" s="12"/>
      <c r="AR47" s="12" t="str">
        <f t="shared" si="19"/>
        <v/>
      </c>
      <c r="AS47" s="12" t="s">
        <v>401</v>
      </c>
      <c r="AT47" s="12" t="str">
        <f t="shared" si="17"/>
        <v/>
      </c>
      <c r="AU47" s="4" t="s">
        <v>0</v>
      </c>
      <c r="AV47" s="18" t="s">
        <v>172</v>
      </c>
    </row>
    <row r="48" spans="1:49" ht="25" x14ac:dyDescent="0.25">
      <c r="A48" s="21" t="s">
        <v>173</v>
      </c>
      <c r="B48" s="21" t="s">
        <v>392</v>
      </c>
      <c r="C48" s="21" t="s">
        <v>8</v>
      </c>
      <c r="D48" s="4" t="s">
        <v>121</v>
      </c>
      <c r="E48" s="5">
        <v>95214000000</v>
      </c>
      <c r="F48" s="11">
        <v>-5439000000</v>
      </c>
      <c r="G48" s="9">
        <v>1896</v>
      </c>
      <c r="H48" s="5" t="s">
        <v>1</v>
      </c>
      <c r="I48" t="s">
        <v>0</v>
      </c>
      <c r="J48" s="4" t="s">
        <v>0</v>
      </c>
      <c r="K48" s="4">
        <v>2030</v>
      </c>
      <c r="L48" s="4">
        <v>2020</v>
      </c>
      <c r="M48" s="4" t="s">
        <v>0</v>
      </c>
      <c r="N48" s="4" t="s">
        <v>0</v>
      </c>
      <c r="O48" s="4" t="s">
        <v>0</v>
      </c>
      <c r="P48" s="4" t="s">
        <v>0</v>
      </c>
      <c r="Q48" s="12">
        <v>1000000</v>
      </c>
      <c r="R48" s="12">
        <v>1390000</v>
      </c>
      <c r="S48" s="12"/>
      <c r="T48" s="12">
        <f t="shared" si="10"/>
        <v>2390000</v>
      </c>
      <c r="U48" s="12">
        <v>680000</v>
      </c>
      <c r="V48" s="12">
        <f t="shared" si="11"/>
        <v>3070000</v>
      </c>
      <c r="W48" s="12">
        <v>1290000</v>
      </c>
      <c r="X48" s="12">
        <v>1510000</v>
      </c>
      <c r="Y48" s="12">
        <v>0</v>
      </c>
      <c r="Z48" s="12">
        <f t="shared" si="12"/>
        <v>2800000</v>
      </c>
      <c r="AA48" s="12">
        <v>2340000</v>
      </c>
      <c r="AB48" s="12">
        <f t="shared" si="13"/>
        <v>5140000</v>
      </c>
      <c r="AC48" s="12">
        <v>1670000</v>
      </c>
      <c r="AD48" s="12">
        <v>2110000</v>
      </c>
      <c r="AE48" s="12">
        <v>0</v>
      </c>
      <c r="AF48" s="12">
        <f t="shared" si="14"/>
        <v>3780000</v>
      </c>
      <c r="AG48" s="12">
        <v>2790000</v>
      </c>
      <c r="AH48" s="12">
        <f t="shared" si="15"/>
        <v>6570000</v>
      </c>
      <c r="AI48" s="12">
        <v>1621000</v>
      </c>
      <c r="AJ48" s="12">
        <v>2207000</v>
      </c>
      <c r="AK48" s="12"/>
      <c r="AL48" s="12">
        <f t="shared" si="18"/>
        <v>3828000</v>
      </c>
      <c r="AM48" s="12">
        <f>8000000</f>
        <v>8000000</v>
      </c>
      <c r="AN48" s="12">
        <f t="shared" si="16"/>
        <v>11828000</v>
      </c>
      <c r="AO48" s="12">
        <v>1961000</v>
      </c>
      <c r="AP48" s="12">
        <v>2572000</v>
      </c>
      <c r="AQ48" s="12"/>
      <c r="AR48" s="12">
        <f t="shared" si="19"/>
        <v>4533000</v>
      </c>
      <c r="AS48" s="12">
        <f>11500000</f>
        <v>11500000</v>
      </c>
      <c r="AT48" s="12">
        <f t="shared" si="17"/>
        <v>16033000</v>
      </c>
      <c r="AU48" s="4" t="s">
        <v>1</v>
      </c>
      <c r="AV48" s="14" t="s">
        <v>409</v>
      </c>
      <c r="AW48" s="4" t="s">
        <v>427</v>
      </c>
    </row>
    <row r="49" spans="1:50" x14ac:dyDescent="0.25">
      <c r="A49" s="21" t="s">
        <v>174</v>
      </c>
      <c r="B49" s="21" t="s">
        <v>393</v>
      </c>
      <c r="C49" s="32" t="s">
        <v>3</v>
      </c>
      <c r="D49" s="4" t="s">
        <v>168</v>
      </c>
      <c r="E49" s="5">
        <v>137237000000</v>
      </c>
      <c r="F49" s="5">
        <v>6581000000</v>
      </c>
      <c r="G49" s="9">
        <v>1908</v>
      </c>
      <c r="H49" s="5" t="s">
        <v>1</v>
      </c>
      <c r="I49" t="s">
        <v>1</v>
      </c>
      <c r="J49" s="4" t="s">
        <v>0</v>
      </c>
      <c r="K49">
        <v>2050</v>
      </c>
      <c r="L49">
        <v>2020</v>
      </c>
      <c r="M49" s="4" t="s">
        <v>0</v>
      </c>
      <c r="N49" s="4" t="s">
        <v>0</v>
      </c>
      <c r="O49" t="s">
        <v>1</v>
      </c>
      <c r="P49">
        <v>2040</v>
      </c>
      <c r="Q49" s="12">
        <v>1589700</v>
      </c>
      <c r="R49" s="12">
        <v>3721875</v>
      </c>
      <c r="S49" s="12">
        <v>0</v>
      </c>
      <c r="T49" s="12">
        <f t="shared" si="10"/>
        <v>5311575</v>
      </c>
      <c r="U49" s="12">
        <v>249384317</v>
      </c>
      <c r="V49" s="12">
        <f t="shared" si="11"/>
        <v>254695892</v>
      </c>
      <c r="W49" s="12">
        <v>1763555</v>
      </c>
      <c r="X49" s="12">
        <v>4322761</v>
      </c>
      <c r="Y49" s="12">
        <v>0</v>
      </c>
      <c r="Z49" s="12">
        <f t="shared" si="12"/>
        <v>6086316</v>
      </c>
      <c r="AA49" s="12">
        <v>264563698</v>
      </c>
      <c r="AB49" s="12">
        <f t="shared" si="13"/>
        <v>270650014</v>
      </c>
      <c r="AC49" s="12">
        <v>1848804</v>
      </c>
      <c r="AD49" s="12">
        <v>4302887</v>
      </c>
      <c r="AE49" s="12"/>
      <c r="AF49" s="12">
        <f t="shared" si="14"/>
        <v>6151691</v>
      </c>
      <c r="AG49" s="12">
        <v>286310319</v>
      </c>
      <c r="AH49" s="12">
        <f t="shared" si="15"/>
        <v>292462010</v>
      </c>
      <c r="AI49" s="12">
        <v>1815001</v>
      </c>
      <c r="AJ49" s="12">
        <v>5095809</v>
      </c>
      <c r="AK49" s="12"/>
      <c r="AL49" s="12">
        <f t="shared" si="18"/>
        <v>6910810</v>
      </c>
      <c r="AM49" s="12">
        <v>320911918</v>
      </c>
      <c r="AN49" s="12">
        <f t="shared" si="16"/>
        <v>327822728</v>
      </c>
      <c r="AO49" s="12">
        <v>1863495</v>
      </c>
      <c r="AP49" s="12">
        <v>4763994</v>
      </c>
      <c r="AQ49" s="12"/>
      <c r="AR49" s="12">
        <f t="shared" si="19"/>
        <v>6627489</v>
      </c>
      <c r="AS49" s="12" t="s">
        <v>401</v>
      </c>
      <c r="AT49" s="12" t="str">
        <f t="shared" si="17"/>
        <v/>
      </c>
      <c r="AU49" s="4" t="s">
        <v>1</v>
      </c>
    </row>
    <row r="50" spans="1:50" ht="25" x14ac:dyDescent="0.25">
      <c r="A50" s="21" t="s">
        <v>175</v>
      </c>
      <c r="B50" s="21" t="s">
        <v>398</v>
      </c>
      <c r="C50" s="32" t="s">
        <v>7</v>
      </c>
      <c r="D50" s="4" t="s">
        <v>69</v>
      </c>
      <c r="E50" s="5">
        <v>22449000000</v>
      </c>
      <c r="F50" s="5">
        <v>5386000000</v>
      </c>
      <c r="G50" s="9">
        <v>1992</v>
      </c>
      <c r="H50" s="5" t="s">
        <v>1</v>
      </c>
      <c r="I50" t="s">
        <v>0</v>
      </c>
      <c r="J50" s="4" t="s">
        <v>0</v>
      </c>
      <c r="M50">
        <v>69620</v>
      </c>
      <c r="N50" s="4" t="s">
        <v>0</v>
      </c>
      <c r="O50" s="4" t="s">
        <v>0</v>
      </c>
      <c r="P50" s="4" t="s">
        <v>0</v>
      </c>
      <c r="Q50" s="12">
        <v>52019</v>
      </c>
      <c r="R50" s="12">
        <v>21716</v>
      </c>
      <c r="S50" s="12"/>
      <c r="T50" s="12">
        <f t="shared" si="10"/>
        <v>73735</v>
      </c>
      <c r="U50" s="12">
        <f>1229479+95700+25250+17003+4810+40399+23656</f>
        <v>1436297</v>
      </c>
      <c r="V50" s="12">
        <f t="shared" si="11"/>
        <v>1510032</v>
      </c>
      <c r="W50" s="12">
        <v>47256</v>
      </c>
      <c r="X50" s="12">
        <v>26647</v>
      </c>
      <c r="Y50" s="12"/>
      <c r="Z50" s="12">
        <f t="shared" si="12"/>
        <v>73903</v>
      </c>
      <c r="AA50" s="12">
        <f>22519+10881+38186</f>
        <v>71586</v>
      </c>
      <c r="AB50" s="12">
        <f t="shared" si="13"/>
        <v>145489</v>
      </c>
      <c r="AC50" s="12">
        <v>46330</v>
      </c>
      <c r="AD50" s="12">
        <v>46217</v>
      </c>
      <c r="AE50" s="12">
        <v>0</v>
      </c>
      <c r="AF50" s="12">
        <f t="shared" si="14"/>
        <v>92547</v>
      </c>
      <c r="AG50" s="12">
        <v>33056</v>
      </c>
      <c r="AH50" s="12">
        <f t="shared" si="15"/>
        <v>125603</v>
      </c>
      <c r="AI50" s="12">
        <v>44531</v>
      </c>
      <c r="AJ50" s="12">
        <v>48296</v>
      </c>
      <c r="AK50" s="12">
        <v>0</v>
      </c>
      <c r="AL50" s="12">
        <f t="shared" si="18"/>
        <v>92827</v>
      </c>
      <c r="AM50" s="12">
        <v>32003</v>
      </c>
      <c r="AN50" s="12">
        <f t="shared" si="16"/>
        <v>124830</v>
      </c>
      <c r="AO50" s="12" t="s">
        <v>401</v>
      </c>
      <c r="AP50" s="12" t="s">
        <v>401</v>
      </c>
      <c r="AQ50" s="12"/>
      <c r="AR50" s="12" t="str">
        <f t="shared" si="19"/>
        <v/>
      </c>
      <c r="AS50" s="12" t="s">
        <v>401</v>
      </c>
      <c r="AT50" s="12" t="str">
        <f t="shared" si="17"/>
        <v/>
      </c>
      <c r="AU50" s="4" t="s">
        <v>0</v>
      </c>
      <c r="AV50" s="18" t="s">
        <v>176</v>
      </c>
    </row>
    <row r="51" spans="1:50" ht="112.5" x14ac:dyDescent="0.25">
      <c r="A51" s="21" t="s">
        <v>177</v>
      </c>
      <c r="B51" s="21" t="s">
        <v>464</v>
      </c>
      <c r="C51" s="32" t="s">
        <v>6</v>
      </c>
      <c r="D51" s="4" t="s">
        <v>109</v>
      </c>
      <c r="E51" s="5">
        <v>36546000000</v>
      </c>
      <c r="F51" s="5">
        <v>8470000000</v>
      </c>
      <c r="G51" s="9">
        <v>1999</v>
      </c>
      <c r="H51" s="5" t="s">
        <v>1</v>
      </c>
      <c r="I51" t="s">
        <v>1</v>
      </c>
      <c r="J51" t="s">
        <v>0</v>
      </c>
      <c r="K51">
        <v>2015</v>
      </c>
      <c r="L51">
        <v>2009</v>
      </c>
      <c r="N51" t="s">
        <v>1</v>
      </c>
      <c r="O51" t="s">
        <v>1</v>
      </c>
      <c r="P51">
        <v>2020</v>
      </c>
      <c r="Q51" s="12">
        <v>12673</v>
      </c>
      <c r="R51" s="12">
        <v>9109</v>
      </c>
      <c r="S51" s="12">
        <v>0</v>
      </c>
      <c r="T51" s="12">
        <f t="shared" si="10"/>
        <v>21782</v>
      </c>
      <c r="U51" s="12">
        <v>135473</v>
      </c>
      <c r="V51" s="12">
        <f t="shared" si="11"/>
        <v>157255</v>
      </c>
      <c r="W51" s="12">
        <v>11565</v>
      </c>
      <c r="X51" s="12">
        <v>16284</v>
      </c>
      <c r="Y51" s="12"/>
      <c r="Z51" s="12">
        <f t="shared" si="12"/>
        <v>27849</v>
      </c>
      <c r="AA51" s="12">
        <v>139893</v>
      </c>
      <c r="AB51" s="12">
        <f t="shared" si="13"/>
        <v>167742</v>
      </c>
      <c r="AC51" s="12">
        <v>11231</v>
      </c>
      <c r="AD51" s="12">
        <v>18410</v>
      </c>
      <c r="AE51" s="12"/>
      <c r="AF51" s="12">
        <f t="shared" si="14"/>
        <v>29641</v>
      </c>
      <c r="AG51" s="12">
        <v>120001</v>
      </c>
      <c r="AH51" s="12">
        <f t="shared" si="15"/>
        <v>149642</v>
      </c>
      <c r="AI51" s="12">
        <v>11520</v>
      </c>
      <c r="AJ51" s="12">
        <v>34179</v>
      </c>
      <c r="AK51" s="12"/>
      <c r="AL51" s="12">
        <f t="shared" si="18"/>
        <v>45699</v>
      </c>
      <c r="AM51" s="12">
        <v>102266</v>
      </c>
      <c r="AN51" s="12">
        <f t="shared" si="16"/>
        <v>147965</v>
      </c>
      <c r="AO51" s="12">
        <v>11900</v>
      </c>
      <c r="AP51" s="12">
        <v>51690</v>
      </c>
      <c r="AQ51" s="12"/>
      <c r="AR51" s="12">
        <f t="shared" si="19"/>
        <v>63590</v>
      </c>
      <c r="AS51" s="12">
        <v>148918</v>
      </c>
      <c r="AT51" s="12">
        <f t="shared" si="17"/>
        <v>212508</v>
      </c>
      <c r="AU51" s="30" t="s">
        <v>1</v>
      </c>
      <c r="AV51" s="14" t="s">
        <v>178</v>
      </c>
      <c r="AW51" s="4" t="s">
        <v>427</v>
      </c>
      <c r="AX51" s="3" t="s">
        <v>179</v>
      </c>
    </row>
    <row r="52" spans="1:50" ht="162.5" x14ac:dyDescent="0.25">
      <c r="A52" s="21" t="s">
        <v>180</v>
      </c>
      <c r="B52" s="21" t="s">
        <v>180</v>
      </c>
      <c r="C52" s="32" t="s">
        <v>3</v>
      </c>
      <c r="D52" s="4" t="s">
        <v>85</v>
      </c>
      <c r="E52" s="11">
        <v>110200000000</v>
      </c>
      <c r="F52" s="11">
        <v>11240000000</v>
      </c>
      <c r="G52" s="10">
        <v>1981</v>
      </c>
      <c r="H52" t="s">
        <v>1</v>
      </c>
      <c r="I52" t="s">
        <v>0</v>
      </c>
      <c r="J52" s="3" t="s">
        <v>0</v>
      </c>
      <c r="M52" s="3" t="s">
        <v>181</v>
      </c>
      <c r="N52" t="s">
        <v>0</v>
      </c>
      <c r="O52" t="s">
        <v>0</v>
      </c>
      <c r="P52" s="4" t="s">
        <v>0</v>
      </c>
      <c r="Q52" s="12">
        <v>554317</v>
      </c>
      <c r="R52" s="12">
        <v>1302648</v>
      </c>
      <c r="S52" s="12"/>
      <c r="T52" s="12">
        <f t="shared" si="10"/>
        <v>1856965</v>
      </c>
      <c r="U52" s="12">
        <f>44487507+420000+2665080+564400+156500611</f>
        <v>204637598</v>
      </c>
      <c r="V52" s="12">
        <f t="shared" si="11"/>
        <v>206494563</v>
      </c>
      <c r="W52" s="12">
        <v>516246</v>
      </c>
      <c r="X52" s="12">
        <v>1549876</v>
      </c>
      <c r="Y52" s="12"/>
      <c r="Z52" s="12">
        <f t="shared" si="12"/>
        <v>2066122</v>
      </c>
      <c r="AA52" s="12">
        <f>54000000+440000+2865590+569500+260000000</f>
        <v>317875090</v>
      </c>
      <c r="AB52" s="12">
        <f t="shared" si="13"/>
        <v>319941212</v>
      </c>
      <c r="AC52" s="12">
        <v>433633</v>
      </c>
      <c r="AD52" s="12">
        <v>1681640</v>
      </c>
      <c r="AE52" s="12"/>
      <c r="AF52" s="12">
        <f t="shared" si="14"/>
        <v>2115273</v>
      </c>
      <c r="AG52" s="12">
        <v>3791806</v>
      </c>
      <c r="AH52" s="12">
        <f t="shared" si="15"/>
        <v>5907079</v>
      </c>
      <c r="AI52" s="12">
        <v>438335</v>
      </c>
      <c r="AJ52" s="12">
        <v>1906283</v>
      </c>
      <c r="AK52" s="12"/>
      <c r="AL52" s="12">
        <f t="shared" si="18"/>
        <v>2344618</v>
      </c>
      <c r="AM52" s="12">
        <v>2293060</v>
      </c>
      <c r="AN52" s="12">
        <f t="shared" si="16"/>
        <v>4637678</v>
      </c>
      <c r="AO52" s="12">
        <v>388664</v>
      </c>
      <c r="AP52" s="12">
        <v>2249712</v>
      </c>
      <c r="AQ52" s="12"/>
      <c r="AR52" s="12">
        <f t="shared" si="19"/>
        <v>2638376</v>
      </c>
      <c r="AS52" s="12">
        <v>2133972</v>
      </c>
      <c r="AT52" s="12">
        <f t="shared" si="17"/>
        <v>4772348</v>
      </c>
      <c r="AU52" t="s">
        <v>0</v>
      </c>
      <c r="AV52" s="18" t="s">
        <v>182</v>
      </c>
      <c r="AX52" s="3" t="s">
        <v>183</v>
      </c>
    </row>
    <row r="53" spans="1:50" ht="162.5" x14ac:dyDescent="0.25">
      <c r="A53" s="21" t="s">
        <v>184</v>
      </c>
      <c r="B53" s="21" t="s">
        <v>446</v>
      </c>
      <c r="C53" s="21" t="s">
        <v>8</v>
      </c>
      <c r="D53" s="4" t="s">
        <v>121</v>
      </c>
      <c r="E53" s="11">
        <v>36709000000</v>
      </c>
      <c r="F53" s="11">
        <v>6143000000</v>
      </c>
      <c r="H53" t="s">
        <v>1</v>
      </c>
      <c r="I53" t="s">
        <v>0</v>
      </c>
      <c r="J53" t="s">
        <v>0</v>
      </c>
      <c r="M53" s="3" t="s">
        <v>185</v>
      </c>
      <c r="N53" t="s">
        <v>0</v>
      </c>
      <c r="O53" t="s">
        <v>0</v>
      </c>
      <c r="P53" s="4" t="s">
        <v>0</v>
      </c>
      <c r="Q53" s="12">
        <v>1090649</v>
      </c>
      <c r="R53" s="12">
        <v>933484</v>
      </c>
      <c r="S53" s="12"/>
      <c r="T53" s="12">
        <f t="shared" si="10"/>
        <v>2024133</v>
      </c>
      <c r="U53" s="12">
        <f>16976983+518408+306478+163207+104444+17530</f>
        <v>18087050</v>
      </c>
      <c r="V53" s="12">
        <f t="shared" si="11"/>
        <v>20111183</v>
      </c>
      <c r="W53" s="12">
        <v>1479149</v>
      </c>
      <c r="X53" s="12">
        <v>1036941</v>
      </c>
      <c r="Y53" s="12"/>
      <c r="Z53" s="12">
        <f t="shared" si="12"/>
        <v>2516090</v>
      </c>
      <c r="AA53" s="12">
        <f>17689014+504252+336382+173925+147869+12404</f>
        <v>18863846</v>
      </c>
      <c r="AB53" s="12">
        <f t="shared" si="13"/>
        <v>21379936</v>
      </c>
      <c r="AC53" s="12">
        <v>1355420</v>
      </c>
      <c r="AD53" s="12">
        <v>1228457</v>
      </c>
      <c r="AE53" s="12"/>
      <c r="AF53" s="12">
        <f t="shared" si="14"/>
        <v>2583877</v>
      </c>
      <c r="AG53" s="12" t="s">
        <v>401</v>
      </c>
      <c r="AH53" s="12" t="str">
        <f t="shared" si="15"/>
        <v/>
      </c>
      <c r="AI53" s="12">
        <v>2699554</v>
      </c>
      <c r="AJ53" s="12">
        <v>1518875</v>
      </c>
      <c r="AK53" s="12"/>
      <c r="AL53" s="12">
        <f t="shared" si="18"/>
        <v>4218429</v>
      </c>
      <c r="AM53" s="12" t="s">
        <v>401</v>
      </c>
      <c r="AN53" s="12" t="str">
        <f t="shared" si="16"/>
        <v/>
      </c>
      <c r="AO53" s="12">
        <v>3526031</v>
      </c>
      <c r="AP53" s="12">
        <v>1736106</v>
      </c>
      <c r="AQ53" s="12"/>
      <c r="AR53" s="12">
        <f t="shared" si="19"/>
        <v>5262137</v>
      </c>
      <c r="AS53" s="12" t="s">
        <v>401</v>
      </c>
      <c r="AT53" s="12" t="str">
        <f t="shared" si="17"/>
        <v/>
      </c>
      <c r="AU53" t="s">
        <v>0</v>
      </c>
      <c r="AV53" s="3" t="s">
        <v>186</v>
      </c>
      <c r="AX53" s="3" t="s">
        <v>187</v>
      </c>
    </row>
    <row r="54" spans="1:50" ht="87.5" x14ac:dyDescent="0.25">
      <c r="A54" s="21" t="s">
        <v>188</v>
      </c>
      <c r="B54" s="21" t="s">
        <v>470</v>
      </c>
      <c r="C54" s="21" t="s">
        <v>11</v>
      </c>
      <c r="D54" s="4" t="s">
        <v>72</v>
      </c>
      <c r="E54" s="11">
        <v>77140000000</v>
      </c>
      <c r="F54" s="11">
        <v>9430000000</v>
      </c>
      <c r="G54" s="10">
        <v>1911</v>
      </c>
      <c r="H54" t="s">
        <v>1</v>
      </c>
      <c r="I54" t="s">
        <v>0</v>
      </c>
      <c r="J54" t="s">
        <v>0</v>
      </c>
      <c r="M54" s="3" t="s">
        <v>189</v>
      </c>
      <c r="O54" t="s">
        <v>0</v>
      </c>
      <c r="P54" t="s">
        <v>190</v>
      </c>
      <c r="Q54" s="12">
        <v>114640</v>
      </c>
      <c r="R54" s="12">
        <v>822616</v>
      </c>
      <c r="S54" s="12"/>
      <c r="T54" s="12">
        <f t="shared" si="10"/>
        <v>937256</v>
      </c>
      <c r="U54" s="12">
        <v>1158416</v>
      </c>
      <c r="V54" s="12">
        <f t="shared" si="11"/>
        <v>2095672</v>
      </c>
      <c r="W54" s="12">
        <v>124633</v>
      </c>
      <c r="X54" s="12">
        <v>963304</v>
      </c>
      <c r="Y54" s="12"/>
      <c r="Z54" s="12">
        <f t="shared" si="12"/>
        <v>1087937</v>
      </c>
      <c r="AA54" s="12">
        <f>329409+39017+458090+122800+397386</f>
        <v>1346702</v>
      </c>
      <c r="AB54" s="12">
        <f t="shared" si="13"/>
        <v>2434639</v>
      </c>
      <c r="AC54" s="12">
        <f>84000+40700</f>
        <v>124700</v>
      </c>
      <c r="AD54" s="12">
        <v>1077000</v>
      </c>
      <c r="AE54" s="12"/>
      <c r="AF54" s="12">
        <f t="shared" si="14"/>
        <v>1201700</v>
      </c>
      <c r="AG54" s="12" t="s">
        <v>401</v>
      </c>
      <c r="AH54" s="12" t="str">
        <f t="shared" si="15"/>
        <v/>
      </c>
      <c r="AI54" s="12">
        <f>91000+42300</f>
        <v>133300</v>
      </c>
      <c r="AJ54" s="12">
        <v>1156000</v>
      </c>
      <c r="AK54" s="12"/>
      <c r="AL54" s="12">
        <f t="shared" si="18"/>
        <v>1289300</v>
      </c>
      <c r="AM54" s="12" t="s">
        <v>401</v>
      </c>
      <c r="AN54" s="12" t="str">
        <f t="shared" si="16"/>
        <v/>
      </c>
      <c r="AO54" s="12">
        <v>354046</v>
      </c>
      <c r="AP54" s="12">
        <v>1433456</v>
      </c>
      <c r="AQ54" s="12"/>
      <c r="AR54" s="12">
        <f t="shared" si="19"/>
        <v>1787502</v>
      </c>
      <c r="AS54" s="12" t="s">
        <v>401</v>
      </c>
      <c r="AT54" s="12" t="str">
        <f t="shared" si="17"/>
        <v/>
      </c>
      <c r="AU54" t="s">
        <v>0</v>
      </c>
      <c r="AV54" s="3" t="s">
        <v>191</v>
      </c>
      <c r="AX54" s="3" t="s">
        <v>192</v>
      </c>
    </row>
    <row r="55" spans="1:50" ht="187.5" x14ac:dyDescent="0.25">
      <c r="A55" s="21" t="s">
        <v>193</v>
      </c>
      <c r="B55" s="21" t="s">
        <v>443</v>
      </c>
      <c r="C55" s="21" t="s">
        <v>11</v>
      </c>
      <c r="D55" s="32" t="s">
        <v>96</v>
      </c>
      <c r="E55" s="11">
        <v>71900000000</v>
      </c>
      <c r="F55" s="11">
        <v>21000000000</v>
      </c>
      <c r="G55" s="10">
        <v>1971</v>
      </c>
      <c r="H55" t="s">
        <v>1</v>
      </c>
      <c r="I55" t="s">
        <v>0</v>
      </c>
      <c r="J55" t="s">
        <v>0</v>
      </c>
      <c r="M55" s="3" t="s">
        <v>194</v>
      </c>
      <c r="N55" t="s">
        <v>0</v>
      </c>
      <c r="O55" t="s">
        <v>0</v>
      </c>
      <c r="P55">
        <v>2030</v>
      </c>
      <c r="Q55" s="12">
        <v>1489000</v>
      </c>
      <c r="R55" s="12">
        <v>1299000</v>
      </c>
      <c r="S55" s="12"/>
      <c r="T55" s="12">
        <f t="shared" si="10"/>
        <v>2788000</v>
      </c>
      <c r="U55" s="12">
        <v>20342000</v>
      </c>
      <c r="V55" s="12">
        <f t="shared" si="11"/>
        <v>23130000</v>
      </c>
      <c r="W55" s="12">
        <v>1458000</v>
      </c>
      <c r="X55" s="12">
        <v>1120000</v>
      </c>
      <c r="Y55" s="12"/>
      <c r="Z55" s="12">
        <f t="shared" si="12"/>
        <v>2578000</v>
      </c>
      <c r="AA55" s="12">
        <v>20979000</v>
      </c>
      <c r="AB55" s="12">
        <f t="shared" si="13"/>
        <v>23557000</v>
      </c>
      <c r="AC55" s="12">
        <v>1490000</v>
      </c>
      <c r="AD55" s="12">
        <v>971000</v>
      </c>
      <c r="AE55" s="12"/>
      <c r="AF55" s="12">
        <f t="shared" si="14"/>
        <v>2461000</v>
      </c>
      <c r="AG55" s="12">
        <v>12320000</v>
      </c>
      <c r="AH55" s="12">
        <f t="shared" si="15"/>
        <v>14781000</v>
      </c>
      <c r="AI55" s="12">
        <v>976000</v>
      </c>
      <c r="AJ55" s="12">
        <v>647000</v>
      </c>
      <c r="AK55" s="12"/>
      <c r="AL55" s="12">
        <f t="shared" si="18"/>
        <v>1623000</v>
      </c>
      <c r="AM55" s="12">
        <v>2740000</v>
      </c>
      <c r="AN55" s="12">
        <f t="shared" si="16"/>
        <v>4363000</v>
      </c>
      <c r="AO55" s="12">
        <v>1050000</v>
      </c>
      <c r="AP55" s="12">
        <v>950000</v>
      </c>
      <c r="AQ55" s="12"/>
      <c r="AR55" s="12">
        <f t="shared" si="19"/>
        <v>2000000</v>
      </c>
      <c r="AS55" s="12">
        <v>1562000</v>
      </c>
      <c r="AT55" s="12">
        <f t="shared" si="17"/>
        <v>3562000</v>
      </c>
      <c r="AU55" s="30" t="s">
        <v>1</v>
      </c>
      <c r="AV55" s="30" t="s">
        <v>195</v>
      </c>
      <c r="AX55" s="3" t="s">
        <v>196</v>
      </c>
    </row>
    <row r="56" spans="1:50" ht="150" x14ac:dyDescent="0.25">
      <c r="A56" s="21" t="s">
        <v>197</v>
      </c>
      <c r="B56" s="21" t="s">
        <v>481</v>
      </c>
      <c r="C56" s="21" t="s">
        <v>7</v>
      </c>
      <c r="D56" s="4" t="s">
        <v>69</v>
      </c>
      <c r="E56" s="5">
        <v>82060000000</v>
      </c>
      <c r="F56" s="5">
        <v>15120000000</v>
      </c>
      <c r="G56" s="9">
        <v>1944</v>
      </c>
      <c r="H56" s="5" t="s">
        <v>1</v>
      </c>
      <c r="I56" t="s">
        <v>0</v>
      </c>
      <c r="J56" t="s">
        <v>0</v>
      </c>
      <c r="M56" s="3" t="s">
        <v>198</v>
      </c>
      <c r="N56" t="s">
        <v>0</v>
      </c>
      <c r="O56" t="s">
        <v>1</v>
      </c>
      <c r="P56">
        <v>2050</v>
      </c>
      <c r="Q56" s="12">
        <v>415094</v>
      </c>
      <c r="R56" s="12">
        <v>518542</v>
      </c>
      <c r="S56" s="12"/>
      <c r="T56" s="12">
        <f t="shared" si="10"/>
        <v>933636</v>
      </c>
      <c r="U56" s="12">
        <v>20300054</v>
      </c>
      <c r="V56" s="12">
        <f t="shared" si="11"/>
        <v>21233690</v>
      </c>
      <c r="W56" s="12">
        <v>452407</v>
      </c>
      <c r="X56" s="12">
        <v>583361</v>
      </c>
      <c r="Y56" s="12"/>
      <c r="Z56" s="12">
        <f t="shared" si="12"/>
        <v>1035768</v>
      </c>
      <c r="AA56" s="12">
        <v>19612181</v>
      </c>
      <c r="AB56" s="12">
        <f t="shared" si="13"/>
        <v>20647949</v>
      </c>
      <c r="AC56" s="12">
        <v>474497</v>
      </c>
      <c r="AD56" s="12">
        <v>639323</v>
      </c>
      <c r="AE56" s="12"/>
      <c r="AF56" s="12">
        <f t="shared" si="14"/>
        <v>1113820</v>
      </c>
      <c r="AG56" s="12">
        <v>17988490</v>
      </c>
      <c r="AH56" s="12">
        <f t="shared" si="15"/>
        <v>19102310</v>
      </c>
      <c r="AI56" s="12">
        <v>463622</v>
      </c>
      <c r="AJ56" s="12">
        <v>694257</v>
      </c>
      <c r="AK56" s="12"/>
      <c r="AL56" s="12">
        <f t="shared" si="18"/>
        <v>1157879</v>
      </c>
      <c r="AM56" s="12">
        <v>284901</v>
      </c>
      <c r="AN56" s="12">
        <f t="shared" si="16"/>
        <v>1442780</v>
      </c>
      <c r="AO56" s="12">
        <v>449078</v>
      </c>
      <c r="AP56" s="12">
        <v>724819</v>
      </c>
      <c r="AQ56" s="12"/>
      <c r="AR56" s="12">
        <f t="shared" si="19"/>
        <v>1173897</v>
      </c>
      <c r="AS56" s="12">
        <v>353974</v>
      </c>
      <c r="AT56" s="12">
        <f t="shared" si="17"/>
        <v>1527871</v>
      </c>
      <c r="AU56" t="s">
        <v>1</v>
      </c>
      <c r="AV56" s="3" t="s">
        <v>199</v>
      </c>
      <c r="AW56" s="30" t="s">
        <v>429</v>
      </c>
      <c r="AX56" s="3" t="s">
        <v>200</v>
      </c>
    </row>
    <row r="57" spans="1:50" ht="100" x14ac:dyDescent="0.25">
      <c r="A57" s="21" t="s">
        <v>201</v>
      </c>
      <c r="B57" s="21" t="s">
        <v>472</v>
      </c>
      <c r="C57" s="21" t="s">
        <v>6</v>
      </c>
      <c r="D57" s="4" t="s">
        <v>103</v>
      </c>
      <c r="E57" s="5">
        <v>115600000000</v>
      </c>
      <c r="F57" s="5">
        <v>36430000000</v>
      </c>
      <c r="G57" s="9">
        <v>1940</v>
      </c>
      <c r="H57" s="5" t="s">
        <v>1</v>
      </c>
      <c r="I57" t="s">
        <v>0</v>
      </c>
      <c r="J57" t="s">
        <v>0</v>
      </c>
      <c r="N57" t="s">
        <v>1</v>
      </c>
      <c r="O57" t="s">
        <v>1</v>
      </c>
      <c r="P57">
        <v>2020</v>
      </c>
      <c r="Q57" s="12">
        <v>81655</v>
      </c>
      <c r="R57" s="12">
        <v>556142</v>
      </c>
      <c r="S57" s="12"/>
      <c r="T57" s="12">
        <f t="shared" si="10"/>
        <v>637797</v>
      </c>
      <c r="U57" s="12">
        <v>181004</v>
      </c>
      <c r="V57" s="12">
        <f t="shared" si="11"/>
        <v>818801</v>
      </c>
      <c r="W57" s="12">
        <v>83101</v>
      </c>
      <c r="X57" s="12">
        <v>572067</v>
      </c>
      <c r="Y57" s="12"/>
      <c r="Z57" s="12">
        <f t="shared" si="12"/>
        <v>655168</v>
      </c>
      <c r="AA57" s="12">
        <v>176356</v>
      </c>
      <c r="AB57" s="12">
        <f t="shared" si="13"/>
        <v>831524</v>
      </c>
      <c r="AC57" s="12">
        <v>78229</v>
      </c>
      <c r="AD57" s="12">
        <v>596843</v>
      </c>
      <c r="AE57" s="12"/>
      <c r="AF57" s="12">
        <f t="shared" si="14"/>
        <v>675072</v>
      </c>
      <c r="AG57" s="12">
        <v>187020</v>
      </c>
      <c r="AH57" s="12">
        <f t="shared" si="15"/>
        <v>862092</v>
      </c>
      <c r="AI57" s="12">
        <v>79556</v>
      </c>
      <c r="AJ57" s="12">
        <v>780710</v>
      </c>
      <c r="AK57" s="12"/>
      <c r="AL57" s="12">
        <f t="shared" si="18"/>
        <v>860266</v>
      </c>
      <c r="AM57" s="12">
        <v>130430</v>
      </c>
      <c r="AN57" s="12">
        <f t="shared" si="16"/>
        <v>990696</v>
      </c>
      <c r="AO57" s="12">
        <v>82525</v>
      </c>
      <c r="AP57" s="12">
        <v>844403</v>
      </c>
      <c r="AQ57" s="12"/>
      <c r="AR57" s="12">
        <f t="shared" si="19"/>
        <v>926928</v>
      </c>
      <c r="AS57" s="12">
        <v>138878</v>
      </c>
      <c r="AT57" s="12">
        <f t="shared" si="17"/>
        <v>1065806</v>
      </c>
      <c r="AU57" s="30" t="s">
        <v>1</v>
      </c>
      <c r="AV57" s="14" t="s">
        <v>202</v>
      </c>
      <c r="AW57" s="4" t="s">
        <v>430</v>
      </c>
      <c r="AX57" s="3" t="s">
        <v>203</v>
      </c>
    </row>
    <row r="58" spans="1:50" ht="37.5" x14ac:dyDescent="0.25">
      <c r="A58" s="21" t="s">
        <v>204</v>
      </c>
      <c r="B58" s="21" t="s">
        <v>399</v>
      </c>
      <c r="C58" s="32" t="s">
        <v>5</v>
      </c>
      <c r="D58" s="4" t="s">
        <v>126</v>
      </c>
      <c r="E58" s="5">
        <v>13209000000</v>
      </c>
      <c r="F58" s="5">
        <v>2190000000</v>
      </c>
      <c r="G58" s="9">
        <v>2011</v>
      </c>
      <c r="H58" s="5" t="s">
        <v>1</v>
      </c>
      <c r="I58" t="s">
        <v>0</v>
      </c>
      <c r="J58" t="s">
        <v>0</v>
      </c>
      <c r="N58" t="s">
        <v>1</v>
      </c>
      <c r="O58" t="s">
        <v>0</v>
      </c>
      <c r="Q58" s="12" t="s">
        <v>401</v>
      </c>
      <c r="R58" s="12" t="s">
        <v>401</v>
      </c>
      <c r="S58" s="12"/>
      <c r="T58" s="12" t="str">
        <f t="shared" si="10"/>
        <v/>
      </c>
      <c r="U58" s="12" t="s">
        <v>401</v>
      </c>
      <c r="V58" s="12" t="str">
        <f t="shared" si="11"/>
        <v/>
      </c>
      <c r="W58" s="12" t="s">
        <v>401</v>
      </c>
      <c r="X58" s="12" t="s">
        <v>401</v>
      </c>
      <c r="Y58" s="12"/>
      <c r="Z58" s="12" t="str">
        <f t="shared" si="12"/>
        <v/>
      </c>
      <c r="AA58" s="12" t="s">
        <v>401</v>
      </c>
      <c r="AB58" s="12" t="str">
        <f t="shared" si="13"/>
        <v/>
      </c>
      <c r="AC58" s="12" t="s">
        <v>401</v>
      </c>
      <c r="AD58" s="12" t="s">
        <v>401</v>
      </c>
      <c r="AE58" s="12"/>
      <c r="AF58" s="12" t="str">
        <f t="shared" si="14"/>
        <v/>
      </c>
      <c r="AG58" s="12" t="s">
        <v>401</v>
      </c>
      <c r="AH58" s="12" t="str">
        <f t="shared" si="15"/>
        <v/>
      </c>
      <c r="AI58" s="12" t="s">
        <v>401</v>
      </c>
      <c r="AJ58" s="12" t="s">
        <v>401</v>
      </c>
      <c r="AK58" s="12"/>
      <c r="AL58" s="12" t="str">
        <f t="shared" si="18"/>
        <v/>
      </c>
      <c r="AM58" s="12" t="s">
        <v>401</v>
      </c>
      <c r="AN58" s="12" t="str">
        <f t="shared" si="16"/>
        <v/>
      </c>
      <c r="AO58" s="12" t="s">
        <v>401</v>
      </c>
      <c r="AP58" s="12" t="s">
        <v>401</v>
      </c>
      <c r="AQ58" s="12"/>
      <c r="AR58" s="12" t="str">
        <f t="shared" si="19"/>
        <v/>
      </c>
      <c r="AS58" s="12" t="s">
        <v>401</v>
      </c>
      <c r="AT58" s="12" t="str">
        <f t="shared" si="17"/>
        <v/>
      </c>
      <c r="AU58" s="19" t="s">
        <v>0</v>
      </c>
      <c r="AV58" s="3" t="s">
        <v>205</v>
      </c>
      <c r="AW58" s="3" t="s">
        <v>206</v>
      </c>
      <c r="AX58" s="3" t="s">
        <v>207</v>
      </c>
    </row>
    <row r="59" spans="1:50" ht="125" x14ac:dyDescent="0.25">
      <c r="A59" s="21" t="s">
        <v>208</v>
      </c>
      <c r="B59" s="21" t="s">
        <v>450</v>
      </c>
      <c r="C59" s="21" t="s">
        <v>4</v>
      </c>
      <c r="D59" s="4" t="s">
        <v>133</v>
      </c>
      <c r="E59" s="5">
        <v>24970000000</v>
      </c>
      <c r="F59" s="5">
        <v>1935000000</v>
      </c>
      <c r="G59" s="9">
        <v>2001</v>
      </c>
      <c r="H59" s="5" t="s">
        <v>1</v>
      </c>
      <c r="I59" t="s">
        <v>0</v>
      </c>
      <c r="J59" t="s">
        <v>1</v>
      </c>
      <c r="Q59" s="12">
        <v>649256</v>
      </c>
      <c r="R59" s="12">
        <v>773066</v>
      </c>
      <c r="S59" s="12"/>
      <c r="T59" s="12">
        <f t="shared" si="10"/>
        <v>1422322</v>
      </c>
      <c r="U59" s="12">
        <f>18282750.168+397603.648+717228.775+1366415.404+52106.122+18988.075+105896.625+1307392.304+1029151.785</f>
        <v>23277532.905999999</v>
      </c>
      <c r="V59" s="12">
        <f t="shared" si="11"/>
        <v>24699854.905999999</v>
      </c>
      <c r="W59" s="12">
        <v>649256</v>
      </c>
      <c r="X59" s="12">
        <v>773066</v>
      </c>
      <c r="Y59" s="12"/>
      <c r="Z59" s="12">
        <f t="shared" si="12"/>
        <v>1422322</v>
      </c>
      <c r="AA59" s="12">
        <f>18010670.91+436667.62+685766.14+1444101+50550.66+19031.77+108758.7+1150017.93+1017158.52</f>
        <v>22922723.25</v>
      </c>
      <c r="AB59" s="12">
        <f t="shared" si="13"/>
        <v>24345045.25</v>
      </c>
      <c r="AC59" s="12">
        <v>709692</v>
      </c>
      <c r="AD59" s="12">
        <v>765557</v>
      </c>
      <c r="AE59" s="12"/>
      <c r="AF59" s="12">
        <f t="shared" si="14"/>
        <v>1475249</v>
      </c>
      <c r="AG59" s="12">
        <f>16751871.94+739999.79+1352970.13+191539.38+49063.7+18587.51+189896.51+1203705.71+970000+51440.68</f>
        <v>21519075.350000001</v>
      </c>
      <c r="AH59" s="12">
        <f t="shared" si="15"/>
        <v>22994324.350000001</v>
      </c>
      <c r="AI59" s="12">
        <v>742200</v>
      </c>
      <c r="AJ59" s="12">
        <v>800400</v>
      </c>
      <c r="AK59" s="12"/>
      <c r="AL59" s="12">
        <f t="shared" si="18"/>
        <v>1542600</v>
      </c>
      <c r="AM59" s="12">
        <f>21674146+732601+1402638+855051+392623+19182+188691+1236974+63352</f>
        <v>26565258</v>
      </c>
      <c r="AN59" s="12">
        <f t="shared" si="16"/>
        <v>28107858</v>
      </c>
      <c r="AO59" s="12">
        <v>769761</v>
      </c>
      <c r="AP59" s="12">
        <v>804156</v>
      </c>
      <c r="AQ59" s="12"/>
      <c r="AR59" s="12">
        <f t="shared" si="19"/>
        <v>1573917</v>
      </c>
      <c r="AS59" s="12"/>
      <c r="AT59" s="12">
        <f t="shared" si="17"/>
        <v>1573917</v>
      </c>
      <c r="AV59" s="3" t="s">
        <v>209</v>
      </c>
      <c r="AW59" s="30" t="s">
        <v>431</v>
      </c>
      <c r="AX59" s="3" t="s">
        <v>210</v>
      </c>
    </row>
    <row r="60" spans="1:50" ht="275" x14ac:dyDescent="0.25">
      <c r="A60" s="21" t="s">
        <v>211</v>
      </c>
      <c r="B60" s="21" t="s">
        <v>471</v>
      </c>
      <c r="C60" s="21" t="s">
        <v>8</v>
      </c>
      <c r="D60" s="4" t="s">
        <v>112</v>
      </c>
      <c r="E60" s="11">
        <v>59810000000</v>
      </c>
      <c r="F60" s="11">
        <v>6230000000</v>
      </c>
      <c r="G60" s="10" t="s">
        <v>212</v>
      </c>
      <c r="H60" t="s">
        <v>1</v>
      </c>
      <c r="I60" t="s">
        <v>0</v>
      </c>
      <c r="J60" t="s">
        <v>0</v>
      </c>
      <c r="M60" s="3" t="s">
        <v>213</v>
      </c>
      <c r="O60" t="s">
        <v>0</v>
      </c>
      <c r="Q60" s="12">
        <v>305362</v>
      </c>
      <c r="R60" s="12">
        <v>466073</v>
      </c>
      <c r="S60" s="12"/>
      <c r="T60" s="12">
        <f t="shared" si="10"/>
        <v>771435</v>
      </c>
      <c r="U60" s="12">
        <v>30584500</v>
      </c>
      <c r="V60" s="12">
        <f t="shared" si="11"/>
        <v>31355935</v>
      </c>
      <c r="W60" s="12">
        <v>291782</v>
      </c>
      <c r="X60" s="12">
        <v>527766</v>
      </c>
      <c r="Y60" s="12"/>
      <c r="Z60" s="12">
        <f t="shared" si="12"/>
        <v>819548</v>
      </c>
      <c r="AA60" s="12">
        <v>30551000</v>
      </c>
      <c r="AB60" s="12">
        <f t="shared" si="13"/>
        <v>31370548</v>
      </c>
      <c r="AC60" s="12">
        <v>291523</v>
      </c>
      <c r="AD60" s="12">
        <v>552851</v>
      </c>
      <c r="AE60" s="12"/>
      <c r="AF60" s="12">
        <f t="shared" si="14"/>
        <v>844374</v>
      </c>
      <c r="AG60" s="12">
        <v>30605000</v>
      </c>
      <c r="AH60" s="12">
        <f t="shared" si="15"/>
        <v>31449374</v>
      </c>
      <c r="AI60" s="12">
        <v>302679</v>
      </c>
      <c r="AJ60" s="12">
        <f>804245-302679</f>
        <v>501566</v>
      </c>
      <c r="AK60" s="12"/>
      <c r="AL60" s="12">
        <f t="shared" si="18"/>
        <v>804245</v>
      </c>
      <c r="AM60" s="12"/>
      <c r="AN60" s="12">
        <f t="shared" si="16"/>
        <v>804245</v>
      </c>
      <c r="AO60" s="12" t="s">
        <v>0</v>
      </c>
      <c r="AP60" s="12" t="s">
        <v>0</v>
      </c>
      <c r="AQ60" s="12" t="s">
        <v>0</v>
      </c>
      <c r="AR60" s="12" t="str">
        <f t="shared" si="19"/>
        <v/>
      </c>
      <c r="AS60" s="12" t="s">
        <v>0</v>
      </c>
      <c r="AT60" s="12" t="str">
        <f t="shared" si="17"/>
        <v/>
      </c>
      <c r="AU60" t="s">
        <v>0</v>
      </c>
      <c r="AV60" s="18" t="s">
        <v>214</v>
      </c>
      <c r="AW60" s="3" t="s">
        <v>215</v>
      </c>
      <c r="AX60" s="3" t="s">
        <v>216</v>
      </c>
    </row>
    <row r="61" spans="1:50" ht="125" x14ac:dyDescent="0.25">
      <c r="A61" s="21" t="s">
        <v>217</v>
      </c>
      <c r="B61" s="21" t="s">
        <v>476</v>
      </c>
      <c r="C61" s="21" t="s">
        <v>3</v>
      </c>
      <c r="D61" s="4" t="s">
        <v>85</v>
      </c>
      <c r="E61" s="11">
        <v>71300000000</v>
      </c>
      <c r="F61" s="11">
        <v>2307000000</v>
      </c>
      <c r="G61" s="10">
        <v>1961</v>
      </c>
      <c r="H61" t="s">
        <v>1</v>
      </c>
      <c r="I61" t="s">
        <v>0</v>
      </c>
      <c r="J61" t="s">
        <v>0</v>
      </c>
      <c r="M61" s="3" t="s">
        <v>218</v>
      </c>
      <c r="O61" t="s">
        <v>0</v>
      </c>
      <c r="Q61" s="12">
        <v>484737</v>
      </c>
      <c r="R61" s="12">
        <v>1623768</v>
      </c>
      <c r="S61" s="12"/>
      <c r="T61" s="12">
        <f t="shared" si="10"/>
        <v>2108505</v>
      </c>
      <c r="U61" s="12">
        <f>426134+10700+123208225.78</f>
        <v>123645059.78</v>
      </c>
      <c r="V61" s="12">
        <f t="shared" si="11"/>
        <v>125753564.78</v>
      </c>
      <c r="W61" s="12">
        <v>473689</v>
      </c>
      <c r="X61" s="12">
        <v>1932514</v>
      </c>
      <c r="Y61" s="12"/>
      <c r="Z61" s="12">
        <f t="shared" si="12"/>
        <v>2406203</v>
      </c>
      <c r="AA61" s="12">
        <f>463300+342179673</f>
        <v>342642973</v>
      </c>
      <c r="AB61" s="12">
        <f t="shared" si="13"/>
        <v>345049176</v>
      </c>
      <c r="AC61" s="12">
        <v>400000</v>
      </c>
      <c r="AD61" s="12">
        <v>2022000</v>
      </c>
      <c r="AE61" s="12"/>
      <c r="AF61" s="12">
        <f t="shared" si="14"/>
        <v>2422000</v>
      </c>
      <c r="AG61" s="12" t="s">
        <v>401</v>
      </c>
      <c r="AH61" s="12" t="str">
        <f t="shared" si="15"/>
        <v/>
      </c>
      <c r="AI61" s="12">
        <v>354000</v>
      </c>
      <c r="AJ61" s="12">
        <v>2054000</v>
      </c>
      <c r="AK61" s="12"/>
      <c r="AL61" s="12">
        <f t="shared" si="18"/>
        <v>2408000</v>
      </c>
      <c r="AM61" s="12" t="s">
        <v>401</v>
      </c>
      <c r="AN61" s="12" t="str">
        <f t="shared" si="16"/>
        <v/>
      </c>
      <c r="AO61" s="12">
        <v>368000</v>
      </c>
      <c r="AP61" s="12">
        <v>2322000</v>
      </c>
      <c r="AQ61" s="12"/>
      <c r="AR61" s="12">
        <f t="shared" si="19"/>
        <v>2690000</v>
      </c>
      <c r="AS61" s="12" t="s">
        <v>401</v>
      </c>
      <c r="AT61" s="12" t="str">
        <f t="shared" si="17"/>
        <v/>
      </c>
      <c r="AV61" s="3" t="s">
        <v>219</v>
      </c>
      <c r="AX61" s="3" t="s">
        <v>220</v>
      </c>
    </row>
    <row r="62" spans="1:50" ht="75" x14ac:dyDescent="0.25">
      <c r="A62" s="21" t="s">
        <v>221</v>
      </c>
      <c r="B62" s="21" t="s">
        <v>467</v>
      </c>
      <c r="C62" s="32" t="s">
        <v>6</v>
      </c>
      <c r="D62" s="4" t="s">
        <v>89</v>
      </c>
      <c r="E62" s="5">
        <v>16883000000</v>
      </c>
      <c r="F62" s="5">
        <v>8120000000</v>
      </c>
      <c r="G62" s="9">
        <v>2006</v>
      </c>
      <c r="H62" s="5" t="s">
        <v>1</v>
      </c>
      <c r="I62" t="s">
        <v>0</v>
      </c>
      <c r="J62" t="s">
        <v>1</v>
      </c>
      <c r="M62" s="3" t="s">
        <v>222</v>
      </c>
      <c r="O62" t="s">
        <v>1</v>
      </c>
      <c r="P62">
        <v>2020</v>
      </c>
      <c r="Q62" s="12">
        <v>4758.3999999999996</v>
      </c>
      <c r="R62" s="12">
        <v>162</v>
      </c>
      <c r="S62" s="12"/>
      <c r="T62" s="12">
        <f t="shared" si="10"/>
        <v>4920.3999999999996</v>
      </c>
      <c r="U62" s="12">
        <f>396269.96+8451.87+1288.49+53738+43263.87</f>
        <v>503012.19</v>
      </c>
      <c r="V62" s="12">
        <f t="shared" si="11"/>
        <v>507932.59</v>
      </c>
      <c r="W62" s="12">
        <f>57687-X62</f>
        <v>4828</v>
      </c>
      <c r="X62" s="12">
        <v>52859</v>
      </c>
      <c r="Y62" s="12"/>
      <c r="Z62" s="12">
        <f t="shared" si="12"/>
        <v>57687</v>
      </c>
      <c r="AA62" s="12">
        <v>495962</v>
      </c>
      <c r="AB62" s="12">
        <f t="shared" si="13"/>
        <v>553649</v>
      </c>
      <c r="AC62" s="12">
        <f>71504-AD62</f>
        <v>6587</v>
      </c>
      <c r="AD62" s="12">
        <v>64917</v>
      </c>
      <c r="AE62" s="12"/>
      <c r="AF62" s="12">
        <f t="shared" si="14"/>
        <v>71504</v>
      </c>
      <c r="AG62" s="12">
        <v>471614</v>
      </c>
      <c r="AH62" s="12">
        <f t="shared" si="15"/>
        <v>543118</v>
      </c>
      <c r="AI62" s="12">
        <f>99214-AJ62</f>
        <v>4486</v>
      </c>
      <c r="AJ62" s="12">
        <v>94728</v>
      </c>
      <c r="AK62" s="12"/>
      <c r="AL62" s="12">
        <f t="shared" si="18"/>
        <v>99214</v>
      </c>
      <c r="AM62" s="12">
        <v>849277</v>
      </c>
      <c r="AN62" s="12">
        <f t="shared" si="16"/>
        <v>948491</v>
      </c>
      <c r="AO62" s="12" t="s">
        <v>401</v>
      </c>
      <c r="AP62" s="12" t="s">
        <v>401</v>
      </c>
      <c r="AQ62" s="12"/>
      <c r="AR62" s="12" t="str">
        <f t="shared" si="19"/>
        <v/>
      </c>
      <c r="AS62" s="12" t="s">
        <v>401</v>
      </c>
      <c r="AT62" s="12" t="str">
        <f t="shared" si="17"/>
        <v/>
      </c>
      <c r="AV62" s="3" t="s">
        <v>223</v>
      </c>
      <c r="AW62" s="3" t="s">
        <v>224</v>
      </c>
      <c r="AX62" s="3" t="s">
        <v>225</v>
      </c>
    </row>
    <row r="63" spans="1:50" ht="125" x14ac:dyDescent="0.25">
      <c r="A63" s="21" t="s">
        <v>226</v>
      </c>
      <c r="B63" s="21" t="s">
        <v>473</v>
      </c>
      <c r="C63" s="32" t="s">
        <v>3</v>
      </c>
      <c r="D63" s="4" t="s">
        <v>133</v>
      </c>
      <c r="E63" s="11">
        <v>21076000000</v>
      </c>
      <c r="F63" s="11">
        <v>6025000000</v>
      </c>
      <c r="G63" s="10">
        <v>1965</v>
      </c>
      <c r="H63" t="s">
        <v>1</v>
      </c>
      <c r="I63" t="s">
        <v>0</v>
      </c>
      <c r="J63" t="s">
        <v>1</v>
      </c>
      <c r="M63" s="3" t="s">
        <v>227</v>
      </c>
      <c r="O63" t="s">
        <v>0</v>
      </c>
      <c r="Q63" s="12">
        <v>107034.65</v>
      </c>
      <c r="R63" s="12">
        <v>492114.18</v>
      </c>
      <c r="S63" s="12"/>
      <c r="T63" s="12">
        <f t="shared" si="10"/>
        <v>599148.82999999996</v>
      </c>
      <c r="U63" s="12">
        <f>41115851.55+2358793.15+1947637.85+1535857.79+5997501.76</f>
        <v>52955642.099999994</v>
      </c>
      <c r="V63" s="12">
        <f t="shared" si="11"/>
        <v>53554790.929999992</v>
      </c>
      <c r="W63" s="12">
        <v>111499.18</v>
      </c>
      <c r="X63" s="12">
        <v>491052.97</v>
      </c>
      <c r="Y63" s="12"/>
      <c r="Z63" s="12">
        <f t="shared" si="12"/>
        <v>602552.14999999991</v>
      </c>
      <c r="AA63" s="12">
        <f>31745364+1422677+745592+1487635+17507+115459+756660</f>
        <v>36290894</v>
      </c>
      <c r="AB63" s="12">
        <f t="shared" si="13"/>
        <v>36893446.149999999</v>
      </c>
      <c r="AC63" s="12">
        <f>0.151*1000000</f>
        <v>151000</v>
      </c>
      <c r="AD63" s="12">
        <f>0.764*1000000</f>
        <v>764000</v>
      </c>
      <c r="AE63" s="12"/>
      <c r="AF63" s="12">
        <f t="shared" si="14"/>
        <v>915000</v>
      </c>
      <c r="AG63" s="12"/>
      <c r="AH63" s="12">
        <f t="shared" si="15"/>
        <v>915000</v>
      </c>
      <c r="AI63" s="12">
        <f>0.182*1000000</f>
        <v>182000</v>
      </c>
      <c r="AJ63" s="12">
        <f>1.78*1000000</f>
        <v>1780000</v>
      </c>
      <c r="AK63" s="12"/>
      <c r="AL63" s="12">
        <f t="shared" si="18"/>
        <v>1962000</v>
      </c>
      <c r="AM63" s="12">
        <f>28983578+850284+6843336</f>
        <v>36677198</v>
      </c>
      <c r="AN63" s="12">
        <f t="shared" si="16"/>
        <v>38639198</v>
      </c>
      <c r="AO63" s="12">
        <f>0.178*1000000</f>
        <v>178000</v>
      </c>
      <c r="AP63" s="12">
        <f>2.03*1000000</f>
        <v>2029999.9999999998</v>
      </c>
      <c r="AQ63" s="12"/>
      <c r="AR63" s="12">
        <f t="shared" si="19"/>
        <v>2208000</v>
      </c>
      <c r="AS63" s="12" t="s">
        <v>401</v>
      </c>
      <c r="AT63" s="12" t="str">
        <f t="shared" si="17"/>
        <v/>
      </c>
      <c r="AV63" s="3" t="s">
        <v>228</v>
      </c>
      <c r="AW63" s="3" t="s">
        <v>229</v>
      </c>
      <c r="AX63" s="3" t="s">
        <v>230</v>
      </c>
    </row>
    <row r="64" spans="1:50" ht="100" x14ac:dyDescent="0.25">
      <c r="A64" s="21" t="s">
        <v>231</v>
      </c>
      <c r="B64" s="21" t="s">
        <v>231</v>
      </c>
      <c r="C64" s="32" t="s">
        <v>7</v>
      </c>
      <c r="D64" s="4" t="s">
        <v>66</v>
      </c>
      <c r="E64" s="11">
        <v>30557000000</v>
      </c>
      <c r="F64" s="11">
        <v>4631000000</v>
      </c>
      <c r="G64" s="10">
        <v>1982</v>
      </c>
      <c r="H64" t="s">
        <v>1</v>
      </c>
      <c r="I64" t="s">
        <v>0</v>
      </c>
      <c r="J64" t="s">
        <v>0</v>
      </c>
      <c r="M64" s="3" t="s">
        <v>232</v>
      </c>
      <c r="O64" t="s">
        <v>0</v>
      </c>
      <c r="Q64" s="12">
        <v>62931</v>
      </c>
      <c r="R64" s="12">
        <v>225841</v>
      </c>
      <c r="S64" s="12"/>
      <c r="T64" s="12">
        <f t="shared" si="10"/>
        <v>288772</v>
      </c>
      <c r="U64" s="12">
        <f>235863+42619</f>
        <v>278482</v>
      </c>
      <c r="V64" s="12">
        <f t="shared" si="11"/>
        <v>567254</v>
      </c>
      <c r="W64" s="12">
        <v>65312</v>
      </c>
      <c r="X64" s="12">
        <v>233364</v>
      </c>
      <c r="Y64" s="12"/>
      <c r="Z64" s="12">
        <f t="shared" si="12"/>
        <v>298676</v>
      </c>
      <c r="AA64" s="12">
        <f>203421+35371</f>
        <v>238792</v>
      </c>
      <c r="AB64" s="12">
        <f t="shared" si="13"/>
        <v>537468</v>
      </c>
      <c r="AC64" s="12">
        <v>74992</v>
      </c>
      <c r="AD64" s="12">
        <v>269008</v>
      </c>
      <c r="AE64" s="12"/>
      <c r="AF64" s="12">
        <f t="shared" si="14"/>
        <v>344000</v>
      </c>
      <c r="AG64" s="12"/>
      <c r="AH64" s="12">
        <f t="shared" si="15"/>
        <v>344000</v>
      </c>
      <c r="AI64" s="12" t="s">
        <v>0</v>
      </c>
      <c r="AJ64" s="12" t="s">
        <v>0</v>
      </c>
      <c r="AK64" s="12" t="s">
        <v>0</v>
      </c>
      <c r="AL64" s="12" t="str">
        <f t="shared" si="18"/>
        <v/>
      </c>
      <c r="AM64" s="12" t="s">
        <v>0</v>
      </c>
      <c r="AN64" s="12" t="str">
        <f t="shared" si="16"/>
        <v/>
      </c>
      <c r="AO64" s="12" t="s">
        <v>0</v>
      </c>
      <c r="AP64" s="12" t="s">
        <v>0</v>
      </c>
      <c r="AQ64" s="12" t="s">
        <v>0</v>
      </c>
      <c r="AR64" s="12" t="str">
        <f t="shared" si="19"/>
        <v/>
      </c>
      <c r="AS64" s="12" t="s">
        <v>0</v>
      </c>
      <c r="AT64" s="12" t="str">
        <f t="shared" si="17"/>
        <v/>
      </c>
      <c r="AV64" s="3" t="s">
        <v>233</v>
      </c>
      <c r="AW64" s="4" t="s">
        <v>430</v>
      </c>
      <c r="AX64" s="3" t="s">
        <v>234</v>
      </c>
    </row>
    <row r="65" spans="1:50" ht="87.5" x14ac:dyDescent="0.25">
      <c r="A65" s="21" t="s">
        <v>235</v>
      </c>
      <c r="B65" s="21" t="s">
        <v>469</v>
      </c>
      <c r="C65" s="32" t="s">
        <v>7</v>
      </c>
      <c r="D65" s="4" t="s">
        <v>69</v>
      </c>
      <c r="E65" s="5">
        <v>42290000000</v>
      </c>
      <c r="F65" s="5">
        <v>6220000000</v>
      </c>
      <c r="G65" s="9"/>
      <c r="H65" s="5" t="s">
        <v>1</v>
      </c>
      <c r="I65" t="s">
        <v>0</v>
      </c>
      <c r="J65" t="s">
        <v>0</v>
      </c>
      <c r="M65" s="3" t="s">
        <v>236</v>
      </c>
      <c r="O65" t="s">
        <v>0</v>
      </c>
      <c r="P65" s="3" t="s">
        <v>237</v>
      </c>
      <c r="Q65" s="12">
        <v>755340</v>
      </c>
      <c r="R65" s="12">
        <v>316630</v>
      </c>
      <c r="S65" s="12"/>
      <c r="T65" s="12">
        <f t="shared" si="10"/>
        <v>1071970</v>
      </c>
      <c r="U65" s="12">
        <f>5155100+339900+240700+271200+19500+340400+272000+133200+142100+51500</f>
        <v>6965600</v>
      </c>
      <c r="V65" s="12">
        <f t="shared" si="11"/>
        <v>8037570</v>
      </c>
      <c r="W65" s="12">
        <v>783500</v>
      </c>
      <c r="X65" s="12">
        <v>389700</v>
      </c>
      <c r="Y65" s="12"/>
      <c r="Z65" s="12">
        <f t="shared" si="12"/>
        <v>1173200</v>
      </c>
      <c r="AA65" s="12">
        <v>6231700</v>
      </c>
      <c r="AB65" s="12">
        <f t="shared" si="13"/>
        <v>7404900</v>
      </c>
      <c r="AC65" s="12">
        <v>801600</v>
      </c>
      <c r="AD65" s="12">
        <v>462500</v>
      </c>
      <c r="AE65" s="12"/>
      <c r="AF65" s="12">
        <f t="shared" si="14"/>
        <v>1264100</v>
      </c>
      <c r="AG65" s="12">
        <f>4997600+192900+262100+267100+16000+218200+262200+121900+205800+42200</f>
        <v>6586000</v>
      </c>
      <c r="AH65" s="12">
        <f t="shared" si="15"/>
        <v>7850100</v>
      </c>
      <c r="AI65" s="12">
        <v>847400</v>
      </c>
      <c r="AJ65" s="12">
        <v>562200</v>
      </c>
      <c r="AK65" s="12"/>
      <c r="AL65" s="12">
        <f t="shared" si="18"/>
        <v>1409600</v>
      </c>
      <c r="AM65" s="12">
        <f>6204000+224000+304500+255500+16800+265400+301500+118000+248400+37000</f>
        <v>7975100</v>
      </c>
      <c r="AN65" s="12">
        <f t="shared" si="16"/>
        <v>9384700</v>
      </c>
      <c r="AO65" s="12">
        <v>865100</v>
      </c>
      <c r="AP65" s="12">
        <v>635900</v>
      </c>
      <c r="AQ65" s="12"/>
      <c r="AR65" s="12">
        <f t="shared" si="19"/>
        <v>1501000</v>
      </c>
      <c r="AS65" s="12" t="s">
        <v>401</v>
      </c>
      <c r="AT65" s="12" t="str">
        <f t="shared" si="17"/>
        <v/>
      </c>
      <c r="AV65" s="3" t="s">
        <v>238</v>
      </c>
      <c r="AX65" s="3" t="s">
        <v>239</v>
      </c>
    </row>
    <row r="66" spans="1:50" ht="112.5" x14ac:dyDescent="0.25">
      <c r="A66" s="21" t="s">
        <v>240</v>
      </c>
      <c r="B66" s="21" t="s">
        <v>465</v>
      </c>
      <c r="C66" s="32" t="s">
        <v>6</v>
      </c>
      <c r="D66" s="4" t="s">
        <v>76</v>
      </c>
      <c r="E66" s="5">
        <v>67941000000</v>
      </c>
      <c r="F66" s="5">
        <v>5070000000</v>
      </c>
      <c r="G66" s="9">
        <v>2000</v>
      </c>
      <c r="H66" s="5" t="s">
        <v>1</v>
      </c>
      <c r="I66" t="s">
        <v>1</v>
      </c>
      <c r="J66" t="s">
        <v>0</v>
      </c>
      <c r="K66">
        <v>2016</v>
      </c>
      <c r="L66">
        <v>2015</v>
      </c>
      <c r="N66" t="s">
        <v>1</v>
      </c>
      <c r="O66" t="s">
        <v>0</v>
      </c>
      <c r="Q66" s="12">
        <v>13613</v>
      </c>
      <c r="R66" s="12">
        <v>0</v>
      </c>
      <c r="S66" s="12"/>
      <c r="T66" s="12">
        <f t="shared" ref="T66:T70" si="20">IFERROR(Q66+R66-S66,"")</f>
        <v>13613</v>
      </c>
      <c r="U66" s="12">
        <v>25959</v>
      </c>
      <c r="V66" s="12">
        <f t="shared" ref="V66:V97" si="21">IFERROR(T66+U66,"")</f>
        <v>39572</v>
      </c>
      <c r="W66" s="12">
        <v>16016</v>
      </c>
      <c r="X66" s="12">
        <v>0</v>
      </c>
      <c r="Y66" s="12"/>
      <c r="Z66" s="12">
        <f t="shared" ref="Z66:Z70" si="22">IFERROR(W66+X66-Y66,"")</f>
        <v>16016</v>
      </c>
      <c r="AA66" s="12">
        <v>26381</v>
      </c>
      <c r="AB66" s="12">
        <f t="shared" ref="AB66:AB97" si="23">IFERROR(Z66+AA66,"")</f>
        <v>42397</v>
      </c>
      <c r="AC66" s="12">
        <v>15722</v>
      </c>
      <c r="AD66" s="12">
        <v>0</v>
      </c>
      <c r="AE66" s="12"/>
      <c r="AF66" s="12">
        <f t="shared" ref="AF66:AF70" si="24">IFERROR(AC66+AD66-AE66,"")</f>
        <v>15722</v>
      </c>
      <c r="AG66" s="12">
        <v>34019</v>
      </c>
      <c r="AH66" s="12">
        <f t="shared" ref="AH66:AH97" si="25">IFERROR(AF66+AG66,"")</f>
        <v>49741</v>
      </c>
      <c r="AI66" s="12">
        <v>17555</v>
      </c>
      <c r="AJ66" s="12">
        <v>0</v>
      </c>
      <c r="AK66" s="12"/>
      <c r="AL66" s="12">
        <f t="shared" si="18"/>
        <v>17555</v>
      </c>
      <c r="AM66" s="12">
        <v>34019</v>
      </c>
      <c r="AN66" s="12">
        <f t="shared" ref="AN66:AN97" si="26">IFERROR(AL66+AM66,"")</f>
        <v>51574</v>
      </c>
      <c r="AO66" s="12">
        <v>19780</v>
      </c>
      <c r="AP66" s="12">
        <v>67962</v>
      </c>
      <c r="AQ66" s="12"/>
      <c r="AR66" s="12">
        <f t="shared" si="19"/>
        <v>87742</v>
      </c>
      <c r="AS66" s="12">
        <v>36166</v>
      </c>
      <c r="AT66" s="12">
        <f t="shared" ref="AT66:AT97" si="27">IFERROR(AR66+AS66,"")</f>
        <v>123908</v>
      </c>
      <c r="AU66" s="30" t="s">
        <v>0</v>
      </c>
      <c r="AV66" s="14" t="s">
        <v>241</v>
      </c>
      <c r="AW66" t="s">
        <v>242</v>
      </c>
      <c r="AX66" s="3" t="s">
        <v>243</v>
      </c>
    </row>
    <row r="67" spans="1:50" ht="150" x14ac:dyDescent="0.25">
      <c r="A67" s="21" t="s">
        <v>244</v>
      </c>
      <c r="B67" s="21" t="s">
        <v>468</v>
      </c>
      <c r="C67" s="32" t="s">
        <v>11</v>
      </c>
      <c r="D67" s="4" t="s">
        <v>74</v>
      </c>
      <c r="E67" s="5">
        <v>125800000000</v>
      </c>
      <c r="F67" s="5">
        <v>39240000000</v>
      </c>
      <c r="G67" s="9">
        <v>1986</v>
      </c>
      <c r="H67" s="5" t="s">
        <v>1</v>
      </c>
      <c r="I67" t="s">
        <v>1</v>
      </c>
      <c r="J67" s="3" t="s">
        <v>1</v>
      </c>
      <c r="K67">
        <v>2030</v>
      </c>
      <c r="L67">
        <v>2020</v>
      </c>
      <c r="N67" t="s">
        <v>1</v>
      </c>
      <c r="O67" t="s">
        <v>1</v>
      </c>
      <c r="P67">
        <v>2014</v>
      </c>
      <c r="Q67" s="12">
        <v>113412</v>
      </c>
      <c r="R67" s="12">
        <v>275375</v>
      </c>
      <c r="S67" s="12"/>
      <c r="T67" s="12">
        <f t="shared" si="20"/>
        <v>388787</v>
      </c>
      <c r="U67" s="12">
        <v>11322213</v>
      </c>
      <c r="V67" s="12">
        <f t="shared" si="21"/>
        <v>11711000</v>
      </c>
      <c r="W67" s="12">
        <v>90723</v>
      </c>
      <c r="X67" s="12">
        <v>183329</v>
      </c>
      <c r="Y67" s="12"/>
      <c r="Z67" s="12">
        <f t="shared" si="22"/>
        <v>274052</v>
      </c>
      <c r="AA67" s="12">
        <v>11820948</v>
      </c>
      <c r="AB67" s="12">
        <f t="shared" si="23"/>
        <v>12095000</v>
      </c>
      <c r="AC67" s="12">
        <v>97639</v>
      </c>
      <c r="AD67" s="12">
        <v>139110</v>
      </c>
      <c r="AE67" s="12"/>
      <c r="AF67" s="12">
        <f t="shared" si="24"/>
        <v>236749</v>
      </c>
      <c r="AG67" s="12">
        <v>10963251</v>
      </c>
      <c r="AH67" s="12">
        <f t="shared" si="25"/>
        <v>11200000</v>
      </c>
      <c r="AI67" s="12">
        <v>94651</v>
      </c>
      <c r="AJ67" s="12">
        <v>37087</v>
      </c>
      <c r="AK67" s="12"/>
      <c r="AL67" s="12">
        <f t="shared" si="18"/>
        <v>131738</v>
      </c>
      <c r="AM67" s="12">
        <v>11155883</v>
      </c>
      <c r="AN67" s="12">
        <f t="shared" si="26"/>
        <v>11287621</v>
      </c>
      <c r="AO67" s="12">
        <v>94548</v>
      </c>
      <c r="AP67" s="12">
        <v>1697297</v>
      </c>
      <c r="AQ67" s="12"/>
      <c r="AR67" s="12">
        <f t="shared" si="19"/>
        <v>1791845</v>
      </c>
      <c r="AS67" s="12">
        <v>9050676</v>
      </c>
      <c r="AT67" s="12">
        <f t="shared" si="27"/>
        <v>10842521</v>
      </c>
      <c r="AU67" s="30" t="s">
        <v>1</v>
      </c>
      <c r="AV67" s="14" t="s">
        <v>245</v>
      </c>
      <c r="AX67" s="3" t="s">
        <v>246</v>
      </c>
    </row>
    <row r="68" spans="1:50" ht="112.5" x14ac:dyDescent="0.25">
      <c r="A68" s="21" t="s">
        <v>247</v>
      </c>
      <c r="B68" s="21" t="s">
        <v>448</v>
      </c>
      <c r="C68" s="21" t="s">
        <v>4</v>
      </c>
      <c r="D68" s="4" t="s">
        <v>133</v>
      </c>
      <c r="E68" s="11">
        <v>25870000000</v>
      </c>
      <c r="F68" s="11">
        <v>3870000000</v>
      </c>
      <c r="G68" s="10">
        <v>2012</v>
      </c>
      <c r="H68" t="s">
        <v>1</v>
      </c>
      <c r="I68" t="s">
        <v>0</v>
      </c>
      <c r="J68" t="s">
        <v>1</v>
      </c>
      <c r="M68" s="3" t="s">
        <v>248</v>
      </c>
      <c r="O68" t="s">
        <v>0</v>
      </c>
      <c r="Q68" s="12">
        <v>856590</v>
      </c>
      <c r="R68" s="12">
        <v>906349</v>
      </c>
      <c r="S68" s="12"/>
      <c r="T68" s="12">
        <f t="shared" si="20"/>
        <v>1762939</v>
      </c>
      <c r="U68" s="12">
        <f>15034298+1164761+2311217+84072+41446+190306+89945+52986+883179</f>
        <v>19852210</v>
      </c>
      <c r="V68" s="12">
        <f t="shared" si="21"/>
        <v>21615149</v>
      </c>
      <c r="W68" s="12">
        <v>819933</v>
      </c>
      <c r="X68" s="12">
        <v>958647</v>
      </c>
      <c r="Y68" s="12"/>
      <c r="Z68" s="12">
        <f t="shared" si="22"/>
        <v>1778580</v>
      </c>
      <c r="AA68" s="12">
        <f>16999803+1043010+1261233+124957+47729+208314+1047969+207837+789072</f>
        <v>21729924</v>
      </c>
      <c r="AB68" s="12">
        <f t="shared" si="23"/>
        <v>23508504</v>
      </c>
      <c r="AC68" s="12">
        <v>778304</v>
      </c>
      <c r="AD68" s="12">
        <v>907536</v>
      </c>
      <c r="AE68" s="12"/>
      <c r="AF68" s="12">
        <f t="shared" si="24"/>
        <v>1685840</v>
      </c>
      <c r="AG68" s="12">
        <f>8964770+457311+1005369+74429+80431+210026+641840+90737+692102</f>
        <v>12217015</v>
      </c>
      <c r="AH68" s="12">
        <f t="shared" si="25"/>
        <v>13902855</v>
      </c>
      <c r="AI68" s="12">
        <v>812564</v>
      </c>
      <c r="AJ68" s="12">
        <v>987618</v>
      </c>
      <c r="AK68" s="12"/>
      <c r="AL68" s="12">
        <f t="shared" si="18"/>
        <v>1800182</v>
      </c>
      <c r="AM68" s="12">
        <f>9288253+462304+1049737+74019+74623+215465+629249+93432+691352</f>
        <v>12578434</v>
      </c>
      <c r="AN68" s="12">
        <f t="shared" si="26"/>
        <v>14378616</v>
      </c>
      <c r="AO68" s="12">
        <v>757010</v>
      </c>
      <c r="AP68" s="12">
        <v>772308</v>
      </c>
      <c r="AQ68" s="12"/>
      <c r="AR68" s="12">
        <f t="shared" si="19"/>
        <v>1529318</v>
      </c>
      <c r="AS68" s="12">
        <f>11056117+352033+1062374+109729+122282+204317+1174506+773746+499727+101190</f>
        <v>15456021</v>
      </c>
      <c r="AT68" s="12">
        <f t="shared" si="27"/>
        <v>16985339</v>
      </c>
      <c r="AV68" s="18" t="s">
        <v>249</v>
      </c>
      <c r="AW68" s="3" t="s">
        <v>250</v>
      </c>
      <c r="AX68" s="3" t="s">
        <v>251</v>
      </c>
    </row>
    <row r="69" spans="1:50" ht="75" x14ac:dyDescent="0.25">
      <c r="A69" s="21" t="s">
        <v>252</v>
      </c>
      <c r="B69" s="21" t="s">
        <v>252</v>
      </c>
      <c r="C69" s="32" t="s">
        <v>6</v>
      </c>
      <c r="D69" s="4" t="s">
        <v>109</v>
      </c>
      <c r="E69" s="5">
        <v>41419000000</v>
      </c>
      <c r="F69" s="5">
        <v>8512000000</v>
      </c>
      <c r="G69" s="9">
        <v>1935</v>
      </c>
      <c r="H69" s="5" t="s">
        <v>1</v>
      </c>
      <c r="I69" t="s">
        <v>1</v>
      </c>
      <c r="J69" t="s">
        <v>0</v>
      </c>
      <c r="K69">
        <v>2022</v>
      </c>
      <c r="L69">
        <v>2017</v>
      </c>
      <c r="O69" t="s">
        <v>1</v>
      </c>
      <c r="P69">
        <v>2022</v>
      </c>
      <c r="Q69" s="12">
        <v>28300</v>
      </c>
      <c r="R69" s="12">
        <v>176200</v>
      </c>
      <c r="S69" s="12"/>
      <c r="T69" s="12">
        <f t="shared" si="20"/>
        <v>204500</v>
      </c>
      <c r="U69" s="12">
        <f>911000+192000+46600+6490+99700+112550+6000+200</f>
        <v>1374540</v>
      </c>
      <c r="V69" s="12">
        <f t="shared" si="21"/>
        <v>1579040</v>
      </c>
      <c r="W69" s="12">
        <v>29800</v>
      </c>
      <c r="X69" s="12">
        <v>183900</v>
      </c>
      <c r="Y69" s="12"/>
      <c r="Z69" s="12">
        <f t="shared" si="22"/>
        <v>213700</v>
      </c>
      <c r="AA69" s="12">
        <v>1227000</v>
      </c>
      <c r="AB69" s="12">
        <f t="shared" si="23"/>
        <v>1440700</v>
      </c>
      <c r="AC69" s="12">
        <v>29450</v>
      </c>
      <c r="AD69" s="12">
        <v>178350</v>
      </c>
      <c r="AE69" s="12"/>
      <c r="AF69" s="12">
        <f t="shared" si="24"/>
        <v>207800</v>
      </c>
      <c r="AG69" s="12">
        <v>1357000</v>
      </c>
      <c r="AH69" s="12">
        <f t="shared" si="25"/>
        <v>1564800</v>
      </c>
      <c r="AI69" s="12">
        <v>27610</v>
      </c>
      <c r="AJ69" s="12">
        <v>237080</v>
      </c>
      <c r="AK69" s="12"/>
      <c r="AL69" s="12">
        <f t="shared" si="18"/>
        <v>264690</v>
      </c>
      <c r="AM69" s="12">
        <f>1600000+190000+54941+3110+93950+110000+6000+260</f>
        <v>2058261</v>
      </c>
      <c r="AN69" s="12">
        <f t="shared" si="26"/>
        <v>2322951</v>
      </c>
      <c r="AO69" s="12">
        <v>33870</v>
      </c>
      <c r="AP69" s="12">
        <v>272720</v>
      </c>
      <c r="AQ69" s="12"/>
      <c r="AR69" s="12">
        <f t="shared" si="19"/>
        <v>306590</v>
      </c>
      <c r="AS69" s="12">
        <f>1100000+190000+59920+4480+118650+112000+6000+250</f>
        <v>1591300</v>
      </c>
      <c r="AT69" s="12">
        <f t="shared" si="27"/>
        <v>1897890</v>
      </c>
      <c r="AW69" t="s">
        <v>253</v>
      </c>
      <c r="AX69" s="3" t="s">
        <v>254</v>
      </c>
    </row>
    <row r="70" spans="1:50" ht="75" x14ac:dyDescent="0.25">
      <c r="A70" s="21" t="s">
        <v>255</v>
      </c>
      <c r="B70" s="21" t="s">
        <v>438</v>
      </c>
      <c r="C70" s="21" t="s">
        <v>2</v>
      </c>
      <c r="D70" s="4" t="s">
        <v>124</v>
      </c>
      <c r="E70" s="11">
        <v>20160000000</v>
      </c>
      <c r="F70" s="11">
        <v>1866000000</v>
      </c>
      <c r="G70" s="10">
        <v>2002</v>
      </c>
      <c r="H70" t="s">
        <v>1</v>
      </c>
      <c r="I70" t="s">
        <v>0</v>
      </c>
      <c r="J70" t="s">
        <v>0</v>
      </c>
      <c r="M70" t="s">
        <v>0</v>
      </c>
      <c r="N70" t="s">
        <v>1</v>
      </c>
      <c r="O70" t="s">
        <v>0</v>
      </c>
      <c r="P70" t="s">
        <v>0</v>
      </c>
      <c r="Q70" s="12" t="s">
        <v>401</v>
      </c>
      <c r="R70" s="12" t="s">
        <v>401</v>
      </c>
      <c r="S70" s="12"/>
      <c r="T70" s="12" t="str">
        <f t="shared" si="20"/>
        <v/>
      </c>
      <c r="U70" s="12" t="s">
        <v>401</v>
      </c>
      <c r="V70" s="12" t="str">
        <f t="shared" si="21"/>
        <v/>
      </c>
      <c r="W70" s="12" t="s">
        <v>401</v>
      </c>
      <c r="X70" s="12" t="s">
        <v>401</v>
      </c>
      <c r="Y70" s="12"/>
      <c r="Z70" s="12" t="str">
        <f t="shared" si="22"/>
        <v/>
      </c>
      <c r="AA70" s="12" t="s">
        <v>401</v>
      </c>
      <c r="AB70" s="12" t="str">
        <f t="shared" si="23"/>
        <v/>
      </c>
      <c r="AC70" s="12" t="s">
        <v>401</v>
      </c>
      <c r="AD70" s="12" t="s">
        <v>401</v>
      </c>
      <c r="AE70" s="12"/>
      <c r="AF70" s="12" t="str">
        <f t="shared" si="24"/>
        <v/>
      </c>
      <c r="AG70" s="12" t="s">
        <v>401</v>
      </c>
      <c r="AH70" s="12" t="str">
        <f t="shared" si="25"/>
        <v/>
      </c>
      <c r="AI70" s="12" t="s">
        <v>401</v>
      </c>
      <c r="AJ70" s="12" t="s">
        <v>401</v>
      </c>
      <c r="AK70" s="12"/>
      <c r="AL70" s="12" t="str">
        <f t="shared" si="18"/>
        <v/>
      </c>
      <c r="AM70" s="12" t="s">
        <v>401</v>
      </c>
      <c r="AN70" s="12" t="str">
        <f t="shared" si="26"/>
        <v/>
      </c>
      <c r="AO70" s="12" t="s">
        <v>401</v>
      </c>
      <c r="AP70" s="12" t="s">
        <v>401</v>
      </c>
      <c r="AQ70" s="12"/>
      <c r="AR70" s="12" t="str">
        <f t="shared" si="19"/>
        <v/>
      </c>
      <c r="AS70" s="12" t="s">
        <v>401</v>
      </c>
      <c r="AT70" s="12" t="str">
        <f t="shared" si="27"/>
        <v/>
      </c>
      <c r="AU70" t="s">
        <v>0</v>
      </c>
      <c r="AW70" s="3" t="s">
        <v>256</v>
      </c>
      <c r="AX70" s="3" t="s">
        <v>257</v>
      </c>
    </row>
    <row r="71" spans="1:50" ht="37.5" x14ac:dyDescent="0.25">
      <c r="A71" s="21" t="s">
        <v>258</v>
      </c>
      <c r="B71" s="21" t="s">
        <v>439</v>
      </c>
      <c r="C71" s="21" t="s">
        <v>12</v>
      </c>
      <c r="D71" t="s">
        <v>12</v>
      </c>
      <c r="E71" s="11">
        <v>19204000000</v>
      </c>
      <c r="F71" s="11">
        <v>3769000000</v>
      </c>
      <c r="G71" s="10">
        <v>2014</v>
      </c>
      <c r="H71" t="s">
        <v>1</v>
      </c>
      <c r="I71" t="s">
        <v>0</v>
      </c>
      <c r="J71" t="s">
        <v>0</v>
      </c>
      <c r="M71" t="s">
        <v>0</v>
      </c>
      <c r="N71" t="s">
        <v>0</v>
      </c>
      <c r="O71" t="s">
        <v>0</v>
      </c>
      <c r="P71" t="s">
        <v>0</v>
      </c>
      <c r="Q71" s="12" t="s">
        <v>401</v>
      </c>
      <c r="R71" s="12" t="s">
        <v>401</v>
      </c>
      <c r="S71" s="12"/>
      <c r="T71" s="12">
        <v>107082396</v>
      </c>
      <c r="U71" s="12" t="s">
        <v>401</v>
      </c>
      <c r="V71" s="12" t="str">
        <f t="shared" si="21"/>
        <v/>
      </c>
      <c r="W71" s="12" t="s">
        <v>401</v>
      </c>
      <c r="X71" s="12" t="s">
        <v>401</v>
      </c>
      <c r="Y71" s="12"/>
      <c r="Z71" s="12">
        <v>90006931</v>
      </c>
      <c r="AA71" s="12" t="s">
        <v>401</v>
      </c>
      <c r="AB71" s="12" t="str">
        <f t="shared" si="23"/>
        <v/>
      </c>
      <c r="AC71" s="12" t="s">
        <v>401</v>
      </c>
      <c r="AD71" s="12" t="s">
        <v>401</v>
      </c>
      <c r="AE71" s="12"/>
      <c r="AF71" s="12">
        <v>93387385</v>
      </c>
      <c r="AG71" s="12" t="s">
        <v>401</v>
      </c>
      <c r="AH71" s="12" t="str">
        <f t="shared" si="25"/>
        <v/>
      </c>
      <c r="AI71" s="12" t="s">
        <v>401</v>
      </c>
      <c r="AJ71" s="12" t="s">
        <v>401</v>
      </c>
      <c r="AK71" s="12"/>
      <c r="AL71" s="12">
        <v>100072736</v>
      </c>
      <c r="AM71" s="12" t="s">
        <v>401</v>
      </c>
      <c r="AN71" s="12" t="str">
        <f t="shared" si="26"/>
        <v/>
      </c>
      <c r="AO71" s="12" t="s">
        <v>401</v>
      </c>
      <c r="AP71" s="12" t="s">
        <v>401</v>
      </c>
      <c r="AQ71" s="12"/>
      <c r="AR71" s="12" t="str">
        <f t="shared" si="19"/>
        <v/>
      </c>
      <c r="AS71" s="12" t="s">
        <v>401</v>
      </c>
      <c r="AT71" s="12" t="str">
        <f t="shared" si="27"/>
        <v/>
      </c>
      <c r="AU71" t="s">
        <v>1</v>
      </c>
      <c r="AV71" s="18" t="s">
        <v>259</v>
      </c>
      <c r="AW71" s="30" t="s">
        <v>433</v>
      </c>
      <c r="AX71" s="14" t="s">
        <v>432</v>
      </c>
    </row>
    <row r="72" spans="1:50" ht="200" x14ac:dyDescent="0.25">
      <c r="A72" s="21" t="s">
        <v>260</v>
      </c>
      <c r="B72" s="21" t="s">
        <v>400</v>
      </c>
      <c r="C72" s="21" t="s">
        <v>3</v>
      </c>
      <c r="D72" s="4" t="s">
        <v>261</v>
      </c>
      <c r="E72" s="5">
        <v>39100000000</v>
      </c>
      <c r="F72" s="5">
        <v>4000000000</v>
      </c>
      <c r="G72" s="9">
        <v>1980</v>
      </c>
      <c r="H72" s="5" t="s">
        <v>1</v>
      </c>
      <c r="I72" t="s">
        <v>1</v>
      </c>
      <c r="J72" t="s">
        <v>1</v>
      </c>
      <c r="K72">
        <v>2050</v>
      </c>
      <c r="L72">
        <v>2020</v>
      </c>
      <c r="M72" s="3" t="s">
        <v>262</v>
      </c>
      <c r="N72" t="s">
        <v>0</v>
      </c>
      <c r="O72" t="s">
        <v>1</v>
      </c>
      <c r="P72">
        <v>2025</v>
      </c>
      <c r="Q72" s="12">
        <v>46714</v>
      </c>
      <c r="R72" s="12">
        <v>209065</v>
      </c>
      <c r="S72" s="12"/>
      <c r="T72" s="12">
        <f t="shared" ref="T72:T101" si="28">IFERROR(Q72+R72-S72,"")</f>
        <v>255779</v>
      </c>
      <c r="U72" s="12">
        <v>3250744</v>
      </c>
      <c r="V72" s="12">
        <f t="shared" si="21"/>
        <v>3506523</v>
      </c>
      <c r="W72" s="12">
        <v>41942</v>
      </c>
      <c r="X72" s="12">
        <v>218240</v>
      </c>
      <c r="Y72" s="12"/>
      <c r="Z72" s="12">
        <f t="shared" ref="Z72:Z101" si="29">IFERROR(W72+X72-Y72,"")</f>
        <v>260182</v>
      </c>
      <c r="AA72" s="12">
        <v>2787707</v>
      </c>
      <c r="AB72" s="12">
        <f t="shared" si="23"/>
        <v>3047889</v>
      </c>
      <c r="AC72" s="12">
        <v>40139</v>
      </c>
      <c r="AD72" s="12">
        <v>224489</v>
      </c>
      <c r="AE72" s="12"/>
      <c r="AF72" s="12">
        <f t="shared" ref="AF72:AF101" si="30">IFERROR(AC72+AD72-AE72,"")</f>
        <v>264628</v>
      </c>
      <c r="AG72" s="12">
        <v>2751744</v>
      </c>
      <c r="AH72" s="12">
        <f t="shared" si="25"/>
        <v>3016372</v>
      </c>
      <c r="AI72" s="12">
        <v>37325</v>
      </c>
      <c r="AJ72" s="12">
        <v>225772</v>
      </c>
      <c r="AK72" s="12"/>
      <c r="AL72" s="12">
        <f t="shared" ref="AL72:AL101" si="31">IFERROR(AI72+AJ72-AK72,"")</f>
        <v>263097</v>
      </c>
      <c r="AM72" s="12">
        <v>2468365</v>
      </c>
      <c r="AN72" s="12">
        <f t="shared" si="26"/>
        <v>2731462</v>
      </c>
      <c r="AO72" s="12">
        <v>35623</v>
      </c>
      <c r="AP72" s="12">
        <v>228680</v>
      </c>
      <c r="AQ72" s="12"/>
      <c r="AR72" s="12">
        <f t="shared" si="19"/>
        <v>264303</v>
      </c>
      <c r="AS72" s="12">
        <v>2460556</v>
      </c>
      <c r="AT72" s="12">
        <f t="shared" si="27"/>
        <v>2724859</v>
      </c>
      <c r="AU72" s="3" t="s">
        <v>263</v>
      </c>
      <c r="AV72" s="18" t="s">
        <v>264</v>
      </c>
      <c r="AX72" s="3" t="s">
        <v>265</v>
      </c>
    </row>
    <row r="73" spans="1:50" ht="150" x14ac:dyDescent="0.25">
      <c r="A73" s="21" t="s">
        <v>266</v>
      </c>
      <c r="B73" s="21" t="s">
        <v>266</v>
      </c>
      <c r="C73" s="32" t="s">
        <v>11</v>
      </c>
      <c r="D73" s="4" t="s">
        <v>96</v>
      </c>
      <c r="E73" s="5">
        <v>11720000000</v>
      </c>
      <c r="F73" s="5">
        <v>4141000000</v>
      </c>
      <c r="G73" s="9">
        <v>1999</v>
      </c>
      <c r="H73" s="5" t="s">
        <v>1</v>
      </c>
      <c r="I73" s="4" t="s">
        <v>0</v>
      </c>
      <c r="J73" t="s">
        <v>0</v>
      </c>
      <c r="M73" s="3" t="s">
        <v>267</v>
      </c>
      <c r="P73" s="3" t="s">
        <v>268</v>
      </c>
      <c r="Q73" s="12">
        <v>2695</v>
      </c>
      <c r="R73" s="12">
        <v>60093</v>
      </c>
      <c r="S73" s="12"/>
      <c r="T73" s="12">
        <f t="shared" si="28"/>
        <v>62788</v>
      </c>
      <c r="U73" s="12">
        <v>427730</v>
      </c>
      <c r="V73" s="12">
        <f t="shared" si="21"/>
        <v>490518</v>
      </c>
      <c r="W73" s="12">
        <v>2370</v>
      </c>
      <c r="X73" s="12">
        <v>56903</v>
      </c>
      <c r="Y73" s="12"/>
      <c r="Z73" s="12">
        <f t="shared" si="29"/>
        <v>59273</v>
      </c>
      <c r="AA73" s="12">
        <v>326648</v>
      </c>
      <c r="AB73" s="12">
        <f t="shared" si="23"/>
        <v>385921</v>
      </c>
      <c r="AC73" s="12">
        <v>2571</v>
      </c>
      <c r="AD73" s="12">
        <v>47142</v>
      </c>
      <c r="AE73" s="12"/>
      <c r="AF73" s="12">
        <f t="shared" si="30"/>
        <v>49713</v>
      </c>
      <c r="AG73" s="12">
        <v>277014</v>
      </c>
      <c r="AH73" s="12">
        <f t="shared" si="25"/>
        <v>326727</v>
      </c>
      <c r="AI73" s="12">
        <v>2419</v>
      </c>
      <c r="AJ73" s="12">
        <v>43889</v>
      </c>
      <c r="AK73" s="12"/>
      <c r="AL73" s="12">
        <f t="shared" si="31"/>
        <v>46308</v>
      </c>
      <c r="AM73" s="12">
        <v>237579</v>
      </c>
      <c r="AN73" s="12">
        <f t="shared" si="26"/>
        <v>283887</v>
      </c>
      <c r="AO73" s="12">
        <v>3339</v>
      </c>
      <c r="AP73" s="12">
        <v>51482</v>
      </c>
      <c r="AQ73" s="12"/>
      <c r="AR73" s="12">
        <f t="shared" si="19"/>
        <v>54821</v>
      </c>
      <c r="AS73" s="12">
        <v>114259</v>
      </c>
      <c r="AT73" s="12">
        <f t="shared" si="27"/>
        <v>169080</v>
      </c>
      <c r="AU73" s="3"/>
      <c r="AV73" s="18" t="s">
        <v>269</v>
      </c>
      <c r="AX73" s="3" t="s">
        <v>270</v>
      </c>
    </row>
    <row r="74" spans="1:50" ht="150" x14ac:dyDescent="0.25">
      <c r="A74" s="21" t="s">
        <v>271</v>
      </c>
      <c r="B74" s="21" t="s">
        <v>271</v>
      </c>
      <c r="C74" s="21" t="s">
        <v>5</v>
      </c>
      <c r="D74" s="4" t="s">
        <v>126</v>
      </c>
      <c r="E74" s="11">
        <v>21230000000</v>
      </c>
      <c r="F74" s="11">
        <v>-652000000</v>
      </c>
      <c r="G74" s="10">
        <v>1986</v>
      </c>
      <c r="H74" t="s">
        <v>1</v>
      </c>
      <c r="I74" t="s">
        <v>0</v>
      </c>
      <c r="J74" t="s">
        <v>0</v>
      </c>
      <c r="M74" s="3" t="s">
        <v>272</v>
      </c>
      <c r="N74" s="3" t="s">
        <v>273</v>
      </c>
      <c r="O74" t="s">
        <v>0</v>
      </c>
      <c r="Q74" s="12">
        <v>22430197</v>
      </c>
      <c r="R74" s="12">
        <v>6420000</v>
      </c>
      <c r="S74" s="12"/>
      <c r="T74" s="12">
        <f t="shared" si="28"/>
        <v>28850197</v>
      </c>
      <c r="U74" s="12">
        <f>103000000</f>
        <v>103000000</v>
      </c>
      <c r="V74" s="12">
        <f t="shared" si="21"/>
        <v>131850197</v>
      </c>
      <c r="W74" s="12">
        <v>10370000</v>
      </c>
      <c r="X74" s="12">
        <v>4100000</v>
      </c>
      <c r="Y74" s="12"/>
      <c r="Z74" s="12">
        <f t="shared" si="29"/>
        <v>14470000</v>
      </c>
      <c r="AA74" s="12">
        <v>71000000</v>
      </c>
      <c r="AB74" s="12">
        <f t="shared" si="23"/>
        <v>85470000</v>
      </c>
      <c r="AC74" s="12">
        <v>11300000</v>
      </c>
      <c r="AD74" s="12">
        <v>4200000</v>
      </c>
      <c r="AE74" s="12"/>
      <c r="AF74" s="12">
        <f t="shared" si="30"/>
        <v>15500000</v>
      </c>
      <c r="AG74" s="12">
        <v>63000000</v>
      </c>
      <c r="AH74" s="12">
        <f t="shared" si="25"/>
        <v>78500000</v>
      </c>
      <c r="AI74" s="12">
        <v>10490000</v>
      </c>
      <c r="AJ74" s="12">
        <v>5380000</v>
      </c>
      <c r="AK74" s="12"/>
      <c r="AL74" s="12">
        <f t="shared" si="31"/>
        <v>15870000</v>
      </c>
      <c r="AM74" s="12"/>
      <c r="AN74" s="12">
        <f t="shared" si="26"/>
        <v>15870000</v>
      </c>
      <c r="AO74" s="12">
        <v>9300000</v>
      </c>
      <c r="AP74" s="12">
        <v>4800000</v>
      </c>
      <c r="AQ74" s="12"/>
      <c r="AR74" s="12">
        <f t="shared" si="19"/>
        <v>14100000</v>
      </c>
      <c r="AS74" s="12"/>
      <c r="AT74" s="12">
        <f t="shared" si="27"/>
        <v>14100000</v>
      </c>
      <c r="AV74" s="18" t="s">
        <v>274</v>
      </c>
      <c r="AX74" s="3" t="s">
        <v>275</v>
      </c>
    </row>
    <row r="75" spans="1:50" ht="162.5" x14ac:dyDescent="0.25">
      <c r="A75" s="21" t="s">
        <v>276</v>
      </c>
      <c r="B75" s="21" t="s">
        <v>276</v>
      </c>
      <c r="C75" s="32" t="s">
        <v>11</v>
      </c>
      <c r="D75" s="4" t="s">
        <v>74</v>
      </c>
      <c r="E75" s="11">
        <v>39500000000</v>
      </c>
      <c r="F75" s="11">
        <v>11080000000</v>
      </c>
      <c r="G75" s="10">
        <v>1986</v>
      </c>
      <c r="H75" t="s">
        <v>1</v>
      </c>
      <c r="I75" s="4" t="s">
        <v>0</v>
      </c>
      <c r="J75" t="s">
        <v>0</v>
      </c>
      <c r="M75" s="3" t="s">
        <v>277</v>
      </c>
      <c r="O75" t="s">
        <v>0</v>
      </c>
      <c r="Q75" s="12">
        <v>16520</v>
      </c>
      <c r="R75" s="12">
        <v>349022</v>
      </c>
      <c r="S75" s="12"/>
      <c r="T75" s="12">
        <f t="shared" si="28"/>
        <v>365542</v>
      </c>
      <c r="U75" s="12">
        <f>1139792+151888+21233+8956+1055+173807+70+35824+10915</f>
        <v>1543540</v>
      </c>
      <c r="V75" s="12">
        <f t="shared" si="21"/>
        <v>1909082</v>
      </c>
      <c r="W75" s="12">
        <v>17084</v>
      </c>
      <c r="X75" s="12">
        <v>362448</v>
      </c>
      <c r="Y75" s="12"/>
      <c r="Z75" s="12">
        <f t="shared" si="29"/>
        <v>379532</v>
      </c>
      <c r="AA75" s="12">
        <f>1355224+136405+21747+9468+762+192845+70+37874+11653</f>
        <v>1766048</v>
      </c>
      <c r="AB75" s="12">
        <f t="shared" si="23"/>
        <v>2145580</v>
      </c>
      <c r="AC75" s="12">
        <v>14763</v>
      </c>
      <c r="AD75" s="12">
        <v>403160</v>
      </c>
      <c r="AE75" s="12"/>
      <c r="AF75" s="12">
        <f t="shared" si="30"/>
        <v>417923</v>
      </c>
      <c r="AG75" s="12">
        <f>77507+588157+24190+33270+769+184168+82.95+33270+40576+9716.17</f>
        <v>991706.12</v>
      </c>
      <c r="AH75" s="12">
        <f t="shared" si="25"/>
        <v>1409629.12</v>
      </c>
      <c r="AI75" s="12">
        <v>11293</v>
      </c>
      <c r="AJ75" s="12">
        <v>354428</v>
      </c>
      <c r="AK75" s="12"/>
      <c r="AL75" s="12">
        <f t="shared" si="31"/>
        <v>365721</v>
      </c>
      <c r="AM75" s="12">
        <f>40644+296193+23999+35103+812+188451+81.85+35103+17552+11604</f>
        <v>649542.85</v>
      </c>
      <c r="AN75" s="12">
        <f t="shared" si="26"/>
        <v>1015263.85</v>
      </c>
      <c r="AO75" s="12">
        <v>11741</v>
      </c>
      <c r="AP75" s="12">
        <v>358673</v>
      </c>
      <c r="AQ75" s="12"/>
      <c r="AR75" s="12">
        <f t="shared" si="19"/>
        <v>370414</v>
      </c>
      <c r="AS75" s="12"/>
      <c r="AT75" s="12">
        <f t="shared" si="27"/>
        <v>370414</v>
      </c>
      <c r="AV75" s="18" t="s">
        <v>278</v>
      </c>
      <c r="AX75" s="3" t="s">
        <v>279</v>
      </c>
    </row>
    <row r="76" spans="1:50" ht="87.5" x14ac:dyDescent="0.25">
      <c r="A76" s="21" t="s">
        <v>280</v>
      </c>
      <c r="B76" s="21" t="s">
        <v>280</v>
      </c>
      <c r="C76" s="32" t="s">
        <v>6</v>
      </c>
      <c r="D76" s="4" t="s">
        <v>89</v>
      </c>
      <c r="E76" s="11">
        <v>17770000000</v>
      </c>
      <c r="F76" s="11">
        <v>2459000000</v>
      </c>
      <c r="G76" s="10">
        <v>2002</v>
      </c>
      <c r="H76" t="s">
        <v>1</v>
      </c>
      <c r="I76" t="s">
        <v>0</v>
      </c>
      <c r="J76" s="3" t="s">
        <v>1</v>
      </c>
      <c r="M76" s="3"/>
      <c r="O76" t="s">
        <v>0</v>
      </c>
      <c r="Q76" s="12">
        <v>9900</v>
      </c>
      <c r="R76" s="12">
        <v>47000</v>
      </c>
      <c r="S76" s="12"/>
      <c r="T76" s="12">
        <f t="shared" si="28"/>
        <v>56900</v>
      </c>
      <c r="U76" s="12">
        <v>32100</v>
      </c>
      <c r="V76" s="12">
        <f t="shared" si="21"/>
        <v>89000</v>
      </c>
      <c r="W76" s="12">
        <v>10600</v>
      </c>
      <c r="X76" s="12">
        <v>57900</v>
      </c>
      <c r="Y76" s="12"/>
      <c r="Z76" s="12">
        <f t="shared" si="29"/>
        <v>68500</v>
      </c>
      <c r="AA76" s="12">
        <v>31100</v>
      </c>
      <c r="AB76" s="12">
        <f t="shared" si="23"/>
        <v>99600</v>
      </c>
      <c r="AC76" s="12">
        <v>9600</v>
      </c>
      <c r="AD76" s="12">
        <v>57800</v>
      </c>
      <c r="AE76" s="12"/>
      <c r="AF76" s="12">
        <f t="shared" si="30"/>
        <v>67400</v>
      </c>
      <c r="AG76" s="12">
        <v>24500</v>
      </c>
      <c r="AH76" s="12">
        <f t="shared" si="25"/>
        <v>91900</v>
      </c>
      <c r="AI76" s="12" t="s">
        <v>401</v>
      </c>
      <c r="AJ76" s="12" t="s">
        <v>401</v>
      </c>
      <c r="AK76" s="12"/>
      <c r="AL76" s="12" t="str">
        <f t="shared" si="31"/>
        <v/>
      </c>
      <c r="AM76" s="12" t="s">
        <v>401</v>
      </c>
      <c r="AN76" s="12" t="str">
        <f t="shared" si="26"/>
        <v/>
      </c>
      <c r="AO76" s="12" t="s">
        <v>401</v>
      </c>
      <c r="AP76" s="12" t="s">
        <v>401</v>
      </c>
      <c r="AQ76" s="12"/>
      <c r="AR76" s="12" t="str">
        <f t="shared" ref="AR76:AR101" si="32">IFERROR(AO76+AP76-AQ76,"")</f>
        <v/>
      </c>
      <c r="AS76" s="12" t="s">
        <v>401</v>
      </c>
      <c r="AT76" s="12" t="str">
        <f t="shared" si="27"/>
        <v/>
      </c>
      <c r="AU76" t="s">
        <v>281</v>
      </c>
      <c r="AV76" s="18" t="s">
        <v>282</v>
      </c>
      <c r="AW76" s="3" t="s">
        <v>283</v>
      </c>
      <c r="AX76" s="3" t="s">
        <v>284</v>
      </c>
    </row>
    <row r="77" spans="1:50" ht="125" x14ac:dyDescent="0.25">
      <c r="A77" s="21" t="s">
        <v>285</v>
      </c>
      <c r="B77" s="21" t="s">
        <v>405</v>
      </c>
      <c r="C77" s="21" t="s">
        <v>4</v>
      </c>
      <c r="D77" s="4" t="s">
        <v>133</v>
      </c>
      <c r="E77" s="5">
        <v>67160000000</v>
      </c>
      <c r="F77" s="5">
        <v>7353000000</v>
      </c>
      <c r="G77" s="9">
        <v>1999</v>
      </c>
      <c r="H77" s="5" t="s">
        <v>1</v>
      </c>
      <c r="I77" s="4" t="s">
        <v>0</v>
      </c>
      <c r="J77" t="s">
        <v>1</v>
      </c>
      <c r="M77" s="3" t="s">
        <v>286</v>
      </c>
      <c r="O77" t="s">
        <v>0</v>
      </c>
      <c r="P77">
        <v>2020</v>
      </c>
      <c r="Q77" s="12">
        <v>3552415</v>
      </c>
      <c r="R77" s="12">
        <v>1425255</v>
      </c>
      <c r="S77" s="12"/>
      <c r="T77" s="12">
        <f t="shared" si="28"/>
        <v>4977670</v>
      </c>
      <c r="U77" s="12">
        <f>33599797+600278+946616+720951+25353+140452+201663+11088559+231426+811130+1843424+255417</f>
        <v>50465066</v>
      </c>
      <c r="V77" s="12">
        <f t="shared" si="21"/>
        <v>55442736</v>
      </c>
      <c r="W77" s="12">
        <v>3577266</v>
      </c>
      <c r="X77" s="12">
        <v>1558167</v>
      </c>
      <c r="Y77" s="12"/>
      <c r="Z77" s="12">
        <f t="shared" si="29"/>
        <v>5135433</v>
      </c>
      <c r="AA77" s="12">
        <f>39026490+1698930+603560+1161810+60360+121070+506710+9964010+3046900+1195840+1418720+2730730+1282850</f>
        <v>62817980</v>
      </c>
      <c r="AB77" s="12">
        <f t="shared" si="23"/>
        <v>67953413</v>
      </c>
      <c r="AC77" s="12">
        <v>3734520</v>
      </c>
      <c r="AD77" s="12">
        <v>1713950</v>
      </c>
      <c r="AE77" s="12"/>
      <c r="AF77" s="12">
        <f t="shared" si="30"/>
        <v>5448470</v>
      </c>
      <c r="AG77" s="12">
        <f>39026490+1698930+603560+1161810+60360+121070+506710+9964010+3046900+1195840+1418720+2730730+1282850</f>
        <v>62817980</v>
      </c>
      <c r="AH77" s="12">
        <f t="shared" si="25"/>
        <v>68266450</v>
      </c>
      <c r="AI77" s="12">
        <v>3798343</v>
      </c>
      <c r="AJ77" s="12">
        <v>1912298</v>
      </c>
      <c r="AK77" s="12"/>
      <c r="AL77" s="12">
        <f t="shared" si="31"/>
        <v>5710641</v>
      </c>
      <c r="AM77" s="12">
        <f>39026487+1698928+603559+1161808+60356+121072+506714+9964009+3046899+1195843+1418715+2730728+1282853</f>
        <v>62817971</v>
      </c>
      <c r="AN77" s="12">
        <f t="shared" si="26"/>
        <v>68528612</v>
      </c>
      <c r="AO77" s="12">
        <v>3766456</v>
      </c>
      <c r="AP77" s="12">
        <v>1985249</v>
      </c>
      <c r="AQ77" s="12"/>
      <c r="AR77" s="12">
        <f t="shared" si="32"/>
        <v>5751705</v>
      </c>
      <c r="AS77" s="12">
        <v>63000000</v>
      </c>
      <c r="AT77" s="12">
        <f t="shared" si="27"/>
        <v>68751705</v>
      </c>
      <c r="AV77" s="3" t="s">
        <v>287</v>
      </c>
      <c r="AX77" s="3" t="s">
        <v>288</v>
      </c>
    </row>
    <row r="78" spans="1:50" ht="200" x14ac:dyDescent="0.25">
      <c r="A78" s="21" t="s">
        <v>289</v>
      </c>
      <c r="B78" s="21" t="s">
        <v>451</v>
      </c>
      <c r="C78" s="32" t="s">
        <v>7</v>
      </c>
      <c r="D78" s="4" t="s">
        <v>69</v>
      </c>
      <c r="E78" s="5">
        <v>51750000000</v>
      </c>
      <c r="F78" s="5">
        <v>16270000000</v>
      </c>
      <c r="G78" s="9">
        <v>1942</v>
      </c>
      <c r="H78" s="5" t="s">
        <v>1</v>
      </c>
      <c r="I78" t="s">
        <v>0</v>
      </c>
      <c r="J78" t="s">
        <v>1</v>
      </c>
      <c r="M78" s="3" t="s">
        <v>290</v>
      </c>
      <c r="O78" t="s">
        <v>0</v>
      </c>
      <c r="Q78" s="12">
        <v>734638</v>
      </c>
      <c r="R78" s="12">
        <v>634205</v>
      </c>
      <c r="S78" s="12"/>
      <c r="T78" s="12">
        <f t="shared" si="28"/>
        <v>1368843</v>
      </c>
      <c r="U78" s="12">
        <f>3794093+345953+252909+873030+16420+195718+60645+36273+99576</f>
        <v>5674617</v>
      </c>
      <c r="V78" s="12">
        <f t="shared" si="21"/>
        <v>7043460</v>
      </c>
      <c r="W78" s="12">
        <v>756964</v>
      </c>
      <c r="X78" s="12">
        <v>905002</v>
      </c>
      <c r="Y78" s="12"/>
      <c r="Z78" s="12">
        <f t="shared" si="29"/>
        <v>1661966</v>
      </c>
      <c r="AA78" s="12">
        <f>1562024+855794+265780+416416+11667+347533+92869+35444+85059+7969</f>
        <v>3680555</v>
      </c>
      <c r="AB78" s="12">
        <f t="shared" si="23"/>
        <v>5342521</v>
      </c>
      <c r="AC78" s="12">
        <v>788838</v>
      </c>
      <c r="AD78" s="12">
        <v>812923</v>
      </c>
      <c r="AE78" s="12"/>
      <c r="AF78" s="12">
        <f t="shared" si="30"/>
        <v>1601761</v>
      </c>
      <c r="AG78" s="12" t="s">
        <v>401</v>
      </c>
      <c r="AH78" s="12" t="str">
        <f t="shared" si="25"/>
        <v/>
      </c>
      <c r="AI78" s="12">
        <v>940953</v>
      </c>
      <c r="AJ78" s="12">
        <v>1106924</v>
      </c>
      <c r="AK78" s="12"/>
      <c r="AL78" s="12">
        <f t="shared" si="31"/>
        <v>2047877</v>
      </c>
      <c r="AM78" s="12">
        <f>1239543+1316763+456623+200983+7363+439313+123060+36243</f>
        <v>3819891</v>
      </c>
      <c r="AN78" s="12">
        <f t="shared" si="26"/>
        <v>5867768</v>
      </c>
      <c r="AO78" s="12">
        <v>875274</v>
      </c>
      <c r="AP78" s="12">
        <v>625591</v>
      </c>
      <c r="AQ78" s="12"/>
      <c r="AR78" s="12">
        <f t="shared" si="32"/>
        <v>1500865</v>
      </c>
      <c r="AS78" s="12">
        <f>2135509+956001+342259+126424+6508+147598+134086+89710</f>
        <v>3938095</v>
      </c>
      <c r="AT78" s="12">
        <f t="shared" si="27"/>
        <v>5438960</v>
      </c>
      <c r="AU78" s="6" t="s">
        <v>0</v>
      </c>
      <c r="AV78" s="3" t="s">
        <v>291</v>
      </c>
      <c r="AX78" s="3" t="s">
        <v>292</v>
      </c>
    </row>
    <row r="79" spans="1:50" ht="325" x14ac:dyDescent="0.25">
      <c r="A79" s="21" t="s">
        <v>293</v>
      </c>
      <c r="B79" s="21" t="s">
        <v>455</v>
      </c>
      <c r="C79" s="21" t="s">
        <v>4</v>
      </c>
      <c r="D79" s="4" t="s">
        <v>82</v>
      </c>
      <c r="E79" s="5">
        <v>79820000000</v>
      </c>
      <c r="F79" s="5">
        <v>7910000000</v>
      </c>
      <c r="G79" s="9">
        <v>2008</v>
      </c>
      <c r="H79" s="5" t="s">
        <v>1</v>
      </c>
      <c r="I79" t="s">
        <v>1</v>
      </c>
      <c r="J79" t="s">
        <v>1</v>
      </c>
      <c r="K79">
        <v>2030</v>
      </c>
      <c r="L79">
        <v>2019</v>
      </c>
      <c r="M79" s="3" t="s">
        <v>294</v>
      </c>
      <c r="N79" t="s">
        <v>1</v>
      </c>
      <c r="O79" t="s">
        <v>0</v>
      </c>
      <c r="P79">
        <v>2030</v>
      </c>
      <c r="Q79" s="12">
        <f>4682000*0.085</f>
        <v>397970</v>
      </c>
      <c r="R79" s="12">
        <f>4682000*0.034</f>
        <v>159188</v>
      </c>
      <c r="S79" s="12"/>
      <c r="T79" s="12">
        <f t="shared" si="28"/>
        <v>557158</v>
      </c>
      <c r="U79" s="12">
        <f>4682000*0.881</f>
        <v>4124842</v>
      </c>
      <c r="V79" s="12">
        <f t="shared" si="21"/>
        <v>4682000</v>
      </c>
      <c r="W79" s="12">
        <v>408162</v>
      </c>
      <c r="X79" s="12">
        <v>175785</v>
      </c>
      <c r="Y79" s="12"/>
      <c r="Z79" s="12">
        <f t="shared" si="29"/>
        <v>583947</v>
      </c>
      <c r="AA79" s="12">
        <v>4920000</v>
      </c>
      <c r="AB79" s="12">
        <f t="shared" si="23"/>
        <v>5503947</v>
      </c>
      <c r="AC79" s="12">
        <v>388384</v>
      </c>
      <c r="AD79" s="12">
        <v>241355</v>
      </c>
      <c r="AE79" s="12"/>
      <c r="AF79" s="12">
        <f t="shared" si="30"/>
        <v>629739</v>
      </c>
      <c r="AG79" s="12">
        <v>5137000</v>
      </c>
      <c r="AH79" s="12">
        <f t="shared" si="25"/>
        <v>5766739</v>
      </c>
      <c r="AI79" s="12">
        <v>351990</v>
      </c>
      <c r="AJ79" s="12">
        <v>314049</v>
      </c>
      <c r="AK79" s="12"/>
      <c r="AL79" s="12">
        <f t="shared" si="31"/>
        <v>666039</v>
      </c>
      <c r="AM79" s="12">
        <v>5649000</v>
      </c>
      <c r="AN79" s="12">
        <f t="shared" si="26"/>
        <v>6315039</v>
      </c>
      <c r="AO79" s="12">
        <v>361720</v>
      </c>
      <c r="AP79" s="12">
        <v>329323</v>
      </c>
      <c r="AQ79" s="12"/>
      <c r="AR79" s="12">
        <f t="shared" si="32"/>
        <v>691043</v>
      </c>
      <c r="AS79" s="12">
        <v>5690000</v>
      </c>
      <c r="AT79" s="12">
        <f t="shared" si="27"/>
        <v>6381043</v>
      </c>
      <c r="AV79" s="3" t="s">
        <v>295</v>
      </c>
      <c r="AX79" s="3" t="s">
        <v>296</v>
      </c>
    </row>
    <row r="80" spans="1:50" ht="300" x14ac:dyDescent="0.25">
      <c r="A80" s="21" t="s">
        <v>297</v>
      </c>
      <c r="B80" s="21" t="s">
        <v>478</v>
      </c>
      <c r="C80" s="21" t="s">
        <v>4</v>
      </c>
      <c r="D80" s="4" t="s">
        <v>136</v>
      </c>
      <c r="E80" s="5">
        <v>67680000000</v>
      </c>
      <c r="F80" s="5">
        <v>3890000000</v>
      </c>
      <c r="G80" s="9">
        <v>1978</v>
      </c>
      <c r="H80" s="5" t="s">
        <v>1</v>
      </c>
      <c r="I80" s="4" t="s">
        <v>0</v>
      </c>
      <c r="J80" t="s">
        <v>1</v>
      </c>
      <c r="M80" s="3" t="s">
        <v>298</v>
      </c>
      <c r="N80" t="s">
        <v>0</v>
      </c>
      <c r="O80" t="s">
        <v>0</v>
      </c>
      <c r="P80">
        <v>2030</v>
      </c>
      <c r="Q80" s="12">
        <v>2210000</v>
      </c>
      <c r="R80" s="12">
        <v>1840000</v>
      </c>
      <c r="S80" s="12"/>
      <c r="T80" s="12">
        <f t="shared" si="28"/>
        <v>4050000</v>
      </c>
      <c r="U80" s="12">
        <f>164210001+247000+495000+9000+151042+117000+3700000+199133000+13251000</f>
        <v>381313043</v>
      </c>
      <c r="V80" s="12">
        <f t="shared" si="21"/>
        <v>385363043</v>
      </c>
      <c r="W80" s="12">
        <v>2143000</v>
      </c>
      <c r="X80" s="12">
        <v>1910000</v>
      </c>
      <c r="Y80" s="12"/>
      <c r="Z80" s="12">
        <f t="shared" si="29"/>
        <v>4053000</v>
      </c>
      <c r="AA80" s="12">
        <v>235218042</v>
      </c>
      <c r="AB80" s="12">
        <f t="shared" si="23"/>
        <v>239271042</v>
      </c>
      <c r="AC80" s="12">
        <v>2122000</v>
      </c>
      <c r="AD80" s="12">
        <v>2437000</v>
      </c>
      <c r="AE80" s="12"/>
      <c r="AF80" s="12">
        <f t="shared" si="30"/>
        <v>4559000</v>
      </c>
      <c r="AG80" s="12">
        <v>235218042</v>
      </c>
      <c r="AH80" s="12">
        <f t="shared" si="25"/>
        <v>239777042</v>
      </c>
      <c r="AI80" s="12">
        <v>2099000</v>
      </c>
      <c r="AJ80" s="12">
        <v>2742000</v>
      </c>
      <c r="AK80" s="12"/>
      <c r="AL80" s="12">
        <f t="shared" si="31"/>
        <v>4841000</v>
      </c>
      <c r="AM80" s="12">
        <v>210173353</v>
      </c>
      <c r="AN80" s="12">
        <f t="shared" si="26"/>
        <v>215014353</v>
      </c>
      <c r="AO80" s="12">
        <v>2268000</v>
      </c>
      <c r="AP80" s="12">
        <v>2881000</v>
      </c>
      <c r="AQ80" s="12"/>
      <c r="AR80" s="12">
        <f t="shared" si="32"/>
        <v>5149000</v>
      </c>
      <c r="AS80" s="12">
        <v>210173353</v>
      </c>
      <c r="AT80" s="12">
        <f t="shared" si="27"/>
        <v>215322353</v>
      </c>
      <c r="AU80" s="3" t="s">
        <v>299</v>
      </c>
      <c r="AV80" s="3" t="s">
        <v>300</v>
      </c>
      <c r="AX80" s="3" t="s">
        <v>301</v>
      </c>
    </row>
    <row r="81" spans="1:50" ht="112.5" x14ac:dyDescent="0.25">
      <c r="A81" s="21" t="s">
        <v>302</v>
      </c>
      <c r="B81" s="21" t="s">
        <v>458</v>
      </c>
      <c r="C81" s="32" t="s">
        <v>11</v>
      </c>
      <c r="D81" s="4" t="s">
        <v>96</v>
      </c>
      <c r="E81" s="11">
        <v>24270000000</v>
      </c>
      <c r="F81" s="11">
        <v>4390000000</v>
      </c>
      <c r="G81" s="10">
        <v>1991</v>
      </c>
      <c r="H81" t="s">
        <v>1</v>
      </c>
      <c r="I81" t="s">
        <v>0</v>
      </c>
      <c r="J81" t="s">
        <v>0</v>
      </c>
      <c r="M81" s="3" t="s">
        <v>303</v>
      </c>
      <c r="N81" t="s">
        <v>1</v>
      </c>
      <c r="O81" t="s">
        <v>0</v>
      </c>
      <c r="Q81" s="12">
        <v>75290</v>
      </c>
      <c r="R81" s="12">
        <v>114060</v>
      </c>
      <c r="S81" s="12"/>
      <c r="T81" s="12">
        <f t="shared" si="28"/>
        <v>189350</v>
      </c>
      <c r="U81" s="12">
        <v>112252</v>
      </c>
      <c r="V81" s="12">
        <f t="shared" si="21"/>
        <v>301602</v>
      </c>
      <c r="W81" s="12">
        <v>73832</v>
      </c>
      <c r="X81" s="12">
        <v>120771</v>
      </c>
      <c r="Y81" s="12"/>
      <c r="Z81" s="12">
        <f t="shared" si="29"/>
        <v>194603</v>
      </c>
      <c r="AA81" s="12">
        <v>112252</v>
      </c>
      <c r="AB81" s="12">
        <f t="shared" si="23"/>
        <v>306855</v>
      </c>
      <c r="AC81" s="12">
        <v>80179</v>
      </c>
      <c r="AD81" s="12">
        <v>128298</v>
      </c>
      <c r="AE81" s="12"/>
      <c r="AF81" s="12">
        <f t="shared" si="30"/>
        <v>208477</v>
      </c>
      <c r="AG81" s="12">
        <v>112252</v>
      </c>
      <c r="AH81" s="12">
        <f t="shared" si="25"/>
        <v>320729</v>
      </c>
      <c r="AI81" s="12">
        <v>75205</v>
      </c>
      <c r="AJ81" s="12">
        <v>147681</v>
      </c>
      <c r="AK81" s="12"/>
      <c r="AL81" s="12">
        <f t="shared" si="31"/>
        <v>222886</v>
      </c>
      <c r="AM81" s="12">
        <v>112252</v>
      </c>
      <c r="AN81" s="12">
        <f t="shared" si="26"/>
        <v>335138</v>
      </c>
      <c r="AO81" s="12">
        <v>75349</v>
      </c>
      <c r="AP81" s="12">
        <v>155288</v>
      </c>
      <c r="AQ81" s="12"/>
      <c r="AR81" s="12">
        <f t="shared" si="32"/>
        <v>230637</v>
      </c>
      <c r="AS81" s="12">
        <v>38845</v>
      </c>
      <c r="AT81" s="12">
        <f t="shared" si="27"/>
        <v>269482</v>
      </c>
      <c r="AV81" s="14" t="s">
        <v>304</v>
      </c>
      <c r="AX81" s="3" t="s">
        <v>305</v>
      </c>
    </row>
    <row r="82" spans="1:50" ht="112.5" x14ac:dyDescent="0.25">
      <c r="A82" s="21" t="s">
        <v>306</v>
      </c>
      <c r="B82" s="21" t="s">
        <v>449</v>
      </c>
      <c r="C82" s="21" t="s">
        <v>8</v>
      </c>
      <c r="D82" s="4" t="s">
        <v>112</v>
      </c>
      <c r="E82" s="11">
        <v>29176000000</v>
      </c>
      <c r="F82" s="11">
        <v>3343000000</v>
      </c>
      <c r="G82" s="10">
        <v>1952</v>
      </c>
      <c r="H82" t="s">
        <v>1</v>
      </c>
      <c r="I82" t="s">
        <v>0</v>
      </c>
      <c r="J82" t="s">
        <v>0</v>
      </c>
      <c r="M82" s="3" t="s">
        <v>307</v>
      </c>
      <c r="O82" t="s">
        <v>0</v>
      </c>
      <c r="Q82" s="12">
        <v>612307</v>
      </c>
      <c r="R82" s="12">
        <v>1114227</v>
      </c>
      <c r="S82" s="12"/>
      <c r="T82" s="12">
        <f t="shared" si="28"/>
        <v>1726534</v>
      </c>
      <c r="U82" s="12">
        <f>10865507+1263+194470</f>
        <v>11061240</v>
      </c>
      <c r="V82" s="12">
        <f t="shared" si="21"/>
        <v>12787774</v>
      </c>
      <c r="W82" s="12" t="s">
        <v>401</v>
      </c>
      <c r="X82" s="12" t="s">
        <v>401</v>
      </c>
      <c r="Y82" s="12"/>
      <c r="Z82" s="12" t="str">
        <f t="shared" si="29"/>
        <v/>
      </c>
      <c r="AA82" s="12" t="s">
        <v>401</v>
      </c>
      <c r="AB82" s="12" t="str">
        <f t="shared" si="23"/>
        <v/>
      </c>
      <c r="AC82" s="12" t="s">
        <v>401</v>
      </c>
      <c r="AD82" s="12" t="s">
        <v>401</v>
      </c>
      <c r="AE82" s="12"/>
      <c r="AF82" s="12" t="str">
        <f t="shared" si="30"/>
        <v/>
      </c>
      <c r="AG82" s="12" t="s">
        <v>401</v>
      </c>
      <c r="AH82" s="12" t="str">
        <f t="shared" si="25"/>
        <v/>
      </c>
      <c r="AI82" s="12" t="s">
        <v>401</v>
      </c>
      <c r="AJ82" s="12" t="s">
        <v>401</v>
      </c>
      <c r="AK82" s="12"/>
      <c r="AL82" s="12" t="str">
        <f t="shared" si="31"/>
        <v/>
      </c>
      <c r="AM82" s="12" t="s">
        <v>401</v>
      </c>
      <c r="AN82" s="12" t="str">
        <f t="shared" si="26"/>
        <v/>
      </c>
      <c r="AO82" s="12" t="s">
        <v>401</v>
      </c>
      <c r="AP82" s="12" t="s">
        <v>401</v>
      </c>
      <c r="AQ82" s="12"/>
      <c r="AR82" s="12" t="str">
        <f t="shared" si="32"/>
        <v/>
      </c>
      <c r="AS82" s="12" t="s">
        <v>401</v>
      </c>
      <c r="AT82" s="12" t="str">
        <f t="shared" si="27"/>
        <v/>
      </c>
      <c r="AV82" s="18" t="s">
        <v>308</v>
      </c>
      <c r="AW82" s="3" t="s">
        <v>309</v>
      </c>
      <c r="AX82" s="3" t="s">
        <v>310</v>
      </c>
    </row>
    <row r="83" spans="1:50" ht="225" x14ac:dyDescent="0.25">
      <c r="A83" s="21" t="s">
        <v>311</v>
      </c>
      <c r="B83" s="21" t="s">
        <v>311</v>
      </c>
      <c r="C83" s="32" t="s">
        <v>11</v>
      </c>
      <c r="D83" s="4" t="s">
        <v>74</v>
      </c>
      <c r="E83" s="5">
        <v>13280000000</v>
      </c>
      <c r="F83" s="5">
        <v>1110000000</v>
      </c>
      <c r="G83" s="9">
        <v>2004</v>
      </c>
      <c r="H83" s="5" t="s">
        <v>1</v>
      </c>
      <c r="I83" s="4" t="s">
        <v>1</v>
      </c>
      <c r="J83" s="3" t="s">
        <v>1</v>
      </c>
      <c r="K83">
        <v>2017</v>
      </c>
      <c r="M83" s="3" t="s">
        <v>312</v>
      </c>
      <c r="N83" t="s">
        <v>1</v>
      </c>
      <c r="O83" t="s">
        <v>1</v>
      </c>
      <c r="P83">
        <v>2022</v>
      </c>
      <c r="Q83" s="12">
        <v>5000</v>
      </c>
      <c r="R83" s="12">
        <v>291000</v>
      </c>
      <c r="S83" s="12">
        <f>Q83+R83</f>
        <v>296000</v>
      </c>
      <c r="T83" s="12">
        <f t="shared" si="28"/>
        <v>0</v>
      </c>
      <c r="U83" s="12">
        <v>181000</v>
      </c>
      <c r="V83" s="12">
        <f t="shared" si="21"/>
        <v>181000</v>
      </c>
      <c r="W83" s="12">
        <v>4000</v>
      </c>
      <c r="X83" s="12">
        <v>236000</v>
      </c>
      <c r="Y83" s="12">
        <f>W83+X83</f>
        <v>240000</v>
      </c>
      <c r="Z83" s="12">
        <f t="shared" si="29"/>
        <v>0</v>
      </c>
      <c r="AA83" s="12">
        <v>134000</v>
      </c>
      <c r="AB83" s="12">
        <f t="shared" si="23"/>
        <v>134000</v>
      </c>
      <c r="AC83" s="12">
        <v>4000</v>
      </c>
      <c r="AD83" s="12">
        <v>174000</v>
      </c>
      <c r="AE83" s="12">
        <f>0.23*(AC83+AD83)</f>
        <v>40940</v>
      </c>
      <c r="AF83" s="12">
        <f t="shared" si="30"/>
        <v>137060</v>
      </c>
      <c r="AG83" s="12">
        <v>99000</v>
      </c>
      <c r="AH83" s="12">
        <f t="shared" si="25"/>
        <v>236060</v>
      </c>
      <c r="AI83" s="12">
        <v>3000</v>
      </c>
      <c r="AJ83" s="12">
        <v>132000</v>
      </c>
      <c r="AK83" s="12">
        <f>0.23*(AI83+AJ83)</f>
        <v>31050</v>
      </c>
      <c r="AL83" s="12">
        <f t="shared" si="31"/>
        <v>103950</v>
      </c>
      <c r="AM83" s="12">
        <v>84000</v>
      </c>
      <c r="AN83" s="12">
        <f t="shared" si="26"/>
        <v>187950</v>
      </c>
      <c r="AO83" s="12">
        <v>5000</v>
      </c>
      <c r="AP83" s="12">
        <v>71000</v>
      </c>
      <c r="AQ83" s="12"/>
      <c r="AR83" s="12">
        <f t="shared" si="32"/>
        <v>76000</v>
      </c>
      <c r="AS83" s="12">
        <v>56000</v>
      </c>
      <c r="AT83" s="12">
        <f t="shared" si="27"/>
        <v>132000</v>
      </c>
      <c r="AV83" s="14" t="s">
        <v>435</v>
      </c>
      <c r="AW83" s="30" t="s">
        <v>434</v>
      </c>
      <c r="AX83" s="3" t="s">
        <v>313</v>
      </c>
    </row>
    <row r="84" spans="1:50" ht="87.5" x14ac:dyDescent="0.25">
      <c r="A84" s="21" t="s">
        <v>314</v>
      </c>
      <c r="B84" s="21" t="s">
        <v>445</v>
      </c>
      <c r="C84" s="21" t="s">
        <v>5</v>
      </c>
      <c r="D84" s="4" t="s">
        <v>126</v>
      </c>
      <c r="E84" s="11">
        <v>32900000000</v>
      </c>
      <c r="F84" s="11">
        <v>-10137000000</v>
      </c>
      <c r="G84" s="10">
        <v>1956</v>
      </c>
      <c r="H84" t="s">
        <v>1</v>
      </c>
      <c r="I84" t="s">
        <v>0</v>
      </c>
      <c r="J84" s="3" t="s">
        <v>1</v>
      </c>
      <c r="O84" t="s">
        <v>0</v>
      </c>
      <c r="Q84" s="12" t="s">
        <v>401</v>
      </c>
      <c r="R84" s="12" t="s">
        <v>401</v>
      </c>
      <c r="S84" s="12"/>
      <c r="T84" s="12" t="str">
        <f t="shared" si="28"/>
        <v/>
      </c>
      <c r="U84" s="12" t="s">
        <v>401</v>
      </c>
      <c r="V84" s="12" t="str">
        <f t="shared" si="21"/>
        <v/>
      </c>
      <c r="W84" s="12">
        <v>1423000</v>
      </c>
      <c r="X84" s="12">
        <v>642000</v>
      </c>
      <c r="Y84" s="12"/>
      <c r="Z84" s="12">
        <f t="shared" si="29"/>
        <v>2065000</v>
      </c>
      <c r="AA84" s="12">
        <v>1185000</v>
      </c>
      <c r="AB84" s="12">
        <f t="shared" si="23"/>
        <v>3250000</v>
      </c>
      <c r="AC84" s="12">
        <v>1358000</v>
      </c>
      <c r="AD84" s="12">
        <v>561000</v>
      </c>
      <c r="AE84" s="12"/>
      <c r="AF84" s="12">
        <f t="shared" si="30"/>
        <v>1919000</v>
      </c>
      <c r="AG84" s="12">
        <v>911000</v>
      </c>
      <c r="AH84" s="12">
        <f t="shared" si="25"/>
        <v>2830000</v>
      </c>
      <c r="AI84" s="12">
        <v>1136000</v>
      </c>
      <c r="AJ84" s="12">
        <v>704000</v>
      </c>
      <c r="AK84" s="12"/>
      <c r="AL84" s="12">
        <f t="shared" si="31"/>
        <v>1840000</v>
      </c>
      <c r="AM84" s="12">
        <v>876000</v>
      </c>
      <c r="AN84" s="12">
        <f t="shared" si="26"/>
        <v>2716000</v>
      </c>
      <c r="AO84" s="12">
        <v>1400000</v>
      </c>
      <c r="AP84" s="12">
        <v>577000</v>
      </c>
      <c r="AQ84" s="12"/>
      <c r="AR84" s="12">
        <f t="shared" si="32"/>
        <v>1977000</v>
      </c>
      <c r="AS84" s="12">
        <v>1057000</v>
      </c>
      <c r="AT84" s="12">
        <f t="shared" si="27"/>
        <v>3034000</v>
      </c>
      <c r="AU84" t="s">
        <v>0</v>
      </c>
      <c r="AV84" s="7" t="s">
        <v>315</v>
      </c>
      <c r="AX84" s="3" t="s">
        <v>316</v>
      </c>
    </row>
    <row r="85" spans="1:50" ht="137.5" x14ac:dyDescent="0.25">
      <c r="A85" s="21" t="s">
        <v>317</v>
      </c>
      <c r="B85" s="21" t="s">
        <v>457</v>
      </c>
      <c r="C85" s="21" t="s">
        <v>10</v>
      </c>
      <c r="D85" t="s">
        <v>10</v>
      </c>
      <c r="E85" s="11">
        <v>5755000000</v>
      </c>
      <c r="F85" s="11">
        <v>2098000000</v>
      </c>
      <c r="G85" s="10">
        <v>1993</v>
      </c>
      <c r="H85" t="s">
        <v>1</v>
      </c>
      <c r="I85" t="s">
        <v>0</v>
      </c>
      <c r="J85" s="3" t="s">
        <v>0</v>
      </c>
      <c r="M85" t="s">
        <v>318</v>
      </c>
      <c r="O85" t="s">
        <v>0</v>
      </c>
      <c r="Q85" s="12">
        <v>16863.186000000002</v>
      </c>
      <c r="R85" s="12">
        <v>249714.82</v>
      </c>
      <c r="S85" s="12"/>
      <c r="T85" s="12">
        <f t="shared" si="28"/>
        <v>266578.00599999999</v>
      </c>
      <c r="U85" s="12">
        <f>11746+136900+5154+100+6531+419157</f>
        <v>579588</v>
      </c>
      <c r="V85" s="12">
        <f t="shared" si="21"/>
        <v>846166.00600000005</v>
      </c>
      <c r="W85" s="12">
        <v>21923</v>
      </c>
      <c r="X85" s="12">
        <v>287974</v>
      </c>
      <c r="Y85" s="12"/>
      <c r="Z85" s="12">
        <f t="shared" si="29"/>
        <v>309897</v>
      </c>
      <c r="AA85" s="12">
        <v>591378</v>
      </c>
      <c r="AB85" s="12">
        <f t="shared" si="23"/>
        <v>901275</v>
      </c>
      <c r="AC85" s="12">
        <v>19404</v>
      </c>
      <c r="AD85" s="12">
        <v>293618</v>
      </c>
      <c r="AE85" s="12"/>
      <c r="AF85" s="12">
        <f t="shared" si="30"/>
        <v>313022</v>
      </c>
      <c r="AG85" s="12">
        <v>580998</v>
      </c>
      <c r="AH85" s="12">
        <f t="shared" si="25"/>
        <v>894020</v>
      </c>
      <c r="AI85" s="12">
        <v>20364</v>
      </c>
      <c r="AJ85" s="12">
        <v>304405</v>
      </c>
      <c r="AK85" s="12"/>
      <c r="AL85" s="12">
        <f t="shared" si="31"/>
        <v>324769</v>
      </c>
      <c r="AM85" s="12">
        <v>604001</v>
      </c>
      <c r="AN85" s="12">
        <f t="shared" si="26"/>
        <v>928770</v>
      </c>
      <c r="AO85" s="12">
        <v>23000</v>
      </c>
      <c r="AP85" s="12">
        <v>358862</v>
      </c>
      <c r="AQ85" s="12"/>
      <c r="AR85" s="12">
        <f t="shared" si="32"/>
        <v>381862</v>
      </c>
      <c r="AS85" s="12">
        <v>618912</v>
      </c>
      <c r="AT85" s="12">
        <f t="shared" si="27"/>
        <v>1000774</v>
      </c>
      <c r="AV85" s="18" t="s">
        <v>319</v>
      </c>
      <c r="AX85" s="3" t="s">
        <v>320</v>
      </c>
    </row>
    <row r="86" spans="1:50" ht="212.5" x14ac:dyDescent="0.25">
      <c r="A86" s="21" t="s">
        <v>321</v>
      </c>
      <c r="B86" s="21" t="s">
        <v>321</v>
      </c>
      <c r="C86" s="21" t="s">
        <v>12</v>
      </c>
      <c r="D86" t="s">
        <v>12</v>
      </c>
      <c r="E86" s="11">
        <v>21419000000</v>
      </c>
      <c r="F86" s="11">
        <v>3250000000</v>
      </c>
      <c r="G86" s="10">
        <v>1949</v>
      </c>
      <c r="H86" t="s">
        <v>1</v>
      </c>
      <c r="I86" t="s">
        <v>0</v>
      </c>
      <c r="J86" t="s">
        <v>0</v>
      </c>
      <c r="K86">
        <v>2050</v>
      </c>
      <c r="L86" s="22">
        <v>2020</v>
      </c>
      <c r="M86" s="3" t="s">
        <v>322</v>
      </c>
      <c r="O86" t="s">
        <v>0</v>
      </c>
      <c r="Q86" s="12">
        <v>88213565</v>
      </c>
      <c r="R86" s="12">
        <v>35568</v>
      </c>
      <c r="S86" s="12"/>
      <c r="T86" s="12">
        <f t="shared" si="28"/>
        <v>88249133</v>
      </c>
      <c r="U86" s="12">
        <f>3423778+88879+35260791</f>
        <v>38773448</v>
      </c>
      <c r="V86" s="12">
        <f t="shared" si="21"/>
        <v>127022581</v>
      </c>
      <c r="W86" s="12">
        <v>102232275</v>
      </c>
      <c r="X86" s="12">
        <v>2142130.48</v>
      </c>
      <c r="Y86" s="12"/>
      <c r="Z86" s="12">
        <f t="shared" si="29"/>
        <v>104374405.48</v>
      </c>
      <c r="AA86" s="12">
        <v>37299499</v>
      </c>
      <c r="AB86" s="12">
        <f t="shared" si="23"/>
        <v>141673904.48000002</v>
      </c>
      <c r="AC86" s="12">
        <v>97534302</v>
      </c>
      <c r="AD86" s="12">
        <v>2701183</v>
      </c>
      <c r="AE86" s="12"/>
      <c r="AF86" s="12">
        <f t="shared" si="30"/>
        <v>100235485</v>
      </c>
      <c r="AG86" s="12">
        <v>34630131</v>
      </c>
      <c r="AH86" s="12">
        <f t="shared" si="25"/>
        <v>134865616</v>
      </c>
      <c r="AI86" s="12" t="s">
        <v>0</v>
      </c>
      <c r="AJ86" s="12" t="s">
        <v>0</v>
      </c>
      <c r="AK86" s="12" t="s">
        <v>0</v>
      </c>
      <c r="AL86" s="12" t="str">
        <f t="shared" si="31"/>
        <v/>
      </c>
      <c r="AM86" s="12" t="s">
        <v>0</v>
      </c>
      <c r="AN86" s="12" t="str">
        <f t="shared" si="26"/>
        <v/>
      </c>
      <c r="AO86" s="12" t="s">
        <v>0</v>
      </c>
      <c r="AP86" s="12" t="s">
        <v>0</v>
      </c>
      <c r="AQ86" s="12" t="s">
        <v>0</v>
      </c>
      <c r="AR86" s="12" t="str">
        <f t="shared" si="32"/>
        <v/>
      </c>
      <c r="AS86" s="12" t="s">
        <v>0</v>
      </c>
      <c r="AT86" s="12" t="str">
        <f t="shared" si="27"/>
        <v/>
      </c>
      <c r="AU86" s="3" t="s">
        <v>1</v>
      </c>
      <c r="AV86" s="18" t="s">
        <v>323</v>
      </c>
      <c r="AX86" s="14" t="s">
        <v>436</v>
      </c>
    </row>
    <row r="87" spans="1:50" ht="100" x14ac:dyDescent="0.25">
      <c r="A87" s="21" t="s">
        <v>324</v>
      </c>
      <c r="B87" s="21" t="s">
        <v>406</v>
      </c>
      <c r="C87" s="32" t="s">
        <v>3</v>
      </c>
      <c r="D87" s="4" t="s">
        <v>133</v>
      </c>
      <c r="E87" s="5">
        <v>26510000000</v>
      </c>
      <c r="F87" s="5">
        <v>3600000000</v>
      </c>
      <c r="G87" s="9">
        <v>1992</v>
      </c>
      <c r="H87" s="5" t="s">
        <v>1</v>
      </c>
      <c r="I87" t="s">
        <v>1</v>
      </c>
      <c r="J87" t="s">
        <v>1</v>
      </c>
      <c r="K87">
        <v>2050</v>
      </c>
      <c r="L87">
        <v>2020</v>
      </c>
      <c r="M87" s="3" t="s">
        <v>325</v>
      </c>
      <c r="O87" t="s">
        <v>1</v>
      </c>
      <c r="P87" t="s">
        <v>326</v>
      </c>
      <c r="Q87" s="12">
        <v>381198.61</v>
      </c>
      <c r="R87" s="12">
        <v>281700.89</v>
      </c>
      <c r="S87" s="12"/>
      <c r="T87" s="12">
        <f t="shared" si="28"/>
        <v>662899.5</v>
      </c>
      <c r="U87" s="12">
        <f>8844532.71+1549767.91+1339261.73+544171.31+1022025.11+19035.53+821116.5+62449.06+149443.2+612189.99</f>
        <v>14963993.050000001</v>
      </c>
      <c r="V87" s="12">
        <f t="shared" si="21"/>
        <v>15626892.550000001</v>
      </c>
      <c r="W87" s="12">
        <v>319600</v>
      </c>
      <c r="X87" s="12">
        <v>285600</v>
      </c>
      <c r="Y87" s="12"/>
      <c r="Z87" s="12">
        <f t="shared" si="29"/>
        <v>605200</v>
      </c>
      <c r="AA87" s="12">
        <v>14990000</v>
      </c>
      <c r="AB87" s="12">
        <f t="shared" si="23"/>
        <v>15595200</v>
      </c>
      <c r="AC87" s="12">
        <v>291000</v>
      </c>
      <c r="AD87" s="12">
        <v>390000</v>
      </c>
      <c r="AE87" s="12"/>
      <c r="AF87" s="12">
        <f t="shared" si="30"/>
        <v>681000</v>
      </c>
      <c r="AG87" s="12">
        <v>15900000</v>
      </c>
      <c r="AH87" s="12">
        <f t="shared" si="25"/>
        <v>16581000</v>
      </c>
      <c r="AI87" s="12">
        <v>321763</v>
      </c>
      <c r="AJ87" s="12">
        <v>253819</v>
      </c>
      <c r="AK87" s="12"/>
      <c r="AL87" s="12">
        <f t="shared" si="31"/>
        <v>575582</v>
      </c>
      <c r="AM87" s="12">
        <f>9923385+1047965+1395658+660216+1329459+20129+523015+3335+88216+196234</f>
        <v>15187612</v>
      </c>
      <c r="AN87" s="12">
        <f t="shared" si="26"/>
        <v>15763194</v>
      </c>
      <c r="AO87" s="12">
        <v>329002</v>
      </c>
      <c r="AP87" s="12">
        <v>513511</v>
      </c>
      <c r="AQ87" s="12"/>
      <c r="AR87" s="12">
        <f t="shared" si="32"/>
        <v>842513</v>
      </c>
      <c r="AS87" s="12">
        <f>6734410+983792+708554+606066+822171+11525+559173+22523+92406+130145</f>
        <v>10670765</v>
      </c>
      <c r="AT87" s="12">
        <f t="shared" si="27"/>
        <v>11513278</v>
      </c>
      <c r="AV87" s="18" t="s">
        <v>327</v>
      </c>
      <c r="AX87" s="3" t="s">
        <v>328</v>
      </c>
    </row>
    <row r="88" spans="1:50" ht="137.5" x14ac:dyDescent="0.25">
      <c r="A88" s="21" t="s">
        <v>329</v>
      </c>
      <c r="B88" s="21" t="s">
        <v>444</v>
      </c>
      <c r="C88" s="32" t="s">
        <v>4</v>
      </c>
      <c r="D88" s="4" t="s">
        <v>85</v>
      </c>
      <c r="E88" s="5">
        <v>78100000000</v>
      </c>
      <c r="F88" s="5">
        <v>3269000000</v>
      </c>
      <c r="G88" s="9">
        <v>1967</v>
      </c>
      <c r="H88" s="5" t="s">
        <v>1</v>
      </c>
      <c r="I88" s="4" t="s">
        <v>0</v>
      </c>
      <c r="J88" t="s">
        <v>1</v>
      </c>
      <c r="M88" s="3" t="s">
        <v>330</v>
      </c>
      <c r="O88" t="s">
        <v>1</v>
      </c>
      <c r="P88" s="3" t="s">
        <v>331</v>
      </c>
      <c r="Q88" s="12">
        <v>752552</v>
      </c>
      <c r="R88" s="12">
        <v>1545898</v>
      </c>
      <c r="S88" s="12"/>
      <c r="T88" s="12">
        <f t="shared" si="28"/>
        <v>2298450</v>
      </c>
      <c r="U88" s="12">
        <f>27389000+743000+509000+1655000+271000+22000+585000+5672000+12897000+2306000</f>
        <v>52049000</v>
      </c>
      <c r="V88" s="12">
        <f t="shared" si="21"/>
        <v>54347450</v>
      </c>
      <c r="W88" s="12">
        <v>755484</v>
      </c>
      <c r="X88" s="12">
        <v>2108893</v>
      </c>
      <c r="Y88" s="12"/>
      <c r="Z88" s="12">
        <f t="shared" si="29"/>
        <v>2864377</v>
      </c>
      <c r="AA88" s="12">
        <f>43284000+1000000+905000+1356000+168000+21000+539000+6950000+23340000+809000+28000</f>
        <v>78400000</v>
      </c>
      <c r="AB88" s="12">
        <f t="shared" si="23"/>
        <v>81264377</v>
      </c>
      <c r="AC88" s="12">
        <v>706176</v>
      </c>
      <c r="AD88" s="12">
        <v>2111537</v>
      </c>
      <c r="AE88" s="12"/>
      <c r="AF88" s="12">
        <f t="shared" si="30"/>
        <v>2817713</v>
      </c>
      <c r="AG88" s="12">
        <v>78400000</v>
      </c>
      <c r="AH88" s="12">
        <f t="shared" si="25"/>
        <v>81217713</v>
      </c>
      <c r="AI88" s="12">
        <v>730846</v>
      </c>
      <c r="AJ88" s="12">
        <v>2155763</v>
      </c>
      <c r="AK88" s="12"/>
      <c r="AL88" s="12">
        <f t="shared" si="31"/>
        <v>2886609</v>
      </c>
      <c r="AM88" s="12" t="s">
        <v>401</v>
      </c>
      <c r="AN88" s="12" t="str">
        <f t="shared" si="26"/>
        <v/>
      </c>
      <c r="AO88" s="12">
        <v>581568</v>
      </c>
      <c r="AP88" s="12">
        <v>2290938</v>
      </c>
      <c r="AQ88" s="12"/>
      <c r="AR88" s="12">
        <f t="shared" si="32"/>
        <v>2872506</v>
      </c>
      <c r="AS88" s="12" t="s">
        <v>401</v>
      </c>
      <c r="AT88" s="12" t="str">
        <f t="shared" si="27"/>
        <v/>
      </c>
      <c r="AV88" s="3" t="s">
        <v>332</v>
      </c>
      <c r="AX88" s="3" t="s">
        <v>333</v>
      </c>
    </row>
    <row r="89" spans="1:50" ht="87.5" x14ac:dyDescent="0.25">
      <c r="A89" s="21" t="s">
        <v>334</v>
      </c>
      <c r="B89" s="21" t="s">
        <v>334</v>
      </c>
      <c r="C89" s="32" t="s">
        <v>11</v>
      </c>
      <c r="D89" s="4" t="s">
        <v>96</v>
      </c>
      <c r="E89" s="11">
        <v>14318000000</v>
      </c>
      <c r="F89" s="11">
        <v>5020000000</v>
      </c>
      <c r="G89" s="10">
        <v>1953</v>
      </c>
      <c r="H89" t="s">
        <v>1</v>
      </c>
      <c r="I89" t="s">
        <v>0</v>
      </c>
      <c r="J89" t="s">
        <v>0</v>
      </c>
      <c r="M89" s="3" t="s">
        <v>335</v>
      </c>
      <c r="N89" t="s">
        <v>1</v>
      </c>
      <c r="O89" t="s">
        <v>0</v>
      </c>
      <c r="Q89" s="12">
        <v>966579</v>
      </c>
      <c r="R89" s="12">
        <v>13430</v>
      </c>
      <c r="S89" s="12"/>
      <c r="T89" s="12">
        <f t="shared" si="28"/>
        <v>980009</v>
      </c>
      <c r="U89" s="12" t="s">
        <v>401</v>
      </c>
      <c r="V89" s="12" t="str">
        <f t="shared" si="21"/>
        <v/>
      </c>
      <c r="W89" s="12">
        <v>1157549</v>
      </c>
      <c r="X89" s="12">
        <v>1110819</v>
      </c>
      <c r="Y89" s="12"/>
      <c r="Z89" s="12">
        <f t="shared" si="29"/>
        <v>2268368</v>
      </c>
      <c r="AA89" s="12" t="s">
        <v>401</v>
      </c>
      <c r="AB89" s="12" t="str">
        <f t="shared" si="23"/>
        <v/>
      </c>
      <c r="AC89" s="12">
        <v>1161654</v>
      </c>
      <c r="AD89" s="12">
        <v>1256755</v>
      </c>
      <c r="AE89" s="12"/>
      <c r="AF89" s="12">
        <f t="shared" si="30"/>
        <v>2418409</v>
      </c>
      <c r="AG89" s="12" t="s">
        <v>401</v>
      </c>
      <c r="AH89" s="12" t="str">
        <f t="shared" si="25"/>
        <v/>
      </c>
      <c r="AI89" s="12">
        <v>1076947</v>
      </c>
      <c r="AJ89" s="12">
        <v>1319215</v>
      </c>
      <c r="AK89" s="12"/>
      <c r="AL89" s="12">
        <f t="shared" si="31"/>
        <v>2396162</v>
      </c>
      <c r="AM89" s="12" t="s">
        <v>401</v>
      </c>
      <c r="AN89" s="12" t="str">
        <f t="shared" si="26"/>
        <v/>
      </c>
      <c r="AO89" s="12">
        <v>1085622</v>
      </c>
      <c r="AP89" s="12">
        <v>1322813</v>
      </c>
      <c r="AQ89" s="12"/>
      <c r="AR89" s="12">
        <f t="shared" si="32"/>
        <v>2408435</v>
      </c>
      <c r="AS89" s="12" t="s">
        <v>401</v>
      </c>
      <c r="AT89" s="12" t="str">
        <f t="shared" si="27"/>
        <v/>
      </c>
      <c r="AU89" s="30" t="s">
        <v>1</v>
      </c>
      <c r="AV89" s="14" t="s">
        <v>336</v>
      </c>
      <c r="AX89" s="3" t="s">
        <v>337</v>
      </c>
    </row>
    <row r="90" spans="1:50" ht="50" x14ac:dyDescent="0.25">
      <c r="A90" s="21" t="s">
        <v>338</v>
      </c>
      <c r="B90" s="21" t="s">
        <v>483</v>
      </c>
      <c r="C90" s="32" t="s">
        <v>6</v>
      </c>
      <c r="D90" s="4" t="s">
        <v>109</v>
      </c>
      <c r="E90" s="11">
        <v>20820000000</v>
      </c>
      <c r="F90" s="11">
        <v>4250000000</v>
      </c>
      <c r="G90" s="10">
        <v>1784</v>
      </c>
      <c r="H90" s="4" t="s">
        <v>1</v>
      </c>
      <c r="I90" s="4" t="s">
        <v>1</v>
      </c>
      <c r="J90" t="s">
        <v>0</v>
      </c>
      <c r="K90">
        <v>2015</v>
      </c>
      <c r="L90">
        <v>2008</v>
      </c>
      <c r="M90" s="17" t="s">
        <v>0</v>
      </c>
      <c r="N90" t="s">
        <v>1</v>
      </c>
      <c r="O90" s="4" t="s">
        <v>0</v>
      </c>
      <c r="P90" s="4" t="s">
        <v>0</v>
      </c>
      <c r="Q90" s="12">
        <v>8102</v>
      </c>
      <c r="R90" s="12">
        <v>3397</v>
      </c>
      <c r="S90" s="12">
        <v>31457</v>
      </c>
      <c r="T90" s="12">
        <f t="shared" si="28"/>
        <v>-19958</v>
      </c>
      <c r="U90" s="12">
        <v>14605</v>
      </c>
      <c r="V90" s="12">
        <f t="shared" si="21"/>
        <v>-5353</v>
      </c>
      <c r="W90" s="12">
        <v>8000</v>
      </c>
      <c r="X90" s="12">
        <v>2500</v>
      </c>
      <c r="Y90" s="12">
        <v>32000</v>
      </c>
      <c r="Z90" s="12">
        <f t="shared" si="29"/>
        <v>-21500</v>
      </c>
      <c r="AA90" s="12">
        <v>17200</v>
      </c>
      <c r="AB90" s="12">
        <f t="shared" si="23"/>
        <v>-4300</v>
      </c>
      <c r="AC90" s="12">
        <v>8265</v>
      </c>
      <c r="AD90" s="12">
        <v>2248</v>
      </c>
      <c r="AE90" s="12">
        <v>38000</v>
      </c>
      <c r="AF90" s="12">
        <f t="shared" si="30"/>
        <v>-27487</v>
      </c>
      <c r="AG90" s="12">
        <v>17944</v>
      </c>
      <c r="AH90" s="12">
        <f t="shared" si="25"/>
        <v>-9543</v>
      </c>
      <c r="AI90" s="12">
        <v>9000</v>
      </c>
      <c r="AJ90" s="12">
        <v>3350</v>
      </c>
      <c r="AK90" s="12">
        <v>32000</v>
      </c>
      <c r="AL90" s="12">
        <f t="shared" si="31"/>
        <v>-19650</v>
      </c>
      <c r="AM90" s="12">
        <v>19700</v>
      </c>
      <c r="AN90" s="12">
        <f t="shared" si="26"/>
        <v>50</v>
      </c>
      <c r="AO90" s="12"/>
      <c r="AP90" s="12"/>
      <c r="AQ90" s="12"/>
      <c r="AR90" s="12">
        <f t="shared" si="32"/>
        <v>0</v>
      </c>
      <c r="AS90" s="12"/>
      <c r="AT90" s="12">
        <f t="shared" si="27"/>
        <v>0</v>
      </c>
      <c r="AV90" s="18" t="s">
        <v>339</v>
      </c>
    </row>
    <row r="91" spans="1:50" ht="137.5" x14ac:dyDescent="0.25">
      <c r="A91" s="21" t="s">
        <v>340</v>
      </c>
      <c r="B91" s="21" t="s">
        <v>480</v>
      </c>
      <c r="C91" s="21" t="s">
        <v>2</v>
      </c>
      <c r="D91" s="4" t="s">
        <v>124</v>
      </c>
      <c r="E91" s="11">
        <v>69570000000</v>
      </c>
      <c r="F91" s="11">
        <v>11050000000</v>
      </c>
      <c r="G91" s="10">
        <v>1957</v>
      </c>
      <c r="H91" t="s">
        <v>1</v>
      </c>
      <c r="I91" t="s">
        <v>0</v>
      </c>
      <c r="J91" t="s">
        <v>0</v>
      </c>
      <c r="M91" s="3" t="s">
        <v>341</v>
      </c>
      <c r="O91" t="s">
        <v>0</v>
      </c>
      <c r="Q91" s="12">
        <v>855073</v>
      </c>
      <c r="R91" s="12">
        <v>931544</v>
      </c>
      <c r="S91" s="12"/>
      <c r="T91" s="12">
        <f t="shared" si="28"/>
        <v>1786617</v>
      </c>
      <c r="U91" s="12" t="s">
        <v>401</v>
      </c>
      <c r="V91" s="12" t="str">
        <f t="shared" si="21"/>
        <v/>
      </c>
      <c r="W91" s="12">
        <v>897523</v>
      </c>
      <c r="X91" s="12">
        <v>975778</v>
      </c>
      <c r="Y91" s="12"/>
      <c r="Z91" s="12">
        <f t="shared" si="29"/>
        <v>1873301</v>
      </c>
      <c r="AA91" s="12" t="s">
        <v>401</v>
      </c>
      <c r="AB91" s="12" t="str">
        <f t="shared" si="23"/>
        <v/>
      </c>
      <c r="AC91" s="12">
        <v>843275</v>
      </c>
      <c r="AD91" s="12">
        <v>1002150</v>
      </c>
      <c r="AE91" s="12"/>
      <c r="AF91" s="12">
        <f t="shared" si="30"/>
        <v>1845425</v>
      </c>
      <c r="AG91" s="12" t="s">
        <v>401</v>
      </c>
      <c r="AH91" s="12" t="str">
        <f t="shared" si="25"/>
        <v/>
      </c>
      <c r="AI91" s="12">
        <v>865577</v>
      </c>
      <c r="AJ91" s="12">
        <v>909738</v>
      </c>
      <c r="AK91" s="12"/>
      <c r="AL91" s="12">
        <f t="shared" si="31"/>
        <v>1775315</v>
      </c>
      <c r="AM91" s="12" t="s">
        <v>401</v>
      </c>
      <c r="AN91" s="12" t="str">
        <f t="shared" si="26"/>
        <v/>
      </c>
      <c r="AO91" s="12">
        <v>851038</v>
      </c>
      <c r="AP91" s="12">
        <v>917030</v>
      </c>
      <c r="AQ91" s="12"/>
      <c r="AR91" s="12">
        <f t="shared" si="32"/>
        <v>1768068</v>
      </c>
      <c r="AS91" s="12" t="s">
        <v>401</v>
      </c>
      <c r="AT91" s="12" t="str">
        <f t="shared" si="27"/>
        <v/>
      </c>
      <c r="AV91" s="3" t="s">
        <v>342</v>
      </c>
      <c r="AX91" s="3" t="s">
        <v>343</v>
      </c>
    </row>
    <row r="92" spans="1:50" ht="87.5" x14ac:dyDescent="0.25">
      <c r="A92" s="21" t="s">
        <v>344</v>
      </c>
      <c r="B92" s="21" t="s">
        <v>452</v>
      </c>
      <c r="C92" s="32" t="s">
        <v>7</v>
      </c>
      <c r="D92" s="4" t="s">
        <v>146</v>
      </c>
      <c r="E92" s="11">
        <v>25540000000</v>
      </c>
      <c r="F92" s="11">
        <v>3696000000</v>
      </c>
      <c r="G92" s="10">
        <v>1965</v>
      </c>
      <c r="H92" t="s">
        <v>1</v>
      </c>
      <c r="I92" t="s">
        <v>0</v>
      </c>
      <c r="J92" t="s">
        <v>0</v>
      </c>
      <c r="O92" t="s">
        <v>0</v>
      </c>
      <c r="Q92" s="12" t="s">
        <v>401</v>
      </c>
      <c r="R92" s="12" t="s">
        <v>401</v>
      </c>
      <c r="S92" s="12"/>
      <c r="T92" s="12" t="str">
        <f t="shared" si="28"/>
        <v/>
      </c>
      <c r="U92" s="12" t="s">
        <v>401</v>
      </c>
      <c r="V92" s="12" t="str">
        <f t="shared" si="21"/>
        <v/>
      </c>
      <c r="W92" s="12">
        <v>147521.62</v>
      </c>
      <c r="X92" s="12">
        <v>690767.33</v>
      </c>
      <c r="Y92" s="12"/>
      <c r="Z92" s="12">
        <f t="shared" si="29"/>
        <v>838288.95</v>
      </c>
      <c r="AA92" s="12" t="s">
        <v>401</v>
      </c>
      <c r="AB92" s="12" t="str">
        <f t="shared" si="23"/>
        <v/>
      </c>
      <c r="AC92" s="12">
        <v>70255</v>
      </c>
      <c r="AD92" s="12">
        <v>408244</v>
      </c>
      <c r="AE92" s="12"/>
      <c r="AF92" s="12">
        <f t="shared" si="30"/>
        <v>478499</v>
      </c>
      <c r="AG92" s="12">
        <v>206994</v>
      </c>
      <c r="AH92" s="12">
        <f t="shared" si="25"/>
        <v>685493</v>
      </c>
      <c r="AI92" s="12">
        <v>83529</v>
      </c>
      <c r="AJ92" s="12">
        <v>305579</v>
      </c>
      <c r="AK92" s="12"/>
      <c r="AL92" s="12">
        <f t="shared" si="31"/>
        <v>389108</v>
      </c>
      <c r="AM92" s="12"/>
      <c r="AN92" s="12">
        <f t="shared" si="26"/>
        <v>389108</v>
      </c>
      <c r="AO92" s="12">
        <v>92458</v>
      </c>
      <c r="AP92" s="12">
        <v>301234</v>
      </c>
      <c r="AQ92" s="12"/>
      <c r="AR92" s="12">
        <f t="shared" si="32"/>
        <v>393692</v>
      </c>
      <c r="AS92" s="12"/>
      <c r="AT92" s="12">
        <f t="shared" si="27"/>
        <v>393692</v>
      </c>
      <c r="AV92" s="18" t="s">
        <v>345</v>
      </c>
      <c r="AX92" s="3" t="s">
        <v>346</v>
      </c>
    </row>
    <row r="93" spans="1:50" ht="125" x14ac:dyDescent="0.25">
      <c r="A93" s="21" t="s">
        <v>347</v>
      </c>
      <c r="B93" s="21" t="s">
        <v>441</v>
      </c>
      <c r="C93" s="21" t="s">
        <v>8</v>
      </c>
      <c r="D93" s="4" t="s">
        <v>165</v>
      </c>
      <c r="E93" s="11">
        <v>21700000000</v>
      </c>
      <c r="F93" s="11">
        <v>5900000000</v>
      </c>
      <c r="H93" t="s">
        <v>1</v>
      </c>
      <c r="I93" t="s">
        <v>0</v>
      </c>
      <c r="J93" s="3" t="s">
        <v>1</v>
      </c>
      <c r="O93" t="s">
        <v>0</v>
      </c>
      <c r="Q93" s="12">
        <v>9688964</v>
      </c>
      <c r="R93" s="12">
        <f>10415469-Q93</f>
        <v>726505</v>
      </c>
      <c r="S93" s="12"/>
      <c r="T93" s="12">
        <f t="shared" si="28"/>
        <v>10415469</v>
      </c>
      <c r="U93" s="12">
        <v>15495</v>
      </c>
      <c r="V93" s="12">
        <f t="shared" si="21"/>
        <v>10430964</v>
      </c>
      <c r="W93" s="12">
        <v>10874731</v>
      </c>
      <c r="X93" s="12">
        <f>11760366-W93</f>
        <v>885635</v>
      </c>
      <c r="Y93" s="12"/>
      <c r="Z93" s="12">
        <f t="shared" si="29"/>
        <v>11760366</v>
      </c>
      <c r="AA93" s="12">
        <v>17138</v>
      </c>
      <c r="AB93" s="12">
        <f t="shared" si="23"/>
        <v>11777504</v>
      </c>
      <c r="AC93" s="12">
        <v>10216978</v>
      </c>
      <c r="AD93" s="12">
        <f>10989985-AC93</f>
        <v>773007</v>
      </c>
      <c r="AE93" s="12"/>
      <c r="AF93" s="12">
        <f t="shared" si="30"/>
        <v>10989985</v>
      </c>
      <c r="AG93" s="12">
        <v>18466</v>
      </c>
      <c r="AH93" s="12">
        <f t="shared" si="25"/>
        <v>11008451</v>
      </c>
      <c r="AI93" s="12">
        <v>9913870</v>
      </c>
      <c r="AJ93" s="12">
        <f>10685250-AI93</f>
        <v>771380</v>
      </c>
      <c r="AK93" s="12"/>
      <c r="AL93" s="12">
        <f t="shared" si="31"/>
        <v>10685250</v>
      </c>
      <c r="AM93" s="12">
        <v>18603</v>
      </c>
      <c r="AN93" s="12">
        <f t="shared" si="26"/>
        <v>10703853</v>
      </c>
      <c r="AO93" s="12">
        <v>10834984</v>
      </c>
      <c r="AP93" s="12">
        <f>11683549 -AO93</f>
        <v>848565</v>
      </c>
      <c r="AQ93" s="12"/>
      <c r="AR93" s="12">
        <f t="shared" si="32"/>
        <v>11683549</v>
      </c>
      <c r="AS93" s="12">
        <v>19803</v>
      </c>
      <c r="AT93" s="12">
        <f t="shared" si="27"/>
        <v>11703352</v>
      </c>
      <c r="AU93" s="3" t="s">
        <v>348</v>
      </c>
      <c r="AV93" s="14" t="s">
        <v>349</v>
      </c>
      <c r="AX93" s="3" t="s">
        <v>350</v>
      </c>
    </row>
    <row r="94" spans="1:50" ht="75" x14ac:dyDescent="0.25">
      <c r="A94" s="21" t="s">
        <v>351</v>
      </c>
      <c r="B94" s="21" t="s">
        <v>351</v>
      </c>
      <c r="C94" s="32" t="s">
        <v>7</v>
      </c>
      <c r="D94" s="4" t="s">
        <v>352</v>
      </c>
      <c r="E94" s="11">
        <v>242200000000</v>
      </c>
      <c r="F94" s="11">
        <v>14240000000</v>
      </c>
      <c r="G94" s="10">
        <v>1984</v>
      </c>
      <c r="H94" t="s">
        <v>1</v>
      </c>
      <c r="I94" t="s">
        <v>0</v>
      </c>
      <c r="J94" t="s">
        <v>0</v>
      </c>
      <c r="M94" s="3" t="s">
        <v>353</v>
      </c>
      <c r="O94" t="s">
        <v>0</v>
      </c>
      <c r="Q94" s="12">
        <v>17709</v>
      </c>
      <c r="R94" s="12">
        <v>149418</v>
      </c>
      <c r="S94" s="12"/>
      <c r="T94" s="12">
        <f t="shared" si="28"/>
        <v>167127</v>
      </c>
      <c r="U94" s="12">
        <f>25934+63005+252683+88189</f>
        <v>429811</v>
      </c>
      <c r="V94" s="12">
        <f t="shared" si="21"/>
        <v>596938</v>
      </c>
      <c r="W94" s="12">
        <v>13924</v>
      </c>
      <c r="X94" s="12">
        <v>158042</v>
      </c>
      <c r="Y94" s="12"/>
      <c r="Z94" s="12">
        <f t="shared" si="29"/>
        <v>171966</v>
      </c>
      <c r="AA94" s="12">
        <v>301410</v>
      </c>
      <c r="AB94" s="12">
        <f t="shared" si="23"/>
        <v>473376</v>
      </c>
      <c r="AC94" s="12">
        <v>16570</v>
      </c>
      <c r="AD94" s="12">
        <v>156719</v>
      </c>
      <c r="AE94" s="12"/>
      <c r="AF94" s="12">
        <f t="shared" si="30"/>
        <v>173289</v>
      </c>
      <c r="AG94" s="12">
        <v>127671</v>
      </c>
      <c r="AH94" s="12">
        <f t="shared" si="25"/>
        <v>300960</v>
      </c>
      <c r="AI94" s="12">
        <v>15838</v>
      </c>
      <c r="AJ94" s="12">
        <v>161303</v>
      </c>
      <c r="AK94" s="12"/>
      <c r="AL94" s="12">
        <f t="shared" si="31"/>
        <v>177141</v>
      </c>
      <c r="AM94" s="12">
        <v>146373</v>
      </c>
      <c r="AN94" s="12">
        <f t="shared" si="26"/>
        <v>323514</v>
      </c>
      <c r="AO94" s="12">
        <v>16567</v>
      </c>
      <c r="AP94" s="12">
        <v>180096</v>
      </c>
      <c r="AQ94" s="12"/>
      <c r="AR94" s="12">
        <f t="shared" si="32"/>
        <v>196663</v>
      </c>
      <c r="AS94" s="12">
        <v>173042</v>
      </c>
      <c r="AT94" s="12">
        <f t="shared" si="27"/>
        <v>369705</v>
      </c>
      <c r="AV94" s="3" t="s">
        <v>354</v>
      </c>
      <c r="AX94" s="3" t="s">
        <v>355</v>
      </c>
    </row>
    <row r="95" spans="1:50" ht="225" x14ac:dyDescent="0.25">
      <c r="A95" s="21" t="s">
        <v>356</v>
      </c>
      <c r="B95" s="21" t="s">
        <v>394</v>
      </c>
      <c r="C95" s="21" t="s">
        <v>8</v>
      </c>
      <c r="D95" s="4" t="s">
        <v>165</v>
      </c>
      <c r="E95" s="11">
        <v>74094000000</v>
      </c>
      <c r="F95" s="11">
        <v>4400000000</v>
      </c>
      <c r="G95" s="10">
        <v>1999</v>
      </c>
      <c r="H95" t="s">
        <v>1</v>
      </c>
      <c r="I95" t="s">
        <v>0</v>
      </c>
      <c r="J95" t="s">
        <v>0</v>
      </c>
      <c r="M95" s="3" t="s">
        <v>357</v>
      </c>
      <c r="N95" t="s">
        <v>1</v>
      </c>
      <c r="O95" t="s">
        <v>0</v>
      </c>
      <c r="Q95" s="12">
        <v>14223000</v>
      </c>
      <c r="R95" s="12">
        <v>731000</v>
      </c>
      <c r="S95" s="12"/>
      <c r="T95" s="12">
        <f t="shared" si="28"/>
        <v>14954000</v>
      </c>
      <c r="U95" s="12">
        <f>3122000+4629000+2820000+8198000+25000+69000+2079000+9000+57000</f>
        <v>21008000</v>
      </c>
      <c r="V95" s="12">
        <f t="shared" si="21"/>
        <v>35962000</v>
      </c>
      <c r="W95" s="12">
        <v>13851000</v>
      </c>
      <c r="X95" s="12">
        <v>784000</v>
      </c>
      <c r="Y95" s="12">
        <f>(95.9+7.6)*1000</f>
        <v>103500</v>
      </c>
      <c r="Z95" s="12">
        <f t="shared" si="29"/>
        <v>14531500</v>
      </c>
      <c r="AA95" s="12">
        <v>21783000</v>
      </c>
      <c r="AB95" s="12">
        <f t="shared" si="23"/>
        <v>36314500</v>
      </c>
      <c r="AC95" s="12">
        <v>13047000</v>
      </c>
      <c r="AD95" s="12">
        <v>745000</v>
      </c>
      <c r="AE95" s="12">
        <f>(77.9+6.3)*1000</f>
        <v>84200</v>
      </c>
      <c r="AF95" s="12">
        <f t="shared" si="30"/>
        <v>13707800</v>
      </c>
      <c r="AG95" s="12">
        <v>20071000</v>
      </c>
      <c r="AH95" s="12">
        <f t="shared" si="25"/>
        <v>33778800</v>
      </c>
      <c r="AI95" s="12">
        <v>12432000</v>
      </c>
      <c r="AJ95" s="12">
        <v>831000</v>
      </c>
      <c r="AK95" s="12">
        <f>(95.7+6)*1000</f>
        <v>101700</v>
      </c>
      <c r="AL95" s="12">
        <f t="shared" si="31"/>
        <v>13161300</v>
      </c>
      <c r="AM95" s="12">
        <v>17430000</v>
      </c>
      <c r="AN95" s="12">
        <f t="shared" si="26"/>
        <v>30591300</v>
      </c>
      <c r="AO95" s="12">
        <v>12197000</v>
      </c>
      <c r="AP95" s="12">
        <v>814000</v>
      </c>
      <c r="AQ95" s="12">
        <f>(44.9+3.2)*1000</f>
        <v>48100</v>
      </c>
      <c r="AR95" s="12">
        <f t="shared" si="32"/>
        <v>12962900</v>
      </c>
      <c r="AS95" s="12">
        <v>16877000</v>
      </c>
      <c r="AT95" s="12">
        <f t="shared" si="27"/>
        <v>29839900</v>
      </c>
      <c r="AU95" s="3" t="s">
        <v>358</v>
      </c>
      <c r="AV95" s="3" t="s">
        <v>359</v>
      </c>
      <c r="AX95" s="3" t="s">
        <v>360</v>
      </c>
    </row>
    <row r="96" spans="1:50" ht="162.5" x14ac:dyDescent="0.25">
      <c r="A96" s="21" t="s">
        <v>361</v>
      </c>
      <c r="B96" s="21" t="s">
        <v>361</v>
      </c>
      <c r="C96" s="32" t="s">
        <v>6</v>
      </c>
      <c r="D96" s="4" t="s">
        <v>103</v>
      </c>
      <c r="E96" s="11">
        <v>25775000000</v>
      </c>
      <c r="F96" s="11">
        <v>6914000000</v>
      </c>
      <c r="G96" s="10" t="s">
        <v>362</v>
      </c>
      <c r="H96" t="s">
        <v>0</v>
      </c>
      <c r="I96" t="s">
        <v>0</v>
      </c>
      <c r="J96" t="s">
        <v>0</v>
      </c>
      <c r="M96" s="3" t="s">
        <v>363</v>
      </c>
      <c r="O96" t="s">
        <v>0</v>
      </c>
      <c r="Q96" s="12">
        <v>56482</v>
      </c>
      <c r="R96" s="12">
        <v>176447</v>
      </c>
      <c r="S96" s="12"/>
      <c r="T96" s="12">
        <f t="shared" si="28"/>
        <v>232929</v>
      </c>
      <c r="U96" s="12">
        <f>8528+38762+79195+44088</f>
        <v>170573</v>
      </c>
      <c r="V96" s="12">
        <f t="shared" si="21"/>
        <v>403502</v>
      </c>
      <c r="W96" s="12">
        <v>63333</v>
      </c>
      <c r="X96" s="12">
        <v>233322</v>
      </c>
      <c r="Y96" s="12">
        <f>5165+32382+48317</f>
        <v>85864</v>
      </c>
      <c r="Z96" s="12">
        <f t="shared" si="29"/>
        <v>210791</v>
      </c>
      <c r="AA96" s="12"/>
      <c r="AB96" s="12">
        <f t="shared" si="23"/>
        <v>210791</v>
      </c>
      <c r="AC96" s="12">
        <v>55029</v>
      </c>
      <c r="AD96" s="12">
        <v>239367</v>
      </c>
      <c r="AE96" s="12"/>
      <c r="AF96" s="12">
        <f t="shared" si="30"/>
        <v>294396</v>
      </c>
      <c r="AG96" s="12"/>
      <c r="AH96" s="12">
        <f t="shared" si="25"/>
        <v>294396</v>
      </c>
      <c r="AI96" s="12">
        <v>53544</v>
      </c>
      <c r="AJ96" s="12">
        <v>325439</v>
      </c>
      <c r="AK96" s="12"/>
      <c r="AL96" s="12">
        <f t="shared" si="31"/>
        <v>378983</v>
      </c>
      <c r="AM96" s="12">
        <f>4953+27620+54092</f>
        <v>86665</v>
      </c>
      <c r="AN96" s="12">
        <f t="shared" si="26"/>
        <v>465648</v>
      </c>
      <c r="AO96" s="12"/>
      <c r="AP96" s="12"/>
      <c r="AQ96" s="12"/>
      <c r="AR96" s="12">
        <f t="shared" si="32"/>
        <v>0</v>
      </c>
      <c r="AS96" s="12"/>
      <c r="AT96" s="12">
        <f t="shared" si="27"/>
        <v>0</v>
      </c>
      <c r="AV96" s="3" t="s">
        <v>364</v>
      </c>
      <c r="AX96" s="3" t="s">
        <v>365</v>
      </c>
    </row>
    <row r="97" spans="1:50" ht="87.5" x14ac:dyDescent="0.25">
      <c r="A97" s="21" t="s">
        <v>366</v>
      </c>
      <c r="B97" s="21" t="s">
        <v>442</v>
      </c>
      <c r="C97" s="21" t="s">
        <v>2</v>
      </c>
      <c r="D97" s="4" t="s">
        <v>99</v>
      </c>
      <c r="E97" s="5">
        <v>131860000000</v>
      </c>
      <c r="F97" s="5">
        <v>19790000000</v>
      </c>
      <c r="G97" s="9">
        <v>2000</v>
      </c>
      <c r="H97" s="5" t="s">
        <v>1</v>
      </c>
      <c r="I97" t="s">
        <v>1</v>
      </c>
      <c r="J97" t="s">
        <v>0</v>
      </c>
      <c r="K97">
        <v>2035</v>
      </c>
      <c r="L97">
        <v>2019</v>
      </c>
      <c r="N97" t="s">
        <v>1</v>
      </c>
      <c r="O97" t="s">
        <v>0</v>
      </c>
      <c r="P97" t="s">
        <v>367</v>
      </c>
      <c r="Q97" s="12">
        <v>358753</v>
      </c>
      <c r="R97" s="12">
        <v>3982613</v>
      </c>
      <c r="S97" s="12"/>
      <c r="T97" s="12">
        <f t="shared" si="28"/>
        <v>4341366</v>
      </c>
      <c r="U97" s="12">
        <f>12502929+1057075+65443+36503+92882+511555+56906+2736735+1619</f>
        <v>17061647</v>
      </c>
      <c r="V97" s="12">
        <f t="shared" si="21"/>
        <v>21403013</v>
      </c>
      <c r="W97" s="12">
        <v>385241</v>
      </c>
      <c r="X97" s="12">
        <v>4033579</v>
      </c>
      <c r="Y97" s="12"/>
      <c r="Z97" s="12">
        <f t="shared" si="29"/>
        <v>4418820</v>
      </c>
      <c r="AA97" s="12" t="s">
        <v>401</v>
      </c>
      <c r="AB97" s="12" t="str">
        <f t="shared" si="23"/>
        <v/>
      </c>
      <c r="AC97" s="12">
        <v>376735</v>
      </c>
      <c r="AD97" s="12">
        <v>4522261</v>
      </c>
      <c r="AE97" s="12"/>
      <c r="AF97" s="12">
        <f t="shared" si="30"/>
        <v>4898996</v>
      </c>
      <c r="AG97" s="12">
        <v>69271</v>
      </c>
      <c r="AH97" s="12">
        <f t="shared" si="25"/>
        <v>4968267</v>
      </c>
      <c r="AI97" s="12">
        <v>372496</v>
      </c>
      <c r="AJ97" s="12">
        <v>5529727</v>
      </c>
      <c r="AK97" s="12"/>
      <c r="AL97" s="12">
        <f t="shared" si="31"/>
        <v>5902223</v>
      </c>
      <c r="AM97" s="12">
        <v>91365</v>
      </c>
      <c r="AN97" s="12">
        <f t="shared" si="26"/>
        <v>5993588</v>
      </c>
      <c r="AO97" s="12">
        <v>445704</v>
      </c>
      <c r="AP97" s="12">
        <v>5529153</v>
      </c>
      <c r="AQ97" s="12"/>
      <c r="AR97" s="12">
        <f t="shared" si="32"/>
        <v>5974857</v>
      </c>
      <c r="AS97" s="12">
        <v>43333</v>
      </c>
      <c r="AT97" s="12">
        <f t="shared" si="27"/>
        <v>6018190</v>
      </c>
      <c r="AV97" s="3" t="s">
        <v>368</v>
      </c>
      <c r="AW97" t="s">
        <v>369</v>
      </c>
      <c r="AX97" s="3" t="s">
        <v>370</v>
      </c>
    </row>
    <row r="98" spans="1:50" ht="112.5" x14ac:dyDescent="0.25">
      <c r="A98" s="21" t="s">
        <v>371</v>
      </c>
      <c r="B98" s="21" t="s">
        <v>462</v>
      </c>
      <c r="C98" s="32" t="s">
        <v>6</v>
      </c>
      <c r="D98" s="4" t="s">
        <v>89</v>
      </c>
      <c r="E98" s="5">
        <v>23000000000</v>
      </c>
      <c r="F98" s="5">
        <v>12100000000</v>
      </c>
      <c r="G98" s="9">
        <v>2008</v>
      </c>
      <c r="H98" s="5" t="s">
        <v>1</v>
      </c>
      <c r="I98" t="s">
        <v>0</v>
      </c>
      <c r="J98" t="s">
        <v>0</v>
      </c>
      <c r="O98" t="s">
        <v>1</v>
      </c>
      <c r="P98">
        <v>2019</v>
      </c>
      <c r="Q98" s="12">
        <v>8642</v>
      </c>
      <c r="R98" s="12">
        <v>51366</v>
      </c>
      <c r="S98" s="12"/>
      <c r="T98" s="12">
        <f t="shared" si="28"/>
        <v>60008</v>
      </c>
      <c r="U98" s="12">
        <f>430410+13729+2203+48009+29518+94</f>
        <v>523963</v>
      </c>
      <c r="V98" s="12">
        <f t="shared" ref="V98:V101" si="33">IFERROR(T98+U98,"")</f>
        <v>583971</v>
      </c>
      <c r="W98" s="12">
        <f>287390*0.03</f>
        <v>8621.6999999999989</v>
      </c>
      <c r="X98" s="12">
        <f>287390*0.19</f>
        <v>54604.1</v>
      </c>
      <c r="Y98" s="12"/>
      <c r="Z98" s="12">
        <f t="shared" si="29"/>
        <v>63225.799999999996</v>
      </c>
      <c r="AA98" s="12">
        <f>153409+6583+2793+47000+22342+29</f>
        <v>232156</v>
      </c>
      <c r="AB98" s="12">
        <f t="shared" ref="AB98:AB101" si="34">IFERROR(Z98+AA98,"")</f>
        <v>295381.8</v>
      </c>
      <c r="AC98" s="12">
        <v>9143</v>
      </c>
      <c r="AD98" s="12">
        <v>56628</v>
      </c>
      <c r="AE98" s="12"/>
      <c r="AF98" s="12">
        <f t="shared" si="30"/>
        <v>65771</v>
      </c>
      <c r="AG98" s="12">
        <v>55182</v>
      </c>
      <c r="AH98" s="12">
        <f t="shared" ref="AH98:AH101" si="35">IFERROR(AF98+AG98,"")</f>
        <v>120953</v>
      </c>
      <c r="AI98" s="12">
        <v>9005</v>
      </c>
      <c r="AJ98" s="12">
        <v>68968</v>
      </c>
      <c r="AK98" s="12"/>
      <c r="AL98" s="12">
        <f t="shared" si="31"/>
        <v>77973</v>
      </c>
      <c r="AM98" s="12">
        <v>49736</v>
      </c>
      <c r="AN98" s="12">
        <f t="shared" ref="AN98:AN101" si="36">IFERROR(AL98+AM98,"")</f>
        <v>127709</v>
      </c>
      <c r="AO98" s="12">
        <v>17837</v>
      </c>
      <c r="AP98" s="12">
        <v>55177</v>
      </c>
      <c r="AQ98" s="12"/>
      <c r="AR98" s="12">
        <f t="shared" si="32"/>
        <v>73014</v>
      </c>
      <c r="AS98" s="12">
        <v>33149</v>
      </c>
      <c r="AT98" s="12">
        <f t="shared" ref="AT98:AT101" si="37">IFERROR(AR98+AS98,"")</f>
        <v>106163</v>
      </c>
      <c r="AU98" t="s">
        <v>0</v>
      </c>
      <c r="AV98" s="3" t="s">
        <v>372</v>
      </c>
      <c r="AW98" s="3" t="s">
        <v>373</v>
      </c>
      <c r="AX98" s="3" t="s">
        <v>374</v>
      </c>
    </row>
    <row r="99" spans="1:50" ht="50" x14ac:dyDescent="0.25">
      <c r="A99" s="21" t="s">
        <v>375</v>
      </c>
      <c r="B99" s="21" t="s">
        <v>479</v>
      </c>
      <c r="C99" s="32" t="s">
        <v>7</v>
      </c>
      <c r="D99" s="4" t="s">
        <v>85</v>
      </c>
      <c r="E99" s="11">
        <v>136900000000</v>
      </c>
      <c r="F99" s="11">
        <v>3900000000</v>
      </c>
      <c r="G99" s="10">
        <v>1927</v>
      </c>
      <c r="H99" t="s">
        <v>1</v>
      </c>
      <c r="I99" t="s">
        <v>0</v>
      </c>
      <c r="J99" t="s">
        <v>0</v>
      </c>
      <c r="O99" t="s">
        <v>0</v>
      </c>
      <c r="Q99" s="12">
        <v>389000</v>
      </c>
      <c r="R99" s="12">
        <v>1645000</v>
      </c>
      <c r="S99" s="12"/>
      <c r="T99" s="12">
        <f t="shared" si="28"/>
        <v>2034000</v>
      </c>
      <c r="U99" s="12">
        <v>107000</v>
      </c>
      <c r="V99" s="12">
        <f t="shared" si="33"/>
        <v>2141000</v>
      </c>
      <c r="W99" s="12">
        <v>370000</v>
      </c>
      <c r="X99" s="12">
        <v>1639000</v>
      </c>
      <c r="Y99" s="12"/>
      <c r="Z99" s="12">
        <f t="shared" si="29"/>
        <v>2009000</v>
      </c>
      <c r="AA99" s="12">
        <v>120000</v>
      </c>
      <c r="AB99" s="12">
        <f t="shared" si="34"/>
        <v>2129000</v>
      </c>
      <c r="AC99" s="12">
        <v>368000</v>
      </c>
      <c r="AD99" s="12">
        <v>1863000</v>
      </c>
      <c r="AE99" s="12"/>
      <c r="AF99" s="12">
        <f t="shared" si="30"/>
        <v>2231000</v>
      </c>
      <c r="AG99" s="12">
        <v>123000</v>
      </c>
      <c r="AH99" s="12">
        <f t="shared" si="35"/>
        <v>2354000</v>
      </c>
      <c r="AI99" s="12"/>
      <c r="AJ99" s="12"/>
      <c r="AK99" s="12"/>
      <c r="AL99" s="12">
        <f t="shared" si="31"/>
        <v>0</v>
      </c>
      <c r="AM99" s="12"/>
      <c r="AN99" s="12">
        <f t="shared" si="36"/>
        <v>0</v>
      </c>
      <c r="AO99" s="12"/>
      <c r="AP99" s="12"/>
      <c r="AQ99" s="12"/>
      <c r="AR99" s="12">
        <f t="shared" si="32"/>
        <v>0</v>
      </c>
      <c r="AS99" s="12"/>
      <c r="AT99" s="12">
        <f t="shared" si="37"/>
        <v>0</v>
      </c>
      <c r="AU99" t="s">
        <v>376</v>
      </c>
      <c r="AV99" s="18" t="s">
        <v>377</v>
      </c>
      <c r="AX99" s="3" t="s">
        <v>378</v>
      </c>
    </row>
    <row r="100" spans="1:50" ht="200" x14ac:dyDescent="0.25">
      <c r="A100" s="21" t="s">
        <v>379</v>
      </c>
      <c r="B100" s="21" t="s">
        <v>379</v>
      </c>
      <c r="C100" s="21" t="s">
        <v>4</v>
      </c>
      <c r="D100" s="4" t="s">
        <v>85</v>
      </c>
      <c r="E100" s="5">
        <v>524000000000</v>
      </c>
      <c r="F100" s="5">
        <v>14880000000</v>
      </c>
      <c r="G100" s="9">
        <v>1972</v>
      </c>
      <c r="H100" s="5" t="s">
        <v>1</v>
      </c>
      <c r="I100" s="4" t="s">
        <v>1</v>
      </c>
      <c r="J100" t="s">
        <v>1</v>
      </c>
      <c r="K100">
        <v>2040</v>
      </c>
      <c r="M100" s="3" t="s">
        <v>380</v>
      </c>
      <c r="N100" t="s">
        <v>0</v>
      </c>
      <c r="O100" t="s">
        <v>1</v>
      </c>
      <c r="P100">
        <v>2025</v>
      </c>
      <c r="Q100" s="12">
        <v>6484616</v>
      </c>
      <c r="R100" s="12">
        <v>11078980</v>
      </c>
      <c r="S100" s="12"/>
      <c r="T100" s="12">
        <f t="shared" si="28"/>
        <v>17563596</v>
      </c>
      <c r="U100" s="12">
        <f>143267842+645328+3327874+342577+968265+76296+3500000+5099+32211000+130+130000</f>
        <v>184474411</v>
      </c>
      <c r="V100" s="12">
        <f t="shared" si="33"/>
        <v>202038007</v>
      </c>
      <c r="W100" s="12">
        <v>6101641</v>
      </c>
      <c r="X100" s="12">
        <v>12022083</v>
      </c>
      <c r="Y100" s="12"/>
      <c r="Z100" s="12">
        <f t="shared" si="29"/>
        <v>18123724</v>
      </c>
      <c r="AA100" s="12">
        <f>143267842+645328+3327874+342577+968265+76296+3500000+5099+32211000+130+130000</f>
        <v>184474411</v>
      </c>
      <c r="AB100" s="12">
        <f t="shared" si="34"/>
        <v>202598135</v>
      </c>
      <c r="AC100" s="12">
        <v>12160000</v>
      </c>
      <c r="AD100" s="12">
        <v>6520000</v>
      </c>
      <c r="AE100" s="12"/>
      <c r="AF100" s="12">
        <f t="shared" si="30"/>
        <v>18680000</v>
      </c>
      <c r="AG100" s="12"/>
      <c r="AH100" s="12">
        <f t="shared" si="35"/>
        <v>18680000</v>
      </c>
      <c r="AI100" s="12">
        <v>14080000</v>
      </c>
      <c r="AJ100" s="12">
        <v>6650000</v>
      </c>
      <c r="AK100" s="12"/>
      <c r="AL100" s="12">
        <f t="shared" si="31"/>
        <v>20730000</v>
      </c>
      <c r="AM100" s="12"/>
      <c r="AN100" s="12">
        <f t="shared" si="36"/>
        <v>20730000</v>
      </c>
      <c r="AO100" s="12">
        <v>14930000</v>
      </c>
      <c r="AP100" s="12">
        <v>6110000</v>
      </c>
      <c r="AQ100" s="12"/>
      <c r="AR100" s="12">
        <f t="shared" si="32"/>
        <v>21040000</v>
      </c>
      <c r="AS100" s="12"/>
      <c r="AT100" s="12">
        <f t="shared" si="37"/>
        <v>21040000</v>
      </c>
      <c r="AU100" s="3" t="s">
        <v>381</v>
      </c>
      <c r="AV100" s="3" t="s">
        <v>382</v>
      </c>
      <c r="AW100" s="3" t="s">
        <v>383</v>
      </c>
      <c r="AX100" s="3" t="s">
        <v>384</v>
      </c>
    </row>
    <row r="101" spans="1:50" ht="125" x14ac:dyDescent="0.25">
      <c r="A101" s="21" t="s">
        <v>385</v>
      </c>
      <c r="B101" s="21" t="s">
        <v>385</v>
      </c>
      <c r="C101" s="32" t="s">
        <v>6</v>
      </c>
      <c r="D101" s="4" t="s">
        <v>103</v>
      </c>
      <c r="E101" s="5">
        <v>85060000000</v>
      </c>
      <c r="F101" s="5">
        <v>19550000000</v>
      </c>
      <c r="G101" s="9">
        <v>1978</v>
      </c>
      <c r="H101" s="5" t="s">
        <v>1</v>
      </c>
      <c r="I101" t="s">
        <v>0</v>
      </c>
      <c r="J101" t="s">
        <v>0</v>
      </c>
      <c r="M101" s="3" t="s">
        <v>386</v>
      </c>
      <c r="N101" s="3" t="s">
        <v>387</v>
      </c>
      <c r="O101" t="s">
        <v>1</v>
      </c>
      <c r="P101">
        <v>2017</v>
      </c>
      <c r="Q101" s="12">
        <v>91993</v>
      </c>
      <c r="R101" s="12">
        <v>4988</v>
      </c>
      <c r="S101" s="12"/>
      <c r="T101" s="12">
        <f t="shared" si="28"/>
        <v>96981</v>
      </c>
      <c r="U101" s="12">
        <f>2304829+455599+148420+9921+78277+613405</f>
        <v>3610451</v>
      </c>
      <c r="V101" s="12">
        <f t="shared" si="33"/>
        <v>3707432</v>
      </c>
      <c r="W101" s="12">
        <v>95316</v>
      </c>
      <c r="X101" s="12">
        <v>833204</v>
      </c>
      <c r="Y101" s="12"/>
      <c r="Z101" s="12">
        <f t="shared" si="29"/>
        <v>928520</v>
      </c>
      <c r="AA101" s="12">
        <f>2347646+559600+156145+12132+93815+612464</f>
        <v>3781802</v>
      </c>
      <c r="AB101" s="12">
        <f t="shared" si="34"/>
        <v>4710322</v>
      </c>
      <c r="AC101" s="12">
        <v>85830</v>
      </c>
      <c r="AD101" s="12">
        <v>848520</v>
      </c>
      <c r="AE101" s="12"/>
      <c r="AF101" s="12">
        <f t="shared" si="30"/>
        <v>934350</v>
      </c>
      <c r="AG101" s="12" t="s">
        <v>401</v>
      </c>
      <c r="AH101" s="12" t="str">
        <f t="shared" si="35"/>
        <v/>
      </c>
      <c r="AI101" s="12">
        <v>85628</v>
      </c>
      <c r="AJ101" s="12">
        <v>974982</v>
      </c>
      <c r="AK101" s="12"/>
      <c r="AL101" s="12">
        <f t="shared" si="31"/>
        <v>1060610</v>
      </c>
      <c r="AM101" s="12" t="s">
        <v>401</v>
      </c>
      <c r="AN101" s="12" t="str">
        <f t="shared" si="36"/>
        <v/>
      </c>
      <c r="AO101" s="12">
        <v>92610</v>
      </c>
      <c r="AP101" s="12">
        <v>1193278</v>
      </c>
      <c r="AQ101" s="12"/>
      <c r="AR101" s="12">
        <f t="shared" si="32"/>
        <v>1285888</v>
      </c>
      <c r="AS101" s="12" t="s">
        <v>401</v>
      </c>
      <c r="AT101" s="12" t="str">
        <f t="shared" si="37"/>
        <v/>
      </c>
      <c r="AV101" s="3" t="s">
        <v>388</v>
      </c>
      <c r="AX101" s="3" t="s">
        <v>389</v>
      </c>
    </row>
    <row r="102" spans="1:50" x14ac:dyDescent="0.25">
      <c r="A102" s="32"/>
      <c r="B102" s="32"/>
      <c r="D102" s="4"/>
      <c r="E102" s="37"/>
      <c r="F102" s="37"/>
      <c r="G102" s="38"/>
      <c r="H102" s="37"/>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V102" s="30"/>
      <c r="AX102" s="30"/>
    </row>
    <row r="103" spans="1:50" x14ac:dyDescent="0.25">
      <c r="Q103" s="17"/>
      <c r="R103" s="17"/>
      <c r="S103" s="17"/>
      <c r="T103" s="17"/>
      <c r="U103" s="17"/>
      <c r="V103" s="17"/>
      <c r="W103" s="17"/>
      <c r="X103" s="17"/>
      <c r="Y103" s="17"/>
      <c r="Z103" s="17"/>
      <c r="AA103" s="17"/>
      <c r="AB103" s="17"/>
      <c r="AC103" s="17"/>
      <c r="AD103" s="17"/>
      <c r="AE103" s="17"/>
      <c r="AF103" s="13"/>
      <c r="AG103" s="17"/>
      <c r="AH103" s="17"/>
      <c r="AI103" s="17"/>
      <c r="AJ103" s="17"/>
      <c r="AK103" s="17"/>
      <c r="AL103" s="17"/>
      <c r="AM103" s="17"/>
      <c r="AN103" s="17"/>
      <c r="AO103" s="17"/>
      <c r="AP103" s="17"/>
      <c r="AQ103" s="17"/>
      <c r="AR103" s="17"/>
      <c r="AS103" s="17"/>
      <c r="AT103" s="17"/>
    </row>
    <row r="104" spans="1:50" x14ac:dyDescent="0.25">
      <c r="Q104" s="17"/>
      <c r="R104" s="17"/>
      <c r="S104" s="17"/>
      <c r="T104" s="17"/>
      <c r="U104" s="17"/>
      <c r="V104" s="17"/>
      <c r="W104" s="17"/>
      <c r="X104" s="17"/>
      <c r="Y104" s="17"/>
      <c r="Z104" s="17"/>
      <c r="AA104" s="17"/>
      <c r="AB104" s="17"/>
      <c r="AC104" s="17"/>
      <c r="AD104" s="17"/>
      <c r="AE104" s="17"/>
      <c r="AF104" s="13"/>
      <c r="AG104" s="17"/>
      <c r="AH104" s="17"/>
      <c r="AI104" s="17"/>
      <c r="AJ104" s="17"/>
      <c r="AK104" s="17"/>
      <c r="AL104" s="17"/>
      <c r="AM104" s="17"/>
      <c r="AN104" s="17"/>
      <c r="AO104" s="17"/>
      <c r="AP104" s="17"/>
      <c r="AQ104" s="17"/>
      <c r="AR104" s="17"/>
      <c r="AS104" s="17"/>
      <c r="AT104" s="17"/>
    </row>
    <row r="105" spans="1:50" x14ac:dyDescent="0.25">
      <c r="A105" s="4" t="s">
        <v>484</v>
      </c>
      <c r="Q105" s="17"/>
      <c r="R105" s="17"/>
      <c r="S105" s="17"/>
      <c r="T105" s="17"/>
      <c r="U105" s="17"/>
      <c r="V105" s="17"/>
      <c r="W105" s="17"/>
      <c r="X105" s="17"/>
      <c r="Y105" s="17"/>
      <c r="Z105" s="17"/>
      <c r="AA105" s="17"/>
      <c r="AB105" s="17"/>
      <c r="AC105" s="17"/>
      <c r="AD105" s="17"/>
      <c r="AE105" s="17"/>
      <c r="AF105" s="13"/>
      <c r="AG105" s="17"/>
      <c r="AH105" s="17"/>
      <c r="AI105" s="17"/>
      <c r="AJ105" s="17"/>
      <c r="AK105" s="17"/>
      <c r="AL105" s="17"/>
      <c r="AM105" s="17"/>
      <c r="AN105" s="17"/>
      <c r="AO105" s="17"/>
      <c r="AP105" s="17"/>
      <c r="AQ105" s="17"/>
      <c r="AR105" s="17"/>
      <c r="AS105" s="17"/>
      <c r="AT105" s="17"/>
    </row>
    <row r="106" spans="1:50" x14ac:dyDescent="0.25">
      <c r="Q106" s="17"/>
      <c r="R106" s="17"/>
      <c r="S106" s="17"/>
      <c r="T106" s="17"/>
      <c r="U106" s="17"/>
      <c r="V106" s="17"/>
      <c r="W106" s="17"/>
      <c r="X106" s="17"/>
      <c r="Y106" s="17"/>
      <c r="Z106" s="17"/>
      <c r="AA106" s="17"/>
      <c r="AB106" s="17"/>
      <c r="AC106" s="17"/>
      <c r="AD106" s="17"/>
      <c r="AE106" s="17"/>
      <c r="AF106" s="13"/>
      <c r="AG106" s="17"/>
      <c r="AH106" s="17"/>
      <c r="AI106" s="17"/>
      <c r="AJ106" s="17"/>
      <c r="AK106" s="17"/>
      <c r="AL106" s="17"/>
      <c r="AM106" s="17"/>
      <c r="AN106" s="17"/>
      <c r="AO106" s="17"/>
      <c r="AP106" s="17"/>
      <c r="AQ106" s="17"/>
      <c r="AR106" s="17"/>
      <c r="AS106" s="17"/>
      <c r="AT106" s="17"/>
    </row>
    <row r="107" spans="1:50" x14ac:dyDescent="0.25">
      <c r="Q107" s="17"/>
      <c r="R107" s="17"/>
      <c r="S107" s="17"/>
      <c r="T107" s="17"/>
      <c r="U107" s="17"/>
      <c r="V107" s="17"/>
      <c r="W107" s="17"/>
      <c r="X107" s="17"/>
      <c r="Y107" s="17"/>
      <c r="Z107" s="17"/>
      <c r="AA107" s="17"/>
      <c r="AB107" s="17"/>
      <c r="AC107" s="17"/>
      <c r="AD107" s="17"/>
      <c r="AE107" s="17"/>
      <c r="AF107" s="13"/>
      <c r="AG107" s="17"/>
      <c r="AH107" s="17"/>
      <c r="AI107" s="17"/>
      <c r="AJ107" s="17"/>
      <c r="AK107" s="17"/>
      <c r="AL107" s="17"/>
      <c r="AM107" s="17"/>
      <c r="AN107" s="17"/>
      <c r="AO107" s="17"/>
      <c r="AP107" s="17"/>
      <c r="AQ107" s="17"/>
      <c r="AR107" s="17"/>
      <c r="AS107" s="17"/>
      <c r="AT107" s="17"/>
    </row>
    <row r="108" spans="1:50" x14ac:dyDescent="0.25">
      <c r="Q108" s="17"/>
      <c r="R108" s="17"/>
      <c r="S108" s="17"/>
      <c r="T108" s="17"/>
      <c r="U108" s="17"/>
      <c r="V108" s="17"/>
      <c r="W108" s="17"/>
      <c r="X108" s="17"/>
      <c r="Y108" s="17"/>
      <c r="Z108" s="17"/>
      <c r="AA108" s="17"/>
      <c r="AB108" s="17"/>
      <c r="AC108" s="17"/>
      <c r="AD108" s="17"/>
      <c r="AE108" s="17"/>
      <c r="AF108" s="13"/>
      <c r="AG108" s="17"/>
      <c r="AH108" s="17"/>
      <c r="AI108" s="17"/>
      <c r="AJ108" s="17"/>
      <c r="AK108" s="17"/>
      <c r="AL108" s="17"/>
      <c r="AM108" s="17"/>
      <c r="AN108" s="17"/>
      <c r="AO108" s="17"/>
      <c r="AP108" s="17"/>
      <c r="AQ108" s="17"/>
      <c r="AR108" s="17"/>
      <c r="AS108" s="17"/>
      <c r="AT108" s="17"/>
    </row>
    <row r="109" spans="1:50" x14ac:dyDescent="0.25">
      <c r="Q109" s="17"/>
      <c r="R109" s="17"/>
      <c r="S109" s="17"/>
      <c r="T109" s="17"/>
      <c r="U109" s="17"/>
      <c r="V109" s="17"/>
      <c r="W109" s="17"/>
      <c r="X109" s="17"/>
      <c r="Y109" s="17"/>
      <c r="Z109" s="17"/>
      <c r="AA109" s="17"/>
      <c r="AB109" s="17"/>
      <c r="AC109" s="17"/>
      <c r="AD109" s="17"/>
      <c r="AE109" s="17"/>
      <c r="AF109" s="13"/>
      <c r="AG109" s="17"/>
      <c r="AH109" s="17"/>
      <c r="AI109" s="17"/>
      <c r="AJ109" s="17"/>
      <c r="AK109" s="17"/>
      <c r="AL109" s="17"/>
      <c r="AM109" s="17"/>
      <c r="AN109" s="17"/>
      <c r="AO109" s="17"/>
      <c r="AP109" s="17"/>
      <c r="AQ109" s="17"/>
      <c r="AR109" s="17"/>
      <c r="AS109" s="17"/>
      <c r="AT109" s="17"/>
    </row>
    <row r="110" spans="1:50" x14ac:dyDescent="0.25">
      <c r="Q110" s="17"/>
      <c r="R110" s="17"/>
      <c r="S110" s="17"/>
      <c r="T110" s="17"/>
      <c r="U110" s="17"/>
      <c r="V110" s="17"/>
      <c r="W110" s="17"/>
      <c r="X110" s="17"/>
      <c r="Y110" s="17"/>
      <c r="Z110" s="17"/>
      <c r="AA110" s="17"/>
      <c r="AB110" s="17"/>
      <c r="AC110" s="17"/>
      <c r="AD110" s="17"/>
      <c r="AE110" s="17"/>
      <c r="AF110" s="13"/>
      <c r="AG110" s="17"/>
      <c r="AH110" s="17"/>
      <c r="AI110" s="17"/>
      <c r="AJ110" s="17"/>
      <c r="AK110" s="17"/>
      <c r="AL110" s="17"/>
      <c r="AM110" s="17"/>
      <c r="AN110" s="17"/>
      <c r="AO110" s="17"/>
      <c r="AP110" s="17"/>
      <c r="AQ110" s="17"/>
      <c r="AR110" s="17"/>
      <c r="AS110" s="17"/>
      <c r="AT110" s="17"/>
    </row>
    <row r="111" spans="1:50" x14ac:dyDescent="0.25">
      <c r="Q111" s="17"/>
      <c r="R111" s="17"/>
      <c r="S111" s="17"/>
      <c r="T111" s="17"/>
      <c r="U111" s="17"/>
      <c r="V111" s="17"/>
      <c r="W111" s="17"/>
      <c r="X111" s="17"/>
      <c r="Y111" s="17"/>
      <c r="Z111" s="17"/>
      <c r="AA111" s="17"/>
      <c r="AB111" s="17"/>
      <c r="AC111" s="17"/>
      <c r="AD111" s="17"/>
      <c r="AE111" s="17"/>
      <c r="AF111" s="13"/>
      <c r="AG111" s="17"/>
      <c r="AH111" s="17"/>
      <c r="AI111" s="17"/>
      <c r="AJ111" s="17"/>
      <c r="AK111" s="17"/>
      <c r="AL111" s="17"/>
      <c r="AM111" s="17"/>
      <c r="AN111" s="17"/>
      <c r="AO111" s="17"/>
      <c r="AP111" s="17"/>
      <c r="AQ111" s="17"/>
      <c r="AR111" s="17"/>
      <c r="AS111" s="17"/>
      <c r="AT111" s="17"/>
    </row>
    <row r="112" spans="1:50" x14ac:dyDescent="0.25">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row>
    <row r="113" spans="17:46" x14ac:dyDescent="0.25">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row>
    <row r="114" spans="17:46" x14ac:dyDescent="0.25">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row>
    <row r="115" spans="17:46" x14ac:dyDescent="0.25">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row>
    <row r="116" spans="17:46" x14ac:dyDescent="0.25">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row>
    <row r="117" spans="17:46" x14ac:dyDescent="0.25">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row>
    <row r="118" spans="17:46" x14ac:dyDescent="0.25">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row>
    <row r="119" spans="17:46" x14ac:dyDescent="0.25">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row>
    <row r="120" spans="17:46" x14ac:dyDescent="0.25">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row>
    <row r="121" spans="17:46" x14ac:dyDescent="0.25">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row>
    <row r="122" spans="17:46" x14ac:dyDescent="0.25">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row>
    <row r="123" spans="17:46" x14ac:dyDescent="0.25">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row>
    <row r="124" spans="17:46" x14ac:dyDescent="0.25">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row>
    <row r="125" spans="17:46" x14ac:dyDescent="0.25">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row>
    <row r="126" spans="17:46" x14ac:dyDescent="0.25">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row>
    <row r="127" spans="17:46" x14ac:dyDescent="0.25">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row>
    <row r="128" spans="17:46" x14ac:dyDescent="0.25">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row>
    <row r="129" spans="17:46" x14ac:dyDescent="0.25">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row>
    <row r="130" spans="17:46" x14ac:dyDescent="0.25">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row>
    <row r="131" spans="17:46" x14ac:dyDescent="0.25">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row>
    <row r="132" spans="17:46" x14ac:dyDescent="0.25">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row>
    <row r="133" spans="17:46" x14ac:dyDescent="0.25">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row>
    <row r="134" spans="17:46" x14ac:dyDescent="0.25">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row>
    <row r="135" spans="17:46" x14ac:dyDescent="0.25">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row>
    <row r="136" spans="17:46" x14ac:dyDescent="0.25">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row>
    <row r="137" spans="17:46" x14ac:dyDescent="0.25">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row>
    <row r="138" spans="17:46" x14ac:dyDescent="0.25">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row>
    <row r="139" spans="17:46" x14ac:dyDescent="0.25">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row>
    <row r="140" spans="17:46" x14ac:dyDescent="0.25">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row>
    <row r="141" spans="17:46" x14ac:dyDescent="0.25">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row>
    <row r="142" spans="17:46" x14ac:dyDescent="0.25">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row>
    <row r="143" spans="17:46" x14ac:dyDescent="0.25">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row>
    <row r="144" spans="17:46" x14ac:dyDescent="0.25">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row>
    <row r="145" spans="17:46" x14ac:dyDescent="0.25">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row>
    <row r="146" spans="17:46" x14ac:dyDescent="0.25">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row>
    <row r="147" spans="17:46" x14ac:dyDescent="0.25">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row>
    <row r="148" spans="17:46" x14ac:dyDescent="0.25">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row>
    <row r="149" spans="17:46" x14ac:dyDescent="0.25">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row>
    <row r="150" spans="17:46" x14ac:dyDescent="0.25">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row>
    <row r="151" spans="17:46" x14ac:dyDescent="0.25">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row>
    <row r="152" spans="17:46" x14ac:dyDescent="0.25">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row>
    <row r="153" spans="17:46" x14ac:dyDescent="0.25">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row>
    <row r="154" spans="17:46" x14ac:dyDescent="0.25">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row>
    <row r="155" spans="17:46" x14ac:dyDescent="0.25">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row>
    <row r="156" spans="17:46" x14ac:dyDescent="0.25">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row>
    <row r="157" spans="17:46" x14ac:dyDescent="0.25">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row>
    <row r="158" spans="17:46" x14ac:dyDescent="0.25">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row>
    <row r="159" spans="17:46" x14ac:dyDescent="0.25">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row>
    <row r="160" spans="17:46" x14ac:dyDescent="0.25">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row>
    <row r="161" spans="17:46" x14ac:dyDescent="0.25">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row>
    <row r="162" spans="17:46" x14ac:dyDescent="0.25">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row>
    <row r="163" spans="17:46" x14ac:dyDescent="0.25">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row>
    <row r="164" spans="17:46" x14ac:dyDescent="0.25">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row>
    <row r="165" spans="17:46" x14ac:dyDescent="0.25">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row>
    <row r="166" spans="17:46" x14ac:dyDescent="0.25">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row>
    <row r="167" spans="17:46" x14ac:dyDescent="0.25">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row>
    <row r="168" spans="17:46" x14ac:dyDescent="0.25">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row>
    <row r="169" spans="17:46" x14ac:dyDescent="0.25">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row>
    <row r="170" spans="17:46" x14ac:dyDescent="0.25">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row>
    <row r="171" spans="17:46" x14ac:dyDescent="0.25">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row>
    <row r="172" spans="17:46" x14ac:dyDescent="0.25">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row>
    <row r="173" spans="17:46" x14ac:dyDescent="0.25">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row>
    <row r="174" spans="17:46" x14ac:dyDescent="0.25">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row>
    <row r="175" spans="17:46" x14ac:dyDescent="0.25">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row>
    <row r="176" spans="17:46" x14ac:dyDescent="0.25">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row>
    <row r="177" spans="17:46" x14ac:dyDescent="0.25">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row>
    <row r="178" spans="17:46" x14ac:dyDescent="0.25">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row>
    <row r="179" spans="17:46" x14ac:dyDescent="0.25">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row>
    <row r="180" spans="17:46" x14ac:dyDescent="0.25">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row>
    <row r="181" spans="17:46" x14ac:dyDescent="0.25">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row>
  </sheetData>
  <phoneticPr fontId="6" type="noConversion"/>
  <hyperlinks>
    <hyperlink ref="AX24" r:id="rId1" xr:uid="{E2FBD465-37BD-47C2-B298-1DAC5BD95783}"/>
  </hyperlinks>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  N a m e < / K e y > < / D i a g r a m O b j e c t K e y > < D i a g r a m O b j e c t K e y > < K e y > C o l u m n s \ S e c t o r < / K e y > < / D i a g r a m O b j e c t K e y > < D i a g r a m O b j e c t K e y > < K e y > C o l u m n s \ I n d u s t r y < / K e y > < / D i a g r a m O b j e c t K e y > < D i a g r a m O b j e c t K e y > < K e y > C o l u m n s \ S i z e   ( 2 0 1 9   R e v e n u e ) < / K e y > < / D i a g r a m O b j e c t K e y > < D i a g r a m O b j e c t K e y > < K e y > C o l u m n s \ N e t   E a r n i n g s / I n c o m e   ( 2 0 1 9 ) < / K e y > < / D i a g r a m O b j e c t K e y > < D i a g r a m O b j e c t K e y > < K e y > C o l u m n s \ I P O   Y e a r < / K e y > < / D i a g r a m O b j e c t K e y > < D i a g r a m O b j e c t K e y > < K e y > C o l u m n s \ S & a m p ; P   1 0 0 ?   ( Y / N ) < / K e y > < / D i a g r a m O b j e c t K e y > < D i a g r a m O b j e c t K e y > < K e y > C o l u m n s \ C a r b o n   N e u t r a l   G o a l ?   ( Y / N ) < / K e y > < / D i a g r a m O b j e c t K e y > < D i a g r a m O b j e c t K e y > < K e y > C o l u m n s \ S c i e n c e - B a s e d   T a r g e t ?   ( Y / N ) < / K e y > < / D i a g r a m O b j e c t K e y > < D i a g r a m O b j e c t K e y > < K e y > C o l u m n s \ C a r b o n   N e u t r a l   b y . . . .   ( y e a r ) < / K e y > < / D i a g r a m O b j e c t K e y > < D i a g r a m O b j e c t K e y > < K e y > C o l u m n s \ C a r b o n   N e u t r a l   A n n o u n c e m e n t   ( y e a r ) < / K e y > < / D i a g r a m O b j e c t K e y > < D i a g r a m O b j e c t K e y > < K e y > C o l u m n s \ C a r b o n   G o a l   ( i f   n o n - z e r o ) < / K e y > < / D i a g r a m O b j e c t K e y > < D i a g r a m O b j e c t K e y > < K e y > C o l u m n s \ R e l i a n c e   o n   O f f s e t s ?   ( Y / N ) < / K e y > < / D i a g r a m O b j e c t K e y > < D i a g r a m O b j e c t K e y > < K e y > C o l u m n s \ R E 1 0 0   C o m m i t m e n t ?   ( Y / N ) < / K e y > < / D i a g r a m O b j e c t K e y > < D i a g r a m O b j e c t K e y > < K e y > C o l u m n s \ 1 0 0 %   R e n e w a b l e   E n e r g y   b y . . .   ( y e a r ) < / K e y > < / D i a g r a m O b j e c t K e y > < D i a g r a m O b j e c t K e y > < K e y > C o l u m n s \ 2 0 1 9   S c o p e   1   ( M e T   C o 2 ) < / K e y > < / D i a g r a m O b j e c t K e y > < D i a g r a m O b j e c t K e y > < K e y > C o l u m n s \ 2 0 1 9   S c o p e   2 < / K e y > < / D i a g r a m O b j e c t K e y > < D i a g r a m O b j e c t K e y > < K e y > C o l u m n s \ 2 0 1 9   O f f s e t s   P u r c h a s e d < / K e y > < / D i a g r a m O b j e c t K e y > < D i a g r a m O b j e c t K e y > < K e y > C o l u m n s \ 2 0 1 9   N e t   S c o p e   1   +   2   E m i s s i o n s < / K e y > < / D i a g r a m O b j e c t K e y > < D i a g r a m O b j e c t K e y > < K e y > C o l u m n s \ 2 0 1 9   S c o p e   3 < / K e y > < / D i a g r a m O b j e c t K e y > < D i a g r a m O b j e c t K e y > < K e y > C o l u m n s \ 2 0 1 8   S c o p e   1 < / K e y > < / D i a g r a m O b j e c t K e y > < D i a g r a m O b j e c t K e y > < K e y > C o l u m n s \ 2 0 1 8   S c o p e   2 < / K e y > < / D i a g r a m O b j e c t K e y > < D i a g r a m O b j e c t K e y > < K e y > C o l u m n s \ 2 0 1 8   O f f s e t s   P u r c h a s e d < / K e y > < / D i a g r a m O b j e c t K e y > < D i a g r a m O b j e c t K e y > < K e y > C o l u m n s \ 2 0 1 8   N e t   S c o p e   1   +   2   E m i s s i o n s < / K e y > < / D i a g r a m O b j e c t K e y > < D i a g r a m O b j e c t K e y > < K e y > C o l u m n s \ 2 0 1 8   S c o p e   3 < / K e y > < / D i a g r a m O b j e c t K e y > < D i a g r a m O b j e c t K e y > < K e y > C o l u m n s \ 2 0 1 7   S c o p e   1 < / K e y > < / D i a g r a m O b j e c t K e y > < D i a g r a m O b j e c t K e y > < K e y > C o l u m n s \ 2 0 1 7   S c o p e   2 < / K e y > < / D i a g r a m O b j e c t K e y > < D i a g r a m O b j e c t K e y > < K e y > C o l u m n s \ 2 0 1 7   O f f s e t s   P u r c h a s e d < / K e y > < / D i a g r a m O b j e c t K e y > < D i a g r a m O b j e c t K e y > < K e y > C o l u m n s \ 2 0 1 7   N e t   S c o p e   1   +   2   E m i s s i o n s < / K e y > < / D i a g r a m O b j e c t K e y > < D i a g r a m O b j e c t K e y > < K e y > C o l u m n s \ 2 0 1 7   S c o p e   3 < / K e y > < / D i a g r a m O b j e c t K e y > < D i a g r a m O b j e c t K e y > < K e y > C o l u m n s \ 2 0 1 6   S c o p e   1 < / K e y > < / D i a g r a m O b j e c t K e y > < D i a g r a m O b j e c t K e y > < K e y > C o l u m n s \ 2 0 1 6   S c o p e   2 < / K e y > < / D i a g r a m O b j e c t K e y > < D i a g r a m O b j e c t K e y > < K e y > C o l u m n s \ 2 0 1 6   O f f s e t s   P u r c h a s e d < / K e y > < / D i a g r a m O b j e c t K e y > < D i a g r a m O b j e c t K e y > < K e y > C o l u m n s \ 2 0 1 6   N e t   S c o p e   1   +   2   E m i s s i o n s < / K e y > < / D i a g r a m O b j e c t K e y > < D i a g r a m O b j e c t K e y > < K e y > C o l u m n s \ 2 0 1 6   S c o p e   3 < / K e y > < / D i a g r a m O b j e c t K e y > < D i a g r a m O b j e c t K e y > < K e y > C o l u m n s \ 2 0 1 5   S c o p e   1 < / K e y > < / D i a g r a m O b j e c t K e y > < D i a g r a m O b j e c t K e y > < K e y > C o l u m n s \ 2 0 1 5   S c o p e   2 < / K e y > < / D i a g r a m O b j e c t K e y > < D i a g r a m O b j e c t K e y > < K e y > C o l u m n s \ 2 0 1 5   O f f s e t s   P u r c h a s e d < / K e y > < / D i a g r a m O b j e c t K e y > < D i a g r a m O b j e c t K e y > < K e y > C o l u m n s \ 2 0 1 5   N e t   S c o p e   1   +   2   E m i s s i o n s < / K e y > < / D i a g r a m O b j e c t K e y > < D i a g r a m O b j e c t K e y > < K e y > C o l u m n s \ 2 0 1 5   S c o p e   3 < / K e y > < / D i a g r a m O b j e c t K e y > < D i a g r a m O b j e c t K e y > < K e y > C o l u m n s \ P o l i c y   A r m ? < / K e y > < / D i a g r a m O b j e c t K e y > < D i a g r a m O b j e c t K e y > < K e y > C o l u m n s \ I n i t i a t i v e s   f o r   C a r b o n   N e u t r a l i t y < / K e y > < / D i a g r a m O b j e c t K e y > < D i a g r a m O b j e c t K e y > < K e y > C o l u m n s \ N o t e s < / K e y > < / D i a g r a m O b j e c t K e y > < D i a g r a m O b j e c t K e y > < K e y > C o l u m n s \ S o u r c e s < / K e y > < / D i a g r a m O b j e c t K e y > < D i a g r a m O b j e c t K e y > < K e y > C o l u m n s \ 2 0 0 7 < / K e y > < / D i a g r a m O b j e c t K e y > < D i a g r a m O b j e c t K e y > < K e y > C o l u m n s \ 2 0 1 5 < / K e y > < / D i a g r a m O b j e c t K e y > < D i a g r a m O b j e c t K e y > < K e y > C o l u m n s \ 2 0 1 6 < / K e y > < / D i a g r a m O b j e c t K e y > < D i a g r a m O b j e c t K e y > < K e y > C o l u m n s \ 2 0 1 7 < / K e y > < / D i a g r a m O b j e c t K e y > < D i a g r a m O b j e c t K e y > < K e y > C o l u m n s \ 2 0 1 8 < / K e y > < / D i a g r a m O b j e c t K e y > < D i a g r a m O b j e c t K e y > < K e y > C o l u m n s \ 2 0 1 9 < / K e y > < / D i a g r a m O b j e c t K e y > < D i a g r a m O b j e c t K e y > < K e y > C o l u m n s \ 2 0 2 0 < / K e y > < / D i a g r a m O b j e c t K e y > < D i a g r a m O b j e c t K e y > < K e y > C o l u m n s \ 2 0 2 2 < / K e y > < / D i a g r a m O b j e c t K e y > < D i a g r a m O b j e c t K e y > < K e y > C o l u m n s \ 2 0 2 3 < / K e y > < / D i a g r a m O b j e c t K e y > < D i a g r a m O b j e c t K e y > < K e y > C o l u m n s \ 2 0 2 5 < / K e y > < / D i a g r a m O b j e c t K e y > < D i a g r a m O b j e c t K e y > < K e y > C o l u m n s \ 2 0 2 9 < / K e y > < / D i a g r a m O b j e c t K e y > < D i a g r a m O b j e c t K e y > < K e y > C o l u m n s \ 2 0 3 0 < / K e y > < / D i a g r a m O b j e c t K e y > < D i a g r a m O b j e c t K e y > < K e y > C o l u m n s \ 2 0 3 5 < / K e y > < / D i a g r a m O b j e c t K e y > < D i a g r a m O b j e c t K e y > < K e y > C o l u m n s \ 2 0 4 0 < / K e y > < / D i a g r a m O b j e c t K e y > < D i a g r a m O b j e c t K e y > < K e y > C o l u m n s \ 2 0 4 4 < / K e y > < / D i a g r a m O b j e c t K e y > < D i a g r a m O b j e c t K e y > < K e y > C o l u m n s \ 2 0 5 0 < / K e y > < / D i a g r a m O b j e c t K e y > < D i a g r a m O b j e c t K e y > < K e y > M e a s u r e s \ C o u n t   o f   C a r b o n   N e u t r a l   G o a l ?   ( Y / N ) < / K e y > < / D i a g r a m O b j e c t K e y > < D i a g r a m O b j e c t K e y > < K e y > M e a s u r e s \ C o u n t   o f   C a r b o n   N e u t r a l   G o a l ?   ( Y / N ) \ T a g I n f o \ F o r m u l a < / K e y > < / D i a g r a m O b j e c t K e y > < D i a g r a m O b j e c t K e y > < K e y > M e a s u r e s \ C o u n t   o f   C a r b o n   N e u t r a l   G o a l ?   ( Y / N ) \ T a g I n f o \ V a l u e < / K e y > < / D i a g r a m O b j e c t K e y > < D i a g r a m O b j e c t K e y > < K e y > L i n k s \ & l t ; C o l u m n s \ C o u n t   o f   C a r b o n   N e u t r a l   G o a l ?   ( Y / N ) & g t ; - & l t ; M e a s u r e s \ C a r b o n   N e u t r a l   G o a l ?   ( Y / N ) & g t ; < / K e y > < / D i a g r a m O b j e c t K e y > < D i a g r a m O b j e c t K e y > < K e y > L i n k s \ & l t ; C o l u m n s \ C o u n t   o f   C a r b o n   N e u t r a l   G o a l ?   ( Y / N ) & g t ; - & l t ; M e a s u r e s \ C a r b o n   N e u t r a l   G o a l ?   ( Y / N ) & g t ; \ C O L U M N < / K e y > < / D i a g r a m O b j e c t K e y > < D i a g r a m O b j e c t K e y > < K e y > L i n k s \ & l t ; C o l u m n s \ C o u n t   o f   C a r b o n   N e u t r a l   G o a l ?   ( Y / N ) & g t ; - & l t ; M e a s u r e s \ C a r b o n   N e u t r a l   G o a l ?   ( Y / N ) & g t ; \ M E A S U R E 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  N a m e < / K e y > < / a : K e y > < a : V a l u e   i : t y p e = " M e a s u r e G r i d N o d e V i e w S t a t e " > < L a y e d O u t > t r u e < / L a y e d O u t > < / a : V a l u e > < / a : K e y V a l u e O f D i a g r a m O b j e c t K e y a n y T y p e z b w N T n L X > < a : K e y V a l u e O f D i a g r a m O b j e c t K e y a n y T y p e z b w N T n L X > < a : K e y > < K e y > C o l u m n s \ S e c t o r < / K e y > < / a : K e y > < a : V a l u e   i : t y p e = " M e a s u r e G r i d N o d e V i e w S t a t e " > < C o l u m n > 1 < / C o l u m n > < L a y e d O u t > t r u e < / L a y e d O u t > < / a : V a l u e > < / a : K e y V a l u e O f D i a g r a m O b j e c t K e y a n y T y p e z b w N T n L X > < a : K e y V a l u e O f D i a g r a m O b j e c t K e y a n y T y p e z b w N T n L X > < a : K e y > < K e y > C o l u m n s \ I n d u s t r y < / K e y > < / a : K e y > < a : V a l u e   i : t y p e = " M e a s u r e G r i d N o d e V i e w S t a t e " > < C o l u m n > 2 < / C o l u m n > < L a y e d O u t > t r u e < / L a y e d O u t > < / a : V a l u e > < / a : K e y V a l u e O f D i a g r a m O b j e c t K e y a n y T y p e z b w N T n L X > < a : K e y V a l u e O f D i a g r a m O b j e c t K e y a n y T y p e z b w N T n L X > < a : K e y > < K e y > C o l u m n s \ S i z e   ( 2 0 1 9   R e v e n u e ) < / K e y > < / a : K e y > < a : V a l u e   i : t y p e = " M e a s u r e G r i d N o d e V i e w S t a t e " > < C o l u m n > 3 < / C o l u m n > < L a y e d O u t > t r u e < / L a y e d O u t > < / a : V a l u e > < / a : K e y V a l u e O f D i a g r a m O b j e c t K e y a n y T y p e z b w N T n L X > < a : K e y V a l u e O f D i a g r a m O b j e c t K e y a n y T y p e z b w N T n L X > < a : K e y > < K e y > C o l u m n s \ N e t   E a r n i n g s / I n c o m e   ( 2 0 1 9 ) < / K e y > < / a : K e y > < a : V a l u e   i : t y p e = " M e a s u r e G r i d N o d e V i e w S t a t e " > < C o l u m n > 4 < / C o l u m n > < L a y e d O u t > t r u e < / L a y e d O u t > < / a : V a l u e > < / a : K e y V a l u e O f D i a g r a m O b j e c t K e y a n y T y p e z b w N T n L X > < a : K e y V a l u e O f D i a g r a m O b j e c t K e y a n y T y p e z b w N T n L X > < a : K e y > < K e y > C o l u m n s \ I P O   Y e a r < / K e y > < / a : K e y > < a : V a l u e   i : t y p e = " M e a s u r e G r i d N o d e V i e w S t a t e " > < C o l u m n > 5 < / C o l u m n > < L a y e d O u t > t r u e < / L a y e d O u t > < / a : V a l u e > < / a : K e y V a l u e O f D i a g r a m O b j e c t K e y a n y T y p e z b w N T n L X > < a : K e y V a l u e O f D i a g r a m O b j e c t K e y a n y T y p e z b w N T n L X > < a : K e y > < K e y > C o l u m n s \ S & a m p ; P   1 0 0 ?   ( Y / N ) < / K e y > < / a : K e y > < a : V a l u e   i : t y p e = " M e a s u r e G r i d N o d e V i e w S t a t e " > < C o l u m n > 6 < / C o l u m n > < L a y e d O u t > t r u e < / L a y e d O u t > < / a : V a l u e > < / a : K e y V a l u e O f D i a g r a m O b j e c t K e y a n y T y p e z b w N T n L X > < a : K e y V a l u e O f D i a g r a m O b j e c t K e y a n y T y p e z b w N T n L X > < a : K e y > < K e y > C o l u m n s \ C a r b o n   N e u t r a l   G o a l ?   ( Y / N ) < / K e y > < / a : K e y > < a : V a l u e   i : t y p e = " M e a s u r e G r i d N o d e V i e w S t a t e " > < C o l u m n > 7 < / C o l u m n > < L a y e d O u t > t r u e < / L a y e d O u t > < / a : V a l u e > < / a : K e y V a l u e O f D i a g r a m O b j e c t K e y a n y T y p e z b w N T n L X > < a : K e y V a l u e O f D i a g r a m O b j e c t K e y a n y T y p e z b w N T n L X > < a : K e y > < K e y > C o l u m n s \ S c i e n c e - B a s e d   T a r g e t ?   ( Y / N ) < / K e y > < / a : K e y > < a : V a l u e   i : t y p e = " M e a s u r e G r i d N o d e V i e w S t a t e " > < C o l u m n > 8 < / C o l u m n > < L a y e d O u t > t r u e < / L a y e d O u t > < / a : V a l u e > < / a : K e y V a l u e O f D i a g r a m O b j e c t K e y a n y T y p e z b w N T n L X > < a : K e y V a l u e O f D i a g r a m O b j e c t K e y a n y T y p e z b w N T n L X > < a : K e y > < K e y > C o l u m n s \ C a r b o n   N e u t r a l   b y . . . .   ( y e a r ) < / K e y > < / a : K e y > < a : V a l u e   i : t y p e = " M e a s u r e G r i d N o d e V i e w S t a t e " > < C o l u m n > 9 < / C o l u m n > < L a y e d O u t > t r u e < / L a y e d O u t > < / a : V a l u e > < / a : K e y V a l u e O f D i a g r a m O b j e c t K e y a n y T y p e z b w N T n L X > < a : K e y V a l u e O f D i a g r a m O b j e c t K e y a n y T y p e z b w N T n L X > < a : K e y > < K e y > C o l u m n s \ C a r b o n   N e u t r a l   A n n o u n c e m e n t   ( y e a r ) < / K e y > < / a : K e y > < a : V a l u e   i : t y p e = " M e a s u r e G r i d N o d e V i e w S t a t e " > < C o l u m n > 1 0 < / C o l u m n > < L a y e d O u t > t r u e < / L a y e d O u t > < / a : V a l u e > < / a : K e y V a l u e O f D i a g r a m O b j e c t K e y a n y T y p e z b w N T n L X > < a : K e y V a l u e O f D i a g r a m O b j e c t K e y a n y T y p e z b w N T n L X > < a : K e y > < K e y > C o l u m n s \ C a r b o n   G o a l   ( i f   n o n - z e r o ) < / K e y > < / a : K e y > < a : V a l u e   i : t y p e = " M e a s u r e G r i d N o d e V i e w S t a t e " > < C o l u m n > 1 1 < / C o l u m n > < L a y e d O u t > t r u e < / L a y e d O u t > < / a : V a l u e > < / a : K e y V a l u e O f D i a g r a m O b j e c t K e y a n y T y p e z b w N T n L X > < a : K e y V a l u e O f D i a g r a m O b j e c t K e y a n y T y p e z b w N T n L X > < a : K e y > < K e y > C o l u m n s \ R e l i a n c e   o n   O f f s e t s ?   ( Y / N ) < / K e y > < / a : K e y > < a : V a l u e   i : t y p e = " M e a s u r e G r i d N o d e V i e w S t a t e " > < C o l u m n > 1 2 < / C o l u m n > < L a y e d O u t > t r u e < / L a y e d O u t > < / a : V a l u e > < / a : K e y V a l u e O f D i a g r a m O b j e c t K e y a n y T y p e z b w N T n L X > < a : K e y V a l u e O f D i a g r a m O b j e c t K e y a n y T y p e z b w N T n L X > < a : K e y > < K e y > C o l u m n s \ R E 1 0 0   C o m m i t m e n t ?   ( Y / N ) < / K e y > < / a : K e y > < a : V a l u e   i : t y p e = " M e a s u r e G r i d N o d e V i e w S t a t e " > < C o l u m n > 1 3 < / C o l u m n > < L a y e d O u t > t r u e < / L a y e d O u t > < / a : V a l u e > < / a : K e y V a l u e O f D i a g r a m O b j e c t K e y a n y T y p e z b w N T n L X > < a : K e y V a l u e O f D i a g r a m O b j e c t K e y a n y T y p e z b w N T n L X > < a : K e y > < K e y > C o l u m n s \ 1 0 0 %   R e n e w a b l e   E n e r g y   b y . . .   ( y e a r ) < / K e y > < / a : K e y > < a : V a l u e   i : t y p e = " M e a s u r e G r i d N o d e V i e w S t a t e " > < C o l u m n > 1 4 < / C o l u m n > < L a y e d O u t > t r u e < / L a y e d O u t > < / a : V a l u e > < / a : K e y V a l u e O f D i a g r a m O b j e c t K e y a n y T y p e z b w N T n L X > < a : K e y V a l u e O f D i a g r a m O b j e c t K e y a n y T y p e z b w N T n L X > < a : K e y > < K e y > C o l u m n s \ 2 0 1 9   S c o p e   1   ( M e T   C o 2 ) < / K e y > < / a : K e y > < a : V a l u e   i : t y p e = " M e a s u r e G r i d N o d e V i e w S t a t e " > < C o l u m n > 1 5 < / C o l u m n > < L a y e d O u t > t r u e < / L a y e d O u t > < / a : V a l u e > < / a : K e y V a l u e O f D i a g r a m O b j e c t K e y a n y T y p e z b w N T n L X > < a : K e y V a l u e O f D i a g r a m O b j e c t K e y a n y T y p e z b w N T n L X > < a : K e y > < K e y > C o l u m n s \ 2 0 1 9   S c o p e   2 < / K e y > < / a : K e y > < a : V a l u e   i : t y p e = " M e a s u r e G r i d N o d e V i e w S t a t e " > < C o l u m n > 1 6 < / C o l u m n > < L a y e d O u t > t r u e < / L a y e d O u t > < / a : V a l u e > < / a : K e y V a l u e O f D i a g r a m O b j e c t K e y a n y T y p e z b w N T n L X > < a : K e y V a l u e O f D i a g r a m O b j e c t K e y a n y T y p e z b w N T n L X > < a : K e y > < K e y > C o l u m n s \ 2 0 1 9   O f f s e t s   P u r c h a s e d < / K e y > < / a : K e y > < a : V a l u e   i : t y p e = " M e a s u r e G r i d N o d e V i e w S t a t e " > < C o l u m n > 1 7 < / C o l u m n > < L a y e d O u t > t r u e < / L a y e d O u t > < / a : V a l u e > < / a : K e y V a l u e O f D i a g r a m O b j e c t K e y a n y T y p e z b w N T n L X > < a : K e y V a l u e O f D i a g r a m O b j e c t K e y a n y T y p e z b w N T n L X > < a : K e y > < K e y > C o l u m n s \ 2 0 1 9   N e t   S c o p e   1   +   2   E m i s s i o n s < / K e y > < / a : K e y > < a : V a l u e   i : t y p e = " M e a s u r e G r i d N o d e V i e w S t a t e " > < C o l u m n > 1 8 < / C o l u m n > < L a y e d O u t > t r u e < / L a y e d O u t > < / a : V a l u e > < / a : K e y V a l u e O f D i a g r a m O b j e c t K e y a n y T y p e z b w N T n L X > < a : K e y V a l u e O f D i a g r a m O b j e c t K e y a n y T y p e z b w N T n L X > < a : K e y > < K e y > C o l u m n s \ 2 0 1 9   S c o p e   3 < / K e y > < / a : K e y > < a : V a l u e   i : t y p e = " M e a s u r e G r i d N o d e V i e w S t a t e " > < C o l u m n > 1 9 < / C o l u m n > < L a y e d O u t > t r u e < / L a y e d O u t > < / a : V a l u e > < / a : K e y V a l u e O f D i a g r a m O b j e c t K e y a n y T y p e z b w N T n L X > < a : K e y V a l u e O f D i a g r a m O b j e c t K e y a n y T y p e z b w N T n L X > < a : K e y > < K e y > C o l u m n s \ 2 0 1 8   S c o p e   1 < / K e y > < / a : K e y > < a : V a l u e   i : t y p e = " M e a s u r e G r i d N o d e V i e w S t a t e " > < C o l u m n > 2 0 < / C o l u m n > < L a y e d O u t > t r u e < / L a y e d O u t > < / a : V a l u e > < / a : K e y V a l u e O f D i a g r a m O b j e c t K e y a n y T y p e z b w N T n L X > < a : K e y V a l u e O f D i a g r a m O b j e c t K e y a n y T y p e z b w N T n L X > < a : K e y > < K e y > C o l u m n s \ 2 0 1 8   S c o p e   2 < / K e y > < / a : K e y > < a : V a l u e   i : t y p e = " M e a s u r e G r i d N o d e V i e w S t a t e " > < C o l u m n > 2 1 < / C o l u m n > < L a y e d O u t > t r u e < / L a y e d O u t > < / a : V a l u e > < / a : K e y V a l u e O f D i a g r a m O b j e c t K e y a n y T y p e z b w N T n L X > < a : K e y V a l u e O f D i a g r a m O b j e c t K e y a n y T y p e z b w N T n L X > < a : K e y > < K e y > C o l u m n s \ 2 0 1 8   O f f s e t s   P u r c h a s e d < / K e y > < / a : K e y > < a : V a l u e   i : t y p e = " M e a s u r e G r i d N o d e V i e w S t a t e " > < C o l u m n > 2 2 < / C o l u m n > < L a y e d O u t > t r u e < / L a y e d O u t > < / a : V a l u e > < / a : K e y V a l u e O f D i a g r a m O b j e c t K e y a n y T y p e z b w N T n L X > < a : K e y V a l u e O f D i a g r a m O b j e c t K e y a n y T y p e z b w N T n L X > < a : K e y > < K e y > C o l u m n s \ 2 0 1 8   N e t   S c o p e   1   +   2   E m i s s i o n s < / K e y > < / a : K e y > < a : V a l u e   i : t y p e = " M e a s u r e G r i d N o d e V i e w S t a t e " > < C o l u m n > 2 3 < / C o l u m n > < L a y e d O u t > t r u e < / L a y e d O u t > < / a : V a l u e > < / a : K e y V a l u e O f D i a g r a m O b j e c t K e y a n y T y p e z b w N T n L X > < a : K e y V a l u e O f D i a g r a m O b j e c t K e y a n y T y p e z b w N T n L X > < a : K e y > < K e y > C o l u m n s \ 2 0 1 8   S c o p e   3 < / K e y > < / a : K e y > < a : V a l u e   i : t y p e = " M e a s u r e G r i d N o d e V i e w S t a t e " > < C o l u m n > 2 4 < / C o l u m n > < L a y e d O u t > t r u e < / L a y e d O u t > < / a : V a l u e > < / a : K e y V a l u e O f D i a g r a m O b j e c t K e y a n y T y p e z b w N T n L X > < a : K e y V a l u e O f D i a g r a m O b j e c t K e y a n y T y p e z b w N T n L X > < a : K e y > < K e y > C o l u m n s \ 2 0 1 7   S c o p e   1 < / K e y > < / a : K e y > < a : V a l u e   i : t y p e = " M e a s u r e G r i d N o d e V i e w S t a t e " > < C o l u m n > 2 5 < / C o l u m n > < L a y e d O u t > t r u e < / L a y e d O u t > < / a : V a l u e > < / a : K e y V a l u e O f D i a g r a m O b j e c t K e y a n y T y p e z b w N T n L X > < a : K e y V a l u e O f D i a g r a m O b j e c t K e y a n y T y p e z b w N T n L X > < a : K e y > < K e y > C o l u m n s \ 2 0 1 7   S c o p e   2 < / K e y > < / a : K e y > < a : V a l u e   i : t y p e = " M e a s u r e G r i d N o d e V i e w S t a t e " > < C o l u m n > 2 6 < / C o l u m n > < L a y e d O u t > t r u e < / L a y e d O u t > < / a : V a l u e > < / a : K e y V a l u e O f D i a g r a m O b j e c t K e y a n y T y p e z b w N T n L X > < a : K e y V a l u e O f D i a g r a m O b j e c t K e y a n y T y p e z b w N T n L X > < a : K e y > < K e y > C o l u m n s \ 2 0 1 7   O f f s e t s   P u r c h a s e d < / K e y > < / a : K e y > < a : V a l u e   i : t y p e = " M e a s u r e G r i d N o d e V i e w S t a t e " > < C o l u m n > 2 7 < / C o l u m n > < L a y e d O u t > t r u e < / L a y e d O u t > < / a : V a l u e > < / a : K e y V a l u e O f D i a g r a m O b j e c t K e y a n y T y p e z b w N T n L X > < a : K e y V a l u e O f D i a g r a m O b j e c t K e y a n y T y p e z b w N T n L X > < a : K e y > < K e y > C o l u m n s \ 2 0 1 7   N e t   S c o p e   1   +   2   E m i s s i o n s < / K e y > < / a : K e y > < a : V a l u e   i : t y p e = " M e a s u r e G r i d N o d e V i e w S t a t e " > < C o l u m n > 2 8 < / C o l u m n > < L a y e d O u t > t r u e < / L a y e d O u t > < / a : V a l u e > < / a : K e y V a l u e O f D i a g r a m O b j e c t K e y a n y T y p e z b w N T n L X > < a : K e y V a l u e O f D i a g r a m O b j e c t K e y a n y T y p e z b w N T n L X > < a : K e y > < K e y > C o l u m n s \ 2 0 1 7   S c o p e   3 < / K e y > < / a : K e y > < a : V a l u e   i : t y p e = " M e a s u r e G r i d N o d e V i e w S t a t e " > < C o l u m n > 2 9 < / C o l u m n > < L a y e d O u t > t r u e < / L a y e d O u t > < / a : V a l u e > < / a : K e y V a l u e O f D i a g r a m O b j e c t K e y a n y T y p e z b w N T n L X > < a : K e y V a l u e O f D i a g r a m O b j e c t K e y a n y T y p e z b w N T n L X > < a : K e y > < K e y > C o l u m n s \ 2 0 1 6   S c o p e   1 < / K e y > < / a : K e y > < a : V a l u e   i : t y p e = " M e a s u r e G r i d N o d e V i e w S t a t e " > < C o l u m n > 3 0 < / C o l u m n > < L a y e d O u t > t r u e < / L a y e d O u t > < / a : V a l u e > < / a : K e y V a l u e O f D i a g r a m O b j e c t K e y a n y T y p e z b w N T n L X > < a : K e y V a l u e O f D i a g r a m O b j e c t K e y a n y T y p e z b w N T n L X > < a : K e y > < K e y > C o l u m n s \ 2 0 1 6   S c o p e   2 < / K e y > < / a : K e y > < a : V a l u e   i : t y p e = " M e a s u r e G r i d N o d e V i e w S t a t e " > < C o l u m n > 3 1 < / C o l u m n > < L a y e d O u t > t r u e < / L a y e d O u t > < / a : V a l u e > < / a : K e y V a l u e O f D i a g r a m O b j e c t K e y a n y T y p e z b w N T n L X > < a : K e y V a l u e O f D i a g r a m O b j e c t K e y a n y T y p e z b w N T n L X > < a : K e y > < K e y > C o l u m n s \ 2 0 1 6   O f f s e t s   P u r c h a s e d < / K e y > < / a : K e y > < a : V a l u e   i : t y p e = " M e a s u r e G r i d N o d e V i e w S t a t e " > < C o l u m n > 3 2 < / C o l u m n > < L a y e d O u t > t r u e < / L a y e d O u t > < / a : V a l u e > < / a : K e y V a l u e O f D i a g r a m O b j e c t K e y a n y T y p e z b w N T n L X > < a : K e y V a l u e O f D i a g r a m O b j e c t K e y a n y T y p e z b w N T n L X > < a : K e y > < K e y > C o l u m n s \ 2 0 1 6   N e t   S c o p e   1   +   2   E m i s s i o n s < / K e y > < / a : K e y > < a : V a l u e   i : t y p e = " M e a s u r e G r i d N o d e V i e w S t a t e " > < C o l u m n > 3 3 < / C o l u m n > < L a y e d O u t > t r u e < / L a y e d O u t > < / a : V a l u e > < / a : K e y V a l u e O f D i a g r a m O b j e c t K e y a n y T y p e z b w N T n L X > < a : K e y V a l u e O f D i a g r a m O b j e c t K e y a n y T y p e z b w N T n L X > < a : K e y > < K e y > C o l u m n s \ 2 0 1 6   S c o p e   3 < / K e y > < / a : K e y > < a : V a l u e   i : t y p e = " M e a s u r e G r i d N o d e V i e w S t a t e " > < C o l u m n > 3 4 < / C o l u m n > < L a y e d O u t > t r u e < / L a y e d O u t > < / a : V a l u e > < / a : K e y V a l u e O f D i a g r a m O b j e c t K e y a n y T y p e z b w N T n L X > < a : K e y V a l u e O f D i a g r a m O b j e c t K e y a n y T y p e z b w N T n L X > < a : K e y > < K e y > C o l u m n s \ 2 0 1 5   S c o p e   1 < / K e y > < / a : K e y > < a : V a l u e   i : t y p e = " M e a s u r e G r i d N o d e V i e w S t a t e " > < C o l u m n > 3 5 < / C o l u m n > < L a y e d O u t > t r u e < / L a y e d O u t > < / a : V a l u e > < / a : K e y V a l u e O f D i a g r a m O b j e c t K e y a n y T y p e z b w N T n L X > < a : K e y V a l u e O f D i a g r a m O b j e c t K e y a n y T y p e z b w N T n L X > < a : K e y > < K e y > C o l u m n s \ 2 0 1 5   S c o p e   2 < / K e y > < / a : K e y > < a : V a l u e   i : t y p e = " M e a s u r e G r i d N o d e V i e w S t a t e " > < C o l u m n > 3 6 < / C o l u m n > < L a y e d O u t > t r u e < / L a y e d O u t > < / a : V a l u e > < / a : K e y V a l u e O f D i a g r a m O b j e c t K e y a n y T y p e z b w N T n L X > < a : K e y V a l u e O f D i a g r a m O b j e c t K e y a n y T y p e z b w N T n L X > < a : K e y > < K e y > C o l u m n s \ 2 0 1 5   O f f s e t s   P u r c h a s e d < / K e y > < / a : K e y > < a : V a l u e   i : t y p e = " M e a s u r e G r i d N o d e V i e w S t a t e " > < C o l u m n > 3 7 < / C o l u m n > < L a y e d O u t > t r u e < / L a y e d O u t > < / a : V a l u e > < / a : K e y V a l u e O f D i a g r a m O b j e c t K e y a n y T y p e z b w N T n L X > < a : K e y V a l u e O f D i a g r a m O b j e c t K e y a n y T y p e z b w N T n L X > < a : K e y > < K e y > C o l u m n s \ 2 0 1 5   N e t   S c o p e   1   +   2   E m i s s i o n s < / K e y > < / a : K e y > < a : V a l u e   i : t y p e = " M e a s u r e G r i d N o d e V i e w S t a t e " > < C o l u m n > 3 8 < / C o l u m n > < L a y e d O u t > t r u e < / L a y e d O u t > < / a : V a l u e > < / a : K e y V a l u e O f D i a g r a m O b j e c t K e y a n y T y p e z b w N T n L X > < a : K e y V a l u e O f D i a g r a m O b j e c t K e y a n y T y p e z b w N T n L X > < a : K e y > < K e y > C o l u m n s \ 2 0 1 5   S c o p e   3 < / K e y > < / a : K e y > < a : V a l u e   i : t y p e = " M e a s u r e G r i d N o d e V i e w S t a t e " > < C o l u m n > 3 9 < / C o l u m n > < L a y e d O u t > t r u e < / L a y e d O u t > < / a : V a l u e > < / a : K e y V a l u e O f D i a g r a m O b j e c t K e y a n y T y p e z b w N T n L X > < a : K e y V a l u e O f D i a g r a m O b j e c t K e y a n y T y p e z b w N T n L X > < a : K e y > < K e y > C o l u m n s \ P o l i c y   A r m ? < / K e y > < / a : K e y > < a : V a l u e   i : t y p e = " M e a s u r e G r i d N o d e V i e w S t a t e " > < C o l u m n > 4 0 < / C o l u m n > < L a y e d O u t > t r u e < / L a y e d O u t > < / a : V a l u e > < / a : K e y V a l u e O f D i a g r a m O b j e c t K e y a n y T y p e z b w N T n L X > < a : K e y V a l u e O f D i a g r a m O b j e c t K e y a n y T y p e z b w N T n L X > < a : K e y > < K e y > C o l u m n s \ I n i t i a t i v e s   f o r   C a r b o n   N e u t r a l i t y < / K e y > < / a : K e y > < a : V a l u e   i : t y p e = " M e a s u r e G r i d N o d e V i e w S t a t e " > < C o l u m n > 4 1 < / C o l u m n > < L a y e d O u t > t r u e < / L a y e d O u t > < / a : V a l u e > < / a : K e y V a l u e O f D i a g r a m O b j e c t K e y a n y T y p e z b w N T n L X > < a : K e y V a l u e O f D i a g r a m O b j e c t K e y a n y T y p e z b w N T n L X > < a : K e y > < K e y > C o l u m n s \ N o t e s < / K e y > < / a : K e y > < a : V a l u e   i : t y p e = " M e a s u r e G r i d N o d e V i e w S t a t e " > < C o l u m n > 4 2 < / C o l u m n > < L a y e d O u t > t r u e < / L a y e d O u t > < / a : V a l u e > < / a : K e y V a l u e O f D i a g r a m O b j e c t K e y a n y T y p e z b w N T n L X > < a : K e y V a l u e O f D i a g r a m O b j e c t K e y a n y T y p e z b w N T n L X > < a : K e y > < K e y > C o l u m n s \ S o u r c e s < / K e y > < / a : K e y > < a : V a l u e   i : t y p e = " M e a s u r e G r i d N o d e V i e w S t a t e " > < C o l u m n > 4 3 < / C o l u m n > < L a y e d O u t > t r u e < / L a y e d O u t > < / a : V a l u e > < / a : K e y V a l u e O f D i a g r a m O b j e c t K e y a n y T y p e z b w N T n L X > < a : K e y V a l u e O f D i a g r a m O b j e c t K e y a n y T y p e z b w N T n L X > < a : K e y > < K e y > C o l u m n s \ 2 0 0 7 < / K e y > < / a : K e y > < a : V a l u e   i : t y p e = " M e a s u r e G r i d N o d e V i e w S t a t e " > < C o l u m n > 4 4 < / C o l u m n > < L a y e d O u t > t r u e < / L a y e d O u t > < / a : V a l u e > < / a : K e y V a l u e O f D i a g r a m O b j e c t K e y a n y T y p e z b w N T n L X > < a : K e y V a l u e O f D i a g r a m O b j e c t K e y a n y T y p e z b w N T n L X > < a : K e y > < K e y > C o l u m n s \ 2 0 1 5 < / K e y > < / a : K e y > < a : V a l u e   i : t y p e = " M e a s u r e G r i d N o d e V i e w S t a t e " > < C o l u m n > 4 5 < / C o l u m n > < L a y e d O u t > t r u e < / L a y e d O u t > < / a : V a l u e > < / a : K e y V a l u e O f D i a g r a m O b j e c t K e y a n y T y p e z b w N T n L X > < a : K e y V a l u e O f D i a g r a m O b j e c t K e y a n y T y p e z b w N T n L X > < a : K e y > < K e y > C o l u m n s \ 2 0 1 6 < / K e y > < / a : K e y > < a : V a l u e   i : t y p e = " M e a s u r e G r i d N o d e V i e w S t a t e " > < C o l u m n > 4 6 < / C o l u m n > < L a y e d O u t > t r u e < / L a y e d O u t > < / a : V a l u e > < / a : K e y V a l u e O f D i a g r a m O b j e c t K e y a n y T y p e z b w N T n L X > < a : K e y V a l u e O f D i a g r a m O b j e c t K e y a n y T y p e z b w N T n L X > < a : K e y > < K e y > C o l u m n s \ 2 0 1 7 < / K e y > < / a : K e y > < a : V a l u e   i : t y p e = " M e a s u r e G r i d N o d e V i e w S t a t e " > < C o l u m n > 4 7 < / C o l u m n > < L a y e d O u t > t r u e < / L a y e d O u t > < / a : V a l u e > < / a : K e y V a l u e O f D i a g r a m O b j e c t K e y a n y T y p e z b w N T n L X > < a : K e y V a l u e O f D i a g r a m O b j e c t K e y a n y T y p e z b w N T n L X > < a : K e y > < K e y > C o l u m n s \ 2 0 1 8 < / K e y > < / a : K e y > < a : V a l u e   i : t y p e = " M e a s u r e G r i d N o d e V i e w S t a t e " > < C o l u m n > 4 8 < / C o l u m n > < L a y e d O u t > t r u e < / L a y e d O u t > < / a : V a l u e > < / a : K e y V a l u e O f D i a g r a m O b j e c t K e y a n y T y p e z b w N T n L X > < a : K e y V a l u e O f D i a g r a m O b j e c t K e y a n y T y p e z b w N T n L X > < a : K e y > < K e y > C o l u m n s \ 2 0 1 9 < / K e y > < / a : K e y > < a : V a l u e   i : t y p e = " M e a s u r e G r i d N o d e V i e w S t a t e " > < C o l u m n > 4 9 < / C o l u m n > < L a y e d O u t > t r u e < / L a y e d O u t > < / a : V a l u e > < / a : K e y V a l u e O f D i a g r a m O b j e c t K e y a n y T y p e z b w N T n L X > < a : K e y V a l u e O f D i a g r a m O b j e c t K e y a n y T y p e z b w N T n L X > < a : K e y > < K e y > C o l u m n s \ 2 0 2 0 < / K e y > < / a : K e y > < a : V a l u e   i : t y p e = " M e a s u r e G r i d N o d e V i e w S t a t e " > < C o l u m n > 5 0 < / C o l u m n > < L a y e d O u t > t r u e < / L a y e d O u t > < / a : V a l u e > < / a : K e y V a l u e O f D i a g r a m O b j e c t K e y a n y T y p e z b w N T n L X > < a : K e y V a l u e O f D i a g r a m O b j e c t K e y a n y T y p e z b w N T n L X > < a : K e y > < K e y > C o l u m n s \ 2 0 2 2 < / K e y > < / a : K e y > < a : V a l u e   i : t y p e = " M e a s u r e G r i d N o d e V i e w S t a t e " > < C o l u m n > 5 1 < / C o l u m n > < L a y e d O u t > t r u e < / L a y e d O u t > < / a : V a l u e > < / a : K e y V a l u e O f D i a g r a m O b j e c t K e y a n y T y p e z b w N T n L X > < a : K e y V a l u e O f D i a g r a m O b j e c t K e y a n y T y p e z b w N T n L X > < a : K e y > < K e y > C o l u m n s \ 2 0 2 3 < / K e y > < / a : K e y > < a : V a l u e   i : t y p e = " M e a s u r e G r i d N o d e V i e w S t a t e " > < C o l u m n > 5 2 < / C o l u m n > < L a y e d O u t > t r u e < / L a y e d O u t > < / a : V a l u e > < / a : K e y V a l u e O f D i a g r a m O b j e c t K e y a n y T y p e z b w N T n L X > < a : K e y V a l u e O f D i a g r a m O b j e c t K e y a n y T y p e z b w N T n L X > < a : K e y > < K e y > C o l u m n s \ 2 0 2 5 < / K e y > < / a : K e y > < a : V a l u e   i : t y p e = " M e a s u r e G r i d N o d e V i e w S t a t e " > < C o l u m n > 5 3 < / C o l u m n > < L a y e d O u t > t r u e < / L a y e d O u t > < / a : V a l u e > < / a : K e y V a l u e O f D i a g r a m O b j e c t K e y a n y T y p e z b w N T n L X > < a : K e y V a l u e O f D i a g r a m O b j e c t K e y a n y T y p e z b w N T n L X > < a : K e y > < K e y > C o l u m n s \ 2 0 2 9 < / K e y > < / a : K e y > < a : V a l u e   i : t y p e = " M e a s u r e G r i d N o d e V i e w S t a t e " > < C o l u m n > 5 4 < / C o l u m n > < L a y e d O u t > t r u e < / L a y e d O u t > < / a : V a l u e > < / a : K e y V a l u e O f D i a g r a m O b j e c t K e y a n y T y p e z b w N T n L X > < a : K e y V a l u e O f D i a g r a m O b j e c t K e y a n y T y p e z b w N T n L X > < a : K e y > < K e y > C o l u m n s \ 2 0 3 0 < / K e y > < / a : K e y > < a : V a l u e   i : t y p e = " M e a s u r e G r i d N o d e V i e w S t a t e " > < C o l u m n > 5 5 < / C o l u m n > < L a y e d O u t > t r u e < / L a y e d O u t > < / a : V a l u e > < / a : K e y V a l u e O f D i a g r a m O b j e c t K e y a n y T y p e z b w N T n L X > < a : K e y V a l u e O f D i a g r a m O b j e c t K e y a n y T y p e z b w N T n L X > < a : K e y > < K e y > C o l u m n s \ 2 0 3 5 < / K e y > < / a : K e y > < a : V a l u e   i : t y p e = " M e a s u r e G r i d N o d e V i e w S t a t e " > < C o l u m n > 5 6 < / C o l u m n > < L a y e d O u t > t r u e < / L a y e d O u t > < / a : V a l u e > < / a : K e y V a l u e O f D i a g r a m O b j e c t K e y a n y T y p e z b w N T n L X > < a : K e y V a l u e O f D i a g r a m O b j e c t K e y a n y T y p e z b w N T n L X > < a : K e y > < K e y > C o l u m n s \ 2 0 4 0 < / K e y > < / a : K e y > < a : V a l u e   i : t y p e = " M e a s u r e G r i d N o d e V i e w S t a t e " > < C o l u m n > 5 7 < / C o l u m n > < L a y e d O u t > t r u e < / L a y e d O u t > < / a : V a l u e > < / a : K e y V a l u e O f D i a g r a m O b j e c t K e y a n y T y p e z b w N T n L X > < a : K e y V a l u e O f D i a g r a m O b j e c t K e y a n y T y p e z b w N T n L X > < a : K e y > < K e y > C o l u m n s \ 2 0 4 4 < / K e y > < / a : K e y > < a : V a l u e   i : t y p e = " M e a s u r e G r i d N o d e V i e w S t a t e " > < C o l u m n > 5 8 < / C o l u m n > < L a y e d O u t > t r u e < / L a y e d O u t > < / a : V a l u e > < / a : K e y V a l u e O f D i a g r a m O b j e c t K e y a n y T y p e z b w N T n L X > < a : K e y V a l u e O f D i a g r a m O b j e c t K e y a n y T y p e z b w N T n L X > < a : K e y > < K e y > C o l u m n s \ 2 0 5 0 < / K e y > < / a : K e y > < a : V a l u e   i : t y p e = " M e a s u r e G r i d N o d e V i e w S t a t e " > < C o l u m n > 5 9 < / C o l u m n > < L a y e d O u t > t r u e < / L a y e d O u t > < / a : V a l u e > < / a : K e y V a l u e O f D i a g r a m O b j e c t K e y a n y T y p e z b w N T n L X > < a : K e y V a l u e O f D i a g r a m O b j e c t K e y a n y T y p e z b w N T n L X > < a : K e y > < K e y > M e a s u r e s \ C o u n t   o f   C a r b o n   N e u t r a l   G o a l ?   ( Y / N ) < / K e y > < / a : K e y > < a : V a l u e   i : t y p e = " M e a s u r e G r i d N o d e V i e w S t a t e " > < C o l u m n > 7 < / C o l u m n > < L a y e d O u t > t r u e < / L a y e d O u t > < W a s U I I n v i s i b l e > t r u e < / W a s U I I n v i s i b l e > < / a : V a l u e > < / a : K e y V a l u e O f D i a g r a m O b j e c t K e y a n y T y p e z b w N T n L X > < a : K e y V a l u e O f D i a g r a m O b j e c t K e y a n y T y p e z b w N T n L X > < a : K e y > < K e y > M e a s u r e s \ C o u n t   o f   C a r b o n   N e u t r a l   G o a l ?   ( Y / N ) \ T a g I n f o \ F o r m u l a < / K e y > < / a : K e y > < a : V a l u e   i : t y p e = " M e a s u r e G r i d V i e w S t a t e I D i a g r a m T a g A d d i t i o n a l I n f o " / > < / a : K e y V a l u e O f D i a g r a m O b j e c t K e y a n y T y p e z b w N T n L X > < a : K e y V a l u e O f D i a g r a m O b j e c t K e y a n y T y p e z b w N T n L X > < a : K e y > < K e y > M e a s u r e s \ C o u n t   o f   C a r b o n   N e u t r a l   G o a l ?   ( Y / N ) \ T a g I n f o \ V a l u e < / K e y > < / a : K e y > < a : V a l u e   i : t y p e = " M e a s u r e G r i d V i e w S t a t e I D i a g r a m T a g A d d i t i o n a l I n f o " / > < / a : K e y V a l u e O f D i a g r a m O b j e c t K e y a n y T y p e z b w N T n L X > < a : K e y V a l u e O f D i a g r a m O b j e c t K e y a n y T y p e z b w N T n L X > < a : K e y > < K e y > L i n k s \ & l t ; C o l u m n s \ C o u n t   o f   C a r b o n   N e u t r a l   G o a l ?   ( Y / N ) & g t ; - & l t ; M e a s u r e s \ C a r b o n   N e u t r a l   G o a l ?   ( Y / N ) & g t ; < / K e y > < / a : K e y > < a : V a l u e   i : t y p e = " M e a s u r e G r i d V i e w S t a t e I D i a g r a m L i n k " / > < / a : K e y V a l u e O f D i a g r a m O b j e c t K e y a n y T y p e z b w N T n L X > < a : K e y V a l u e O f D i a g r a m O b j e c t K e y a n y T y p e z b w N T n L X > < a : K e y > < K e y > L i n k s \ & l t ; C o l u m n s \ C o u n t   o f   C a r b o n   N e u t r a l   G o a l ?   ( Y / N ) & g t ; - & l t ; M e a s u r e s \ C a r b o n   N e u t r a l   G o a l ?   ( Y / N ) & g t ; \ C O L U M N < / K e y > < / a : K e y > < a : V a l u e   i : t y p e = " M e a s u r e G r i d V i e w S t a t e I D i a g r a m L i n k E n d p o i n t " / > < / a : K e y V a l u e O f D i a g r a m O b j e c t K e y a n y T y p e z b w N T n L X > < a : K e y V a l u e O f D i a g r a m O b j e c t K e y a n y T y p e z b w N T n L X > < a : K e y > < K e y > L i n k s \ & l t ; C o l u m n s \ C o u n t   o f   C a r b o n   N e u t r a l   G o a l ?   ( Y / N ) & g t ; - & l t ; M e a s u r e s \ C a r b o n   N e u t r a l   G o a l ?   ( Y / N ) & g t ; \ M E A S U R E 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 1 6 9 < / a : S i z e A t D p i 9 6 > < a : V i s i b l e > t r u e < / a : V i s i b l e > < / V a l u e > < / K e y V a l u e O f s t r i n g S a n d b o x E d i t o r . M e a s u r e G r i d S t a t e S c d E 3 5 R y > < / A r r a y O f K e y V a l u e O f s t r i n g S a n d b o x E d i t o r . M e a s u r e G r i d S t a t e S c d E 3 5 R y > ] ] > < / 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 2 0 2 0 - 0 9 - 2 5 T 1 4 : 4 7 : 1 5 . 1 2 4 6 7 4 1 - 0 5 : 0 0 < / L a s t P r o c e s s e d T i m e > < / D a t a M o d e l i n g S a n d b o x . S e r i a l i z e d S a n d b o x E r r o r C a c h e > ] ] > < / C u s t o m C o n t e n t > < / G e m i n i > 
</file>

<file path=customXml/item16.xml>��< ? x m l   v e r s i o n = " 1 . 0 "   e n c o d i n g = " U T F - 1 6 " ? > < G e m i n i   x m l n s = " h t t p : / / g e m i n i / p i v o t c u s t o m i z a t i o n / S h o w I m p l i c i t M e a s u r e s " > < 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3.xml>��< ? x m l   v e r s i o n = " 1 . 0 "   e n c o d i n g = " U T F - 1 6 " ? > < G e m i n i   x m l n s = " h t t p : / / g e m i n i / p i v o t c u s t o m i z a t i o n / S a n d b o x N o n E m p t y " > < C u s t o m C o n t e n t > < ! [ C D A T A [ 1 ] ] > < / C u s t o m C o n t e n t > < / G e m i n i > 
</file>

<file path=customXml/item4.xml>��< ? x m l   v e r s i o n = " 1 . 0 "   e n c o d i n g = " U T F - 1 6 " ? > < G e m i n i   x m l n s = " h t t p : / / g e m i n i / p i v o t c u s t o m i z a t i o n / P o w e r P i v o t V e r s i o n " > < C u s t o m C o n t e n t > < ! [ C D A T A [ 2 0 1 5 . 1 3 0 . 8 0 0 . 1 3 3 8 ] ] > < / 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 C o l u m n s \ S i z e   ( 2 0 1 9   R e v e n u e ) < / K e y > < / a : K e y > < a : V a l u e   i : t y p e = " T a b l e W i d g e t B a s e V i e w S t a t e " / > < / a : K e y V a l u e O f D i a g r a m O b j e c t K e y a n y T y p e z b w N T n L X > < a : K e y V a l u e O f D i a g r a m O b j e c t K e y a n y T y p e z b w N T n L X > < a : K e y > < K e y > C o l u m n s \ N e t   E a r n i n g s / I n c o m e   ( 2 0 1 9 ) < / K e y > < / a : K e y > < a : V a l u e   i : t y p e = " T a b l e W i d g e t B a s e V i e w S t a t e " / > < / a : K e y V a l u e O f D i a g r a m O b j e c t K e y a n y T y p e z b w N T n L X > < a : K e y V a l u e O f D i a g r a m O b j e c t K e y a n y T y p e z b w N T n L X > < a : K e y > < K e y > C o l u m n s \ I P O   Y e a r < / K e y > < / a : K e y > < a : V a l u e   i : t y p e = " T a b l e W i d g e t B a s e V i e w S t a t e " / > < / a : K e y V a l u e O f D i a g r a m O b j e c t K e y a n y T y p e z b w N T n L X > < a : K e y V a l u e O f D i a g r a m O b j e c t K e y a n y T y p e z b w N T n L X > < a : K e y > < K e y > C o l u m n s \ S & a m p ; P   1 0 0 ?   ( Y / N ) < / K e y > < / a : K e y > < a : V a l u e   i : t y p e = " T a b l e W i d g e t B a s e V i e w S t a t e " / > < / a : K e y V a l u e O f D i a g r a m O b j e c t K e y a n y T y p e z b w N T n L X > < a : K e y V a l u e O f D i a g r a m O b j e c t K e y a n y T y p e z b w N T n L X > < a : K e y > < K e y > C o l u m n s \ C a r b o n   N e u t r a l   G o a l ?   ( Y / N ) < / K e y > < / a : K e y > < a : V a l u e   i : t y p e = " T a b l e W i d g e t B a s e V i e w S t a t e " / > < / a : K e y V a l u e O f D i a g r a m O b j e c t K e y a n y T y p e z b w N T n L X > < a : K e y V a l u e O f D i a g r a m O b j e c t K e y a n y T y p e z b w N T n L X > < a : K e y > < K e y > C o l u m n s \ S c i e n c e - B a s e d   T a r g e t ?   ( Y / N ) < / K e y > < / a : K e y > < a : V a l u e   i : t y p e = " T a b l e W i d g e t B a s e V i e w S t a t e " / > < / a : K e y V a l u e O f D i a g r a m O b j e c t K e y a n y T y p e z b w N T n L X > < a : K e y V a l u e O f D i a g r a m O b j e c t K e y a n y T y p e z b w N T n L X > < a : K e y > < K e y > C o l u m n s \ C a r b o n   N e u t r a l   b y . . . .   ( y e a r ) < / K e y > < / a : K e y > < a : V a l u e   i : t y p e = " T a b l e W i d g e t B a s e V i e w S t a t e " / > < / a : K e y V a l u e O f D i a g r a m O b j e c t K e y a n y T y p e z b w N T n L X > < a : K e y V a l u e O f D i a g r a m O b j e c t K e y a n y T y p e z b w N T n L X > < a : K e y > < K e y > C o l u m n s \ C a r b o n   N e u t r a l   A n n o u n c e m e n t   ( y e a r ) < / K e y > < / a : K e y > < a : V a l u e   i : t y p e = " T a b l e W i d g e t B a s e V i e w S t a t e " / > < / a : K e y V a l u e O f D i a g r a m O b j e c t K e y a n y T y p e z b w N T n L X > < a : K e y V a l u e O f D i a g r a m O b j e c t K e y a n y T y p e z b w N T n L X > < a : K e y > < K e y > C o l u m n s \ C a r b o n   G o a l   ( i f   n o n - z e r o ) < / K e y > < / a : K e y > < a : V a l u e   i : t y p e = " T a b l e W i d g e t B a s e V i e w S t a t e " / > < / a : K e y V a l u e O f D i a g r a m O b j e c t K e y a n y T y p e z b w N T n L X > < a : K e y V a l u e O f D i a g r a m O b j e c t K e y a n y T y p e z b w N T n L X > < a : K e y > < K e y > C o l u m n s \ R e l i a n c e   o n   O f f s e t s ?   ( Y / N ) < / K e y > < / a : K e y > < a : V a l u e   i : t y p e = " T a b l e W i d g e t B a s e V i e w S t a t e " / > < / a : K e y V a l u e O f D i a g r a m O b j e c t K e y a n y T y p e z b w N T n L X > < a : K e y V a l u e O f D i a g r a m O b j e c t K e y a n y T y p e z b w N T n L X > < a : K e y > < K e y > C o l u m n s \ R E 1 0 0   C o m m i t m e n t ?   ( Y / N ) < / K e y > < / a : K e y > < a : V a l u e   i : t y p e = " T a b l e W i d g e t B a s e V i e w S t a t e " / > < / a : K e y V a l u e O f D i a g r a m O b j e c t K e y a n y T y p e z b w N T n L X > < a : K e y V a l u e O f D i a g r a m O b j e c t K e y a n y T y p e z b w N T n L X > < a : K e y > < K e y > C o l u m n s \ 1 0 0 %   R e n e w a b l e   E n e r g y   b y . . .   ( y e a r ) < / K e y > < / a : K e y > < a : V a l u e   i : t y p e = " T a b l e W i d g e t B a s e V i e w S t a t e " / > < / a : K e y V a l u e O f D i a g r a m O b j e c t K e y a n y T y p e z b w N T n L X > < a : K e y V a l u e O f D i a g r a m O b j e c t K e y a n y T y p e z b w N T n L X > < a : K e y > < K e y > C o l u m n s \ 2 0 1 9   S c o p e   1   ( M e T   C o 2 ) < / K e y > < / a : K e y > < a : V a l u e   i : t y p e = " T a b l e W i d g e t B a s e V i e w S t a t e " / > < / a : K e y V a l u e O f D i a g r a m O b j e c t K e y a n y T y p e z b w N T n L X > < a : K e y V a l u e O f D i a g r a m O b j e c t K e y a n y T y p e z b w N T n L X > < a : K e y > < K e y > C o l u m n s \ 2 0 1 9   S c o p e   2 < / K e y > < / a : K e y > < a : V a l u e   i : t y p e = " T a b l e W i d g e t B a s e V i e w S t a t e " / > < / a : K e y V a l u e O f D i a g r a m O b j e c t K e y a n y T y p e z b w N T n L X > < a : K e y V a l u e O f D i a g r a m O b j e c t K e y a n y T y p e z b w N T n L X > < a : K e y > < K e y > C o l u m n s \ 2 0 1 9   O f f s e t s   P u r c h a s e d < / K e y > < / a : K e y > < a : V a l u e   i : t y p e = " T a b l e W i d g e t B a s e V i e w S t a t e " / > < / a : K e y V a l u e O f D i a g r a m O b j e c t K e y a n y T y p e z b w N T n L X > < a : K e y V a l u e O f D i a g r a m O b j e c t K e y a n y T y p e z b w N T n L X > < a : K e y > < K e y > C o l u m n s \ 2 0 1 9   N e t   S c o p e   1   +   2   E m i s s i o n s < / K e y > < / a : K e y > < a : V a l u e   i : t y p e = " T a b l e W i d g e t B a s e V i e w S t a t e " / > < / a : K e y V a l u e O f D i a g r a m O b j e c t K e y a n y T y p e z b w N T n L X > < a : K e y V a l u e O f D i a g r a m O b j e c t K e y a n y T y p e z b w N T n L X > < a : K e y > < K e y > C o l u m n s \ 2 0 1 9   S c o p e   3 < / K e y > < / a : K e y > < a : V a l u e   i : t y p e = " T a b l e W i d g e t B a s e V i e w S t a t e " / > < / a : K e y V a l u e O f D i a g r a m O b j e c t K e y a n y T y p e z b w N T n L X > < a : K e y V a l u e O f D i a g r a m O b j e c t K e y a n y T y p e z b w N T n L X > < a : K e y > < K e y > C o l u m n s \ 2 0 1 8   S c o p e   1 < / K e y > < / a : K e y > < a : V a l u e   i : t y p e = " T a b l e W i d g e t B a s e V i e w S t a t e " / > < / a : K e y V a l u e O f D i a g r a m O b j e c t K e y a n y T y p e z b w N T n L X > < a : K e y V a l u e O f D i a g r a m O b j e c t K e y a n y T y p e z b w N T n L X > < a : K e y > < K e y > C o l u m n s \ 2 0 1 8   S c o p e   2 < / K e y > < / a : K e y > < a : V a l u e   i : t y p e = " T a b l e W i d g e t B a s e V i e w S t a t e " / > < / a : K e y V a l u e O f D i a g r a m O b j e c t K e y a n y T y p e z b w N T n L X > < a : K e y V a l u e O f D i a g r a m O b j e c t K e y a n y T y p e z b w N T n L X > < a : K e y > < K e y > C o l u m n s \ 2 0 1 8   O f f s e t s   P u r c h a s e d < / K e y > < / a : K e y > < a : V a l u e   i : t y p e = " T a b l e W i d g e t B a s e V i e w S t a t e " / > < / a : K e y V a l u e O f D i a g r a m O b j e c t K e y a n y T y p e z b w N T n L X > < a : K e y V a l u e O f D i a g r a m O b j e c t K e y a n y T y p e z b w N T n L X > < a : K e y > < K e y > C o l u m n s \ 2 0 1 8   N e t   S c o p e   1   +   2   E m i s s i o n s < / K e y > < / a : K e y > < a : V a l u e   i : t y p e = " T a b l e W i d g e t B a s e V i e w S t a t e " / > < / a : K e y V a l u e O f D i a g r a m O b j e c t K e y a n y T y p e z b w N T n L X > < a : K e y V a l u e O f D i a g r a m O b j e c t K e y a n y T y p e z b w N T n L X > < a : K e y > < K e y > C o l u m n s \ 2 0 1 8   S c o p e   3 < / K e y > < / a : K e y > < a : V a l u e   i : t y p e = " T a b l e W i d g e t B a s e V i e w S t a t e " / > < / a : K e y V a l u e O f D i a g r a m O b j e c t K e y a n y T y p e z b w N T n L X > < a : K e y V a l u e O f D i a g r a m O b j e c t K e y a n y T y p e z b w N T n L X > < a : K e y > < K e y > C o l u m n s \ 2 0 1 7   S c o p e   1 < / K e y > < / a : K e y > < a : V a l u e   i : t y p e = " T a b l e W i d g e t B a s e V i e w S t a t e " / > < / a : K e y V a l u e O f D i a g r a m O b j e c t K e y a n y T y p e z b w N T n L X > < a : K e y V a l u e O f D i a g r a m O b j e c t K e y a n y T y p e z b w N T n L X > < a : K e y > < K e y > C o l u m n s \ 2 0 1 7   S c o p e   2 < / K e y > < / a : K e y > < a : V a l u e   i : t y p e = " T a b l e W i d g e t B a s e V i e w S t a t e " / > < / a : K e y V a l u e O f D i a g r a m O b j e c t K e y a n y T y p e z b w N T n L X > < a : K e y V a l u e O f D i a g r a m O b j e c t K e y a n y T y p e z b w N T n L X > < a : K e y > < K e y > C o l u m n s \ 2 0 1 7   O f f s e t s   P u r c h a s e d < / K e y > < / a : K e y > < a : V a l u e   i : t y p e = " T a b l e W i d g e t B a s e V i e w S t a t e " / > < / a : K e y V a l u e O f D i a g r a m O b j e c t K e y a n y T y p e z b w N T n L X > < a : K e y V a l u e O f D i a g r a m O b j e c t K e y a n y T y p e z b w N T n L X > < a : K e y > < K e y > C o l u m n s \ 2 0 1 7   N e t   S c o p e   1   +   2   E m i s s i o n s < / K e y > < / a : K e y > < a : V a l u e   i : t y p e = " T a b l e W i d g e t B a s e V i e w S t a t e " / > < / a : K e y V a l u e O f D i a g r a m O b j e c t K e y a n y T y p e z b w N T n L X > < a : K e y V a l u e O f D i a g r a m O b j e c t K e y a n y T y p e z b w N T n L X > < a : K e y > < K e y > C o l u m n s \ 2 0 1 7   S c o p e   3 < / K e y > < / a : K e y > < a : V a l u e   i : t y p e = " T a b l e W i d g e t B a s e V i e w S t a t e " / > < / a : K e y V a l u e O f D i a g r a m O b j e c t K e y a n y T y p e z b w N T n L X > < a : K e y V a l u e O f D i a g r a m O b j e c t K e y a n y T y p e z b w N T n L X > < a : K e y > < K e y > C o l u m n s \ 2 0 1 6   S c o p e   1 < / K e y > < / a : K e y > < a : V a l u e   i : t y p e = " T a b l e W i d g e t B a s e V i e w S t a t e " / > < / a : K e y V a l u e O f D i a g r a m O b j e c t K e y a n y T y p e z b w N T n L X > < a : K e y V a l u e O f D i a g r a m O b j e c t K e y a n y T y p e z b w N T n L X > < a : K e y > < K e y > C o l u m n s \ 2 0 1 6   S c o p e   2 < / K e y > < / a : K e y > < a : V a l u e   i : t y p e = " T a b l e W i d g e t B a s e V i e w S t a t e " / > < / a : K e y V a l u e O f D i a g r a m O b j e c t K e y a n y T y p e z b w N T n L X > < a : K e y V a l u e O f D i a g r a m O b j e c t K e y a n y T y p e z b w N T n L X > < a : K e y > < K e y > C o l u m n s \ 2 0 1 6   O f f s e t s   P u r c h a s e d < / K e y > < / a : K e y > < a : V a l u e   i : t y p e = " T a b l e W i d g e t B a s e V i e w S t a t e " / > < / a : K e y V a l u e O f D i a g r a m O b j e c t K e y a n y T y p e z b w N T n L X > < a : K e y V a l u e O f D i a g r a m O b j e c t K e y a n y T y p e z b w N T n L X > < a : K e y > < K e y > C o l u m n s \ 2 0 1 6   N e t   S c o p e   1   +   2   E m i s s i o n s < / K e y > < / a : K e y > < a : V a l u e   i : t y p e = " T a b l e W i d g e t B a s e V i e w S t a t e " / > < / a : K e y V a l u e O f D i a g r a m O b j e c t K e y a n y T y p e z b w N T n L X > < a : K e y V a l u e O f D i a g r a m O b j e c t K e y a n y T y p e z b w N T n L X > < a : K e y > < K e y > C o l u m n s \ 2 0 1 6   S c o p e   3 < / K e y > < / a : K e y > < a : V a l u e   i : t y p e = " T a b l e W i d g e t B a s e V i e w S t a t e " / > < / a : K e y V a l u e O f D i a g r a m O b j e c t K e y a n y T y p e z b w N T n L X > < a : K e y V a l u e O f D i a g r a m O b j e c t K e y a n y T y p e z b w N T n L X > < a : K e y > < K e y > C o l u m n s \ 2 0 1 5   S c o p e   1 < / K e y > < / a : K e y > < a : V a l u e   i : t y p e = " T a b l e W i d g e t B a s e V i e w S t a t e " / > < / a : K e y V a l u e O f D i a g r a m O b j e c t K e y a n y T y p e z b w N T n L X > < a : K e y V a l u e O f D i a g r a m O b j e c t K e y a n y T y p e z b w N T n L X > < a : K e y > < K e y > C o l u m n s \ 2 0 1 5   S c o p e   2 < / K e y > < / a : K e y > < a : V a l u e   i : t y p e = " T a b l e W i d g e t B a s e V i e w S t a t e " / > < / a : K e y V a l u e O f D i a g r a m O b j e c t K e y a n y T y p e z b w N T n L X > < a : K e y V a l u e O f D i a g r a m O b j e c t K e y a n y T y p e z b w N T n L X > < a : K e y > < K e y > C o l u m n s \ 2 0 1 5   O f f s e t s   P u r c h a s e d < / K e y > < / a : K e y > < a : V a l u e   i : t y p e = " T a b l e W i d g e t B a s e V i e w S t a t e " / > < / a : K e y V a l u e O f D i a g r a m O b j e c t K e y a n y T y p e z b w N T n L X > < a : K e y V a l u e O f D i a g r a m O b j e c t K e y a n y T y p e z b w N T n L X > < a : K e y > < K e y > C o l u m n s \ 2 0 1 5   N e t   S c o p e   1   +   2   E m i s s i o n s < / K e y > < / a : K e y > < a : V a l u e   i : t y p e = " T a b l e W i d g e t B a s e V i e w S t a t e " / > < / a : K e y V a l u e O f D i a g r a m O b j e c t K e y a n y T y p e z b w N T n L X > < a : K e y V a l u e O f D i a g r a m O b j e c t K e y a n y T y p e z b w N T n L X > < a : K e y > < K e y > C o l u m n s \ 2 0 1 5   S c o p e   3 < / K e y > < / a : K e y > < a : V a l u e   i : t y p e = " T a b l e W i d g e t B a s e V i e w S t a t e " / > < / a : K e y V a l u e O f D i a g r a m O b j e c t K e y a n y T y p e z b w N T n L X > < a : K e y V a l u e O f D i a g r a m O b j e c t K e y a n y T y p e z b w N T n L X > < a : K e y > < K e y > C o l u m n s \ P o l i c y   A r m ? < / K e y > < / a : K e y > < a : V a l u e   i : t y p e = " T a b l e W i d g e t B a s e V i e w S t a t e " / > < / a : K e y V a l u e O f D i a g r a m O b j e c t K e y a n y T y p e z b w N T n L X > < a : K e y V a l u e O f D i a g r a m O b j e c t K e y a n y T y p e z b w N T n L X > < a : K e y > < K e y > C o l u m n s \ I n i t i a t i v e s   f o r   C a r b o n   N e u t r a l i t y 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 C o l u m n s \ S o u r c e s < / K e y > < / a : K e y > < a : V a l u e   i : t y p e = " T a b l e W i d g e t B a s e V i e w S t a t e " / > < / a : K e y V a l u e O f D i a g r a m O b j e c t K e y a n y T y p e z b w N T n L X > < a : K e y V a l u e O f D i a g r a m O b j e c t K e y a n y T y p e z b w N T n L X > < a : K e y > < K e y > C o l u m n s \ 2 0 0 7 < / K e y > < / a : K e y > < a : V a l u e   i : t y p e = " T a b l e W i d g e t B a s e V i e w S t a t e " / > < / a : K e y V a l u e O f D i a g r a m O b j e c t K e y a n y T y p e z b w N T n L X > < a : K e y V a l u e O f D i a g r a m O b j e c t K e y a n y T y p e z b w N T n L X > < a : K e y > < K e y > C o l u m n s \ 2 0 1 5 < / K e y > < / a : K e y > < a : V a l u e   i : t y p e = " T a b l e W i d g e t B a s e V i e w S t a t e " / > < / a : K e y V a l u e O f D i a g r a m O b j e c t K e y a n y T y p e z b w N T n L X > < a : K e y V a l u e O f D i a g r a m O b j e c t K e y a n y T y p e z b w N T n L X > < a : K e y > < K e y > C o l u m n s \ 2 0 1 6 < / K e y > < / a : K e y > < a : V a l u e   i : t y p e = " T a b l e W i d g e t B a s e V i e w S t a t e " / > < / a : K e y V a l u e O f D i a g r a m O b j e c t K e y a n y T y p e z b w N T n L X > < a : K e y V a l u e O f D i a g r a m O b j e c t K e y a n y T y p e z b w N T n L X > < a : K e y > < K e y > C o l u m n s \ 2 0 1 7 < / K e y > < / a : K e y > < a : V a l u e   i : t y p e = " T a b l e W i d g e t B a s e V i e w S t a t e " / > < / a : K e y V a l u e O f D i a g r a m O b j e c t K e y a n y T y p e z b w N T n L X > < a : K e y V a l u e O f D i a g r a m O b j e c t K e y a n y T y p e z b w N T n L X > < a : K e y > < K e y > C o l u m n s \ 2 0 1 8 < / K e y > < / a : K e y > < a : V a l u e   i : t y p e = " T a b l e W i d g e t B a s e V i e w S t a t e " / > < / a : K e y V a l u e O f D i a g r a m O b j e c t K e y a n y T y p e z b w N T n L X > < a : K e y V a l u e O f D i a g r a m O b j e c t K e y a n y T y p e z b w N T n L X > < a : K e y > < K e y > C o l u m n s \ 2 0 1 9 < / K e y > < / a : K e y > < a : V a l u e   i : t y p e = " T a b l e W i d g e t B a s e V i e w S t a t e " / > < / a : K e y V a l u e O f D i a g r a m O b j e c t K e y a n y T y p e z b w N T n L X > < a : K e y V a l u e O f D i a g r a m O b j e c t K e y a n y T y p e z b w N T n L X > < a : K e y > < K e y > C o l u m n s \ 2 0 2 0 < / K e y > < / a : K e y > < a : V a l u e   i : t y p e = " T a b l e W i d g e t B a s e V i e w S t a t e " / > < / a : K e y V a l u e O f D i a g r a m O b j e c t K e y a n y T y p e z b w N T n L X > < a : K e y V a l u e O f D i a g r a m O b j e c t K e y a n y T y p e z b w N T n L X > < a : K e y > < K e y > C o l u m n s \ 2 0 2 2 < / K e y > < / a : K e y > < a : V a l u e   i : t y p e = " T a b l e W i d g e t B a s e V i e w S t a t e " / > < / a : K e y V a l u e O f D i a g r a m O b j e c t K e y a n y T y p e z b w N T n L X > < a : K e y V a l u e O f D i a g r a m O b j e c t K e y a n y T y p e z b w N T n L X > < a : K e y > < K e y > C o l u m n s \ 2 0 2 3 < / K e y > < / a : K e y > < a : V a l u e   i : t y p e = " T a b l e W i d g e t B a s e V i e w S t a t e " / > < / a : K e y V a l u e O f D i a g r a m O b j e c t K e y a n y T y p e z b w N T n L X > < a : K e y V a l u e O f D i a g r a m O b j e c t K e y a n y T y p e z b w N T n L X > < a : K e y > < K e y > C o l u m n s \ 2 0 2 5 < / K e y > < / a : K e y > < a : V a l u e   i : t y p e = " T a b l e W i d g e t B a s e V i e w S t a t e " / > < / a : K e y V a l u e O f D i a g r a m O b j e c t K e y a n y T y p e z b w N T n L X > < a : K e y V a l u e O f D i a g r a m O b j e c t K e y a n y T y p e z b w N T n L X > < a : K e y > < K e y > C o l u m n s \ 2 0 2 9 < / K e y > < / a : K e y > < a : V a l u e   i : t y p e = " T a b l e W i d g e t B a s e V i e w S t a t e " / > < / a : K e y V a l u e O f D i a g r a m O b j e c t K e y a n y T y p e z b w N T n L X > < a : K e y V a l u e O f D i a g r a m O b j e c t K e y a n y T y p e z b w N T n L X > < a : K e y > < K e y > C o l u m n s \ 2 0 3 0 < / K e y > < / a : K e y > < a : V a l u e   i : t y p e = " T a b l e W i d g e t B a s e V i e w S t a t e " / > < / a : K e y V a l u e O f D i a g r a m O b j e c t K e y a n y T y p e z b w N T n L X > < a : K e y V a l u e O f D i a g r a m O b j e c t K e y a n y T y p e z b w N T n L X > < a : K e y > < K e y > C o l u m n s \ 2 0 3 5 < / K e y > < / a : K e y > < a : V a l u e   i : t y p e = " T a b l e W i d g e t B a s e V i e w S t a t e " / > < / a : K e y V a l u e O f D i a g r a m O b j e c t K e y a n y T y p e z b w N T n L X > < a : K e y V a l u e O f D i a g r a m O b j e c t K e y a n y T y p e z b w N T n L X > < a : K e y > < K e y > C o l u m n s \ 2 0 4 0 < / K e y > < / a : K e y > < a : V a l u e   i : t y p e = " T a b l e W i d g e t B a s e V i e w S t a t e " / > < / a : K e y V a l u e O f D i a g r a m O b j e c t K e y a n y T y p e z b w N T n L X > < a : K e y V a l u e O f D i a g r a m O b j e c t K e y a n y T y p e z b w N T n L X > < a : K e y > < K e y > C o l u m n s \ 2 0 4 4 < / K e y > < / a : K e y > < a : V a l u e   i : t y p e = " T a b l e W i d g e t B a s e V i e w S t a t e " / > < / a : K e y V a l u e O f D i a g r a m O b j e c t K e y a n y T y p e z b w N T n L X > < a : K e y V a l u e O f D i a g r a m O b j e c t K e y a n y T y p e z b w N T n L X > < a : K e y > < K e y > C o l u m n s \ 2 0 5 0 < / 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C l i e n t W i n d o w X M L " > < C u s t o m C o n t e n t > < ! [ C D A T A [ T a b l e 1 ] ] > < / C u s t o m C o n t e n t > < / G e m i n i > 
</file>

<file path=customXml/item7.xml>��< ? x m l   v e r s i o n = " 1 . 0 "   e n c o d i n g = " U T F - 1 6 " ? > < G e m i n i   x m l n s = " h t t p : / / g e m i n i / p i v o t c u s t o m i z a t i o n / T a b l e O r d e r " > < C u s t o m C o n t e n t > < ! [ C D A T A [ T a b l e 1 ] ] > < / 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 C o m p a n y   N a m e < / s t r i n g > < / k e y > < v a l u e > < i n t > 2 2 7 < / i n t > < / v a l u e > < / i t e m > < i t e m > < k e y > < s t r i n g > S e c t o r < / s t r i n g > < / k e y > < v a l u e > < i n t > 1 2 5 < / i n t > < / v a l u e > < / i t e m > < i t e m > < k e y > < s t r i n g > I n d u s t r y < / s t r i n g > < / k e y > < v a l u e > < i n t > 1 4 6 < / i n t > < / v a l u e > < / i t e m > < i t e m > < k e y > < s t r i n g > S i z e   ( 2 0 1 9   R e v e n u e ) < / s t r i n g > < / k e y > < v a l u e > < i n t > 2 7 0 < / i n t > < / v a l u e > < / i t e m > < i t e m > < k e y > < s t r i n g > N e t   E a r n i n g s / I n c o m e   ( 2 0 1 9 ) < / s t r i n g > < / k e y > < v a l u e > < i n t > 3 5 6 < / i n t > < / v a l u e > < / i t e m > < i t e m > < k e y > < s t r i n g > I P O   Y e a r < / s t r i n g > < / k e y > < v a l u e > < i n t > 1 4 5 < / i n t > < / v a l u e > < / i t e m > < i t e m > < k e y > < s t r i n g > S & a m p ; P   1 0 0 ?   ( Y / N ) < / s t r i n g > < / k e y > < v a l u e > < i n t > 2 1 7 < / i n t > < / v a l u e > < / i t e m > < i t e m > < k e y > < s t r i n g > C a r b o n   N e u t r a l   G o a l ?   ( Y / N ) < / s t r i n g > < / k e y > < v a l u e > < i n t > 3 4 5 < / i n t > < / v a l u e > < / i t e m > < i t e m > < k e y > < s t r i n g > S c i e n c e - B a s e d   T a r g e t ?   ( Y / N ) < / s t r i n g > < / k e y > < v a l u e > < i n t > 3 5 2 < / i n t > < / v a l u e > < / i t e m > < i t e m > < k e y > < s t r i n g > C a r b o n   N e u t r a l   b y . . . .   ( y e a r ) < / s t r i n g > < / k e y > < v a l u e > < i n t > 3 4 5 < / i n t > < / v a l u e > < / i t e m > < i t e m > < k e y > < s t r i n g > C a r b o n   N e u t r a l   A n n o u n c e m e n t   ( y e a r ) < / s t r i n g > < / k e y > < v a l u e > < i n t > 4 5 9 < / i n t > < / v a l u e > < / i t e m > < i t e m > < k e y > < s t r i n g > C a r b o n   G o a l   ( i f   n o n - z e r o ) < / s t r i n g > < / k e y > < v a l u e > < i n t > 3 2 5 < / i n t > < / v a l u e > < / i t e m > < i t e m > < k e y > < s t r i n g > R e l i a n c e   o n   O f f s e t s ?   ( Y / N ) < / s t r i n g > < / k e y > < v a l u e > < i n t > 3 3 2 < / i n t > < / v a l u e > < / i t e m > < i t e m > < k e y > < s t r i n g > R E 1 0 0   C o m m i t m e n t ?   ( Y / N ) < / s t r i n g > < / k e y > < v a l u e > < i n t > 3 4 3 < / i n t > < / v a l u e > < / i t e m > < i t e m > < k e y > < s t r i n g > 1 0 0 %   R e n e w a b l e   E n e r g y   b y . . .   ( y e a r ) < / s t r i n g > < / k e y > < v a l u e > < i n t > 4 3 7 < / i n t > < / v a l u e > < / i t e m > < i t e m > < k e y > < s t r i n g > 2 0 1 9   S c o p e   1   ( M e T   C o 2 ) < / s t r i n g > < / k e y > < v a l u e > < i n t > 3 1 5 < / i n t > < / v a l u e > < / i t e m > < i t e m > < k e y > < s t r i n g > 2 0 1 9   S c o p e   2 < / s t r i n g > < / k e y > < v a l u e > < i n t > 1 9 8 < / i n t > < / v a l u e > < / i t e m > < i t e m > < k e y > < s t r i n g > 2 0 1 9   O f f s e t s   P u r c h a s e d < / s t r i n g > < / k e y > < v a l u e > < i n t > 3 0 5 < / i n t > < / v a l u e > < / i t e m > < i t e m > < k e y > < s t r i n g > 2 0 1 9   N e t   S c o p e   1   +   2   E m i s s i o n s < / s t r i n g > < / k e y > < v a l u e > < i n t > 3 9 1 < / i n t > < / v a l u e > < / i t e m > < i t e m > < k e y > < s t r i n g > 2 0 1 9   S c o p e   3 < / s t r i n g > < / k e y > < v a l u e > < i n t > 1 9 8 < / i n t > < / v a l u e > < / i t e m > < i t e m > < k e y > < s t r i n g > 2 0 1 8   S c o p e   1 < / s t r i n g > < / k e y > < v a l u e > < i n t > 1 9 8 < / i n t > < / v a l u e > < / i t e m > < i t e m > < k e y > < s t r i n g > 2 0 1 8   S c o p e   2 < / s t r i n g > < / k e y > < v a l u e > < i n t > 1 9 8 < / i n t > < / v a l u e > < / i t e m > < i t e m > < k e y > < s t r i n g > 2 0 1 8   O f f s e t s   P u r c h a s e d < / s t r i n g > < / k e y > < v a l u e > < i n t > 3 0 5 < / i n t > < / v a l u e > < / i t e m > < i t e m > < k e y > < s t r i n g > 2 0 1 8   N e t   S c o p e   1   +   2   E m i s s i o n s < / s t r i n g > < / k e y > < v a l u e > < i n t > 3 9 1 < / i n t > < / v a l u e > < / i t e m > < i t e m > < k e y > < s t r i n g > 2 0 1 8   S c o p e   3 < / s t r i n g > < / k e y > < v a l u e > < i n t > 1 9 8 < / i n t > < / v a l u e > < / i t e m > < i t e m > < k e y > < s t r i n g > 2 0 1 7   S c o p e   1 < / s t r i n g > < / k e y > < v a l u e > < i n t > 1 9 8 < / i n t > < / v a l u e > < / i t e m > < i t e m > < k e y > < s t r i n g > 2 0 1 7   S c o p e   2 < / s t r i n g > < / k e y > < v a l u e > < i n t > 1 9 8 < / i n t > < / v a l u e > < / i t e m > < i t e m > < k e y > < s t r i n g > 2 0 1 7   O f f s e t s   P u r c h a s e d < / s t r i n g > < / k e y > < v a l u e > < i n t > 3 0 5 < / i n t > < / v a l u e > < / i t e m > < i t e m > < k e y > < s t r i n g > 2 0 1 7   N e t   S c o p e   1   +   2   E m i s s i o n s < / s t r i n g > < / k e y > < v a l u e > < i n t > 3 9 1 < / i n t > < / v a l u e > < / i t e m > < i t e m > < k e y > < s t r i n g > 2 0 1 7   S c o p e   3 < / s t r i n g > < / k e y > < v a l u e > < i n t > 1 9 8 < / i n t > < / v a l u e > < / i t e m > < i t e m > < k e y > < s t r i n g > 2 0 1 6   S c o p e   1 < / s t r i n g > < / k e y > < v a l u e > < i n t > 1 9 8 < / i n t > < / v a l u e > < / i t e m > < i t e m > < k e y > < s t r i n g > 2 0 1 6   S c o p e   2 < / s t r i n g > < / k e y > < v a l u e > < i n t > 1 9 8 < / i n t > < / v a l u e > < / i t e m > < i t e m > < k e y > < s t r i n g > 2 0 1 6   O f f s e t s   P u r c h a s e d < / s t r i n g > < / k e y > < v a l u e > < i n t > 3 0 5 < / i n t > < / v a l u e > < / i t e m > < i t e m > < k e y > < s t r i n g > 2 0 1 6   N e t   S c o p e   1   +   2   E m i s s i o n s < / s t r i n g > < / k e y > < v a l u e > < i n t > 3 9 1 < / i n t > < / v a l u e > < / i t e m > < i t e m > < k e y > < s t r i n g > 2 0 1 6   S c o p e   3 < / s t r i n g > < / k e y > < v a l u e > < i n t > 1 9 8 < / i n t > < / v a l u e > < / i t e m > < i t e m > < k e y > < s t r i n g > 2 0 1 5   S c o p e   1 < / s t r i n g > < / k e y > < v a l u e > < i n t > 1 9 8 < / i n t > < / v a l u e > < / i t e m > < i t e m > < k e y > < s t r i n g > 2 0 1 5   S c o p e   2 < / s t r i n g > < / k e y > < v a l u e > < i n t > 1 9 8 < / i n t > < / v a l u e > < / i t e m > < i t e m > < k e y > < s t r i n g > 2 0 1 5   O f f s e t s   P u r c h a s e d < / s t r i n g > < / k e y > < v a l u e > < i n t > 3 0 5 < / i n t > < / v a l u e > < / i t e m > < i t e m > < k e y > < s t r i n g > 2 0 1 5   N e t   S c o p e   1   +   2   E m i s s i o n s < / s t r i n g > < / k e y > < v a l u e > < i n t > 3 9 1 < / i n t > < / v a l u e > < / i t e m > < i t e m > < k e y > < s t r i n g > 2 0 1 5   S c o p e   3 < / s t r i n g > < / k e y > < v a l u e > < i n t > 1 9 8 < / i n t > < / v a l u e > < / i t e m > < i t e m > < k e y > < s t r i n g > P o l i c y   A r m ? < / s t r i n g > < / k e y > < v a l u e > < i n t > 1 8 1 < / i n t > < / v a l u e > < / i t e m > < i t e m > < k e y > < s t r i n g > I n i t i a t i v e s   f o r   C a r b o n   N e u t r a l i t y < / s t r i n g > < / k e y > < v a l u e > < i n t > 3 9 0 < / i n t > < / v a l u e > < / i t e m > < i t e m > < k e y > < s t r i n g > N o t e s < / s t r i n g > < / k e y > < v a l u e > < i n t > 1 2 0 < / i n t > < / v a l u e > < / i t e m > < i t e m > < k e y > < s t r i n g > S o u r c e s < / s t r i n g > < / k e y > < v a l u e > < i n t > 1 4 0 < / i n t > < / v a l u e > < / i t e m > < i t e m > < k e y > < s t r i n g > 2 0 0 7 < / s t r i n g > < / k e y > < v a l u e > < i n t > 1 0 9 < / i n t > < / v a l u e > < / i t e m > < i t e m > < k e y > < s t r i n g > 2 0 1 5 < / s t r i n g > < / k e y > < v a l u e > < i n t > 1 0 9 < / i n t > < / v a l u e > < / i t e m > < i t e m > < k e y > < s t r i n g > 2 0 1 6 < / s t r i n g > < / k e y > < v a l u e > < i n t > 1 0 9 < / i n t > < / v a l u e > < / i t e m > < i t e m > < k e y > < s t r i n g > 2 0 1 7 < / s t r i n g > < / k e y > < v a l u e > < i n t > 1 0 9 < / i n t > < / v a l u e > < / i t e m > < i t e m > < k e y > < s t r i n g > 2 0 1 8 < / s t r i n g > < / k e y > < v a l u e > < i n t > 1 0 9 < / i n t > < / v a l u e > < / i t e m > < i t e m > < k e y > < s t r i n g > 2 0 1 9 < / s t r i n g > < / k e y > < v a l u e > < i n t > 1 0 9 < / i n t > < / v a l u e > < / i t e m > < i t e m > < k e y > < s t r i n g > 2 0 2 0 < / s t r i n g > < / k e y > < v a l u e > < i n t > 1 0 9 < / i n t > < / v a l u e > < / i t e m > < i t e m > < k e y > < s t r i n g > 2 0 2 2 < / s t r i n g > < / k e y > < v a l u e > < i n t > 1 0 9 < / i n t > < / v a l u e > < / i t e m > < i t e m > < k e y > < s t r i n g > 2 0 2 3 < / s t r i n g > < / k e y > < v a l u e > < i n t > 1 0 9 < / i n t > < / v a l u e > < / i t e m > < i t e m > < k e y > < s t r i n g > 2 0 2 5 < / s t r i n g > < / k e y > < v a l u e > < i n t > 1 0 9 < / i n t > < / v a l u e > < / i t e m > < i t e m > < k e y > < s t r i n g > 2 0 2 9 < / s t r i n g > < / k e y > < v a l u e > < i n t > 1 0 9 < / i n t > < / v a l u e > < / i t e m > < i t e m > < k e y > < s t r i n g > 2 0 3 0 < / s t r i n g > < / k e y > < v a l u e > < i n t > 1 0 9 < / i n t > < / v a l u e > < / i t e m > < i t e m > < k e y > < s t r i n g > 2 0 3 5 < / s t r i n g > < / k e y > < v a l u e > < i n t > 1 0 9 < / i n t > < / v a l u e > < / i t e m > < i t e m > < k e y > < s t r i n g > 2 0 4 0 < / s t r i n g > < / k e y > < v a l u e > < i n t > 1 0 9 < / i n t > < / v a l u e > < / i t e m > < i t e m > < k e y > < s t r i n g > 2 0 4 4 < / s t r i n g > < / k e y > < v a l u e > < i n t > 1 0 9 < / i n t > < / v a l u e > < / i t e m > < i t e m > < k e y > < s t r i n g > 2 0 5 0 < / s t r i n g > < / k e y > < v a l u e > < i n t > 1 0 9 < / i n t > < / v a l u e > < / i t e m > < / C o l u m n W i d t h s > < C o l u m n D i s p l a y I n d e x > < i t e m > < k e y > < s t r i n g > C o m p a n y   N a m e < / s t r i n g > < / k e y > < v a l u e > < i n t > 0 < / i n t > < / v a l u e > < / i t e m > < i t e m > < k e y > < s t r i n g > S e c t o r < / s t r i n g > < / k e y > < v a l u e > < i n t > 1 < / i n t > < / v a l u e > < / i t e m > < i t e m > < k e y > < s t r i n g > I n d u s t r y < / s t r i n g > < / k e y > < v a l u e > < i n t > 2 < / i n t > < / v a l u e > < / i t e m > < i t e m > < k e y > < s t r i n g > S i z e   ( 2 0 1 9   R e v e n u e ) < / s t r i n g > < / k e y > < v a l u e > < i n t > 3 < / i n t > < / v a l u e > < / i t e m > < i t e m > < k e y > < s t r i n g > N e t   E a r n i n g s / I n c o m e   ( 2 0 1 9 ) < / s t r i n g > < / k e y > < v a l u e > < i n t > 4 < / i n t > < / v a l u e > < / i t e m > < i t e m > < k e y > < s t r i n g > I P O   Y e a r < / s t r i n g > < / k e y > < v a l u e > < i n t > 5 < / i n t > < / v a l u e > < / i t e m > < i t e m > < k e y > < s t r i n g > S & a m p ; P   1 0 0 ?   ( Y / N ) < / s t r i n g > < / k e y > < v a l u e > < i n t > 6 < / i n t > < / v a l u e > < / i t e m > < i t e m > < k e y > < s t r i n g > C a r b o n   N e u t r a l   G o a l ?   ( Y / N ) < / s t r i n g > < / k e y > < v a l u e > < i n t > 7 < / i n t > < / v a l u e > < / i t e m > < i t e m > < k e y > < s t r i n g > S c i e n c e - B a s e d   T a r g e t ?   ( Y / N ) < / s t r i n g > < / k e y > < v a l u e > < i n t > 8 < / i n t > < / v a l u e > < / i t e m > < i t e m > < k e y > < s t r i n g > C a r b o n   N e u t r a l   b y . . . .   ( y e a r ) < / s t r i n g > < / k e y > < v a l u e > < i n t > 9 < / i n t > < / v a l u e > < / i t e m > < i t e m > < k e y > < s t r i n g > C a r b o n   N e u t r a l   A n n o u n c e m e n t   ( y e a r ) < / s t r i n g > < / k e y > < v a l u e > < i n t > 1 0 < / i n t > < / v a l u e > < / i t e m > < i t e m > < k e y > < s t r i n g > C a r b o n   G o a l   ( i f   n o n - z e r o ) < / s t r i n g > < / k e y > < v a l u e > < i n t > 1 1 < / i n t > < / v a l u e > < / i t e m > < i t e m > < k e y > < s t r i n g > R e l i a n c e   o n   O f f s e t s ?   ( Y / N ) < / s t r i n g > < / k e y > < v a l u e > < i n t > 1 2 < / i n t > < / v a l u e > < / i t e m > < i t e m > < k e y > < s t r i n g > R E 1 0 0   C o m m i t m e n t ?   ( Y / N ) < / s t r i n g > < / k e y > < v a l u e > < i n t > 1 3 < / i n t > < / v a l u e > < / i t e m > < i t e m > < k e y > < s t r i n g > 1 0 0 %   R e n e w a b l e   E n e r g y   b y . . .   ( y e a r ) < / s t r i n g > < / k e y > < v a l u e > < i n t > 1 4 < / i n t > < / v a l u e > < / i t e m > < i t e m > < k e y > < s t r i n g > 2 0 1 9   S c o p e   1   ( M e T   C o 2 ) < / s t r i n g > < / k e y > < v a l u e > < i n t > 1 5 < / i n t > < / v a l u e > < / i t e m > < i t e m > < k e y > < s t r i n g > 2 0 1 9   S c o p e   2 < / s t r i n g > < / k e y > < v a l u e > < i n t > 1 6 < / i n t > < / v a l u e > < / i t e m > < i t e m > < k e y > < s t r i n g > 2 0 1 9   O f f s e t s   P u r c h a s e d < / s t r i n g > < / k e y > < v a l u e > < i n t > 1 7 < / i n t > < / v a l u e > < / i t e m > < i t e m > < k e y > < s t r i n g > 2 0 1 9   N e t   S c o p e   1   +   2   E m i s s i o n s < / s t r i n g > < / k e y > < v a l u e > < i n t > 1 8 < / i n t > < / v a l u e > < / i t e m > < i t e m > < k e y > < s t r i n g > 2 0 1 9   S c o p e   3 < / s t r i n g > < / k e y > < v a l u e > < i n t > 1 9 < / i n t > < / v a l u e > < / i t e m > < i t e m > < k e y > < s t r i n g > 2 0 1 8   S c o p e   1 < / s t r i n g > < / k e y > < v a l u e > < i n t > 2 0 < / i n t > < / v a l u e > < / i t e m > < i t e m > < k e y > < s t r i n g > 2 0 1 8   S c o p e   2 < / s t r i n g > < / k e y > < v a l u e > < i n t > 2 1 < / i n t > < / v a l u e > < / i t e m > < i t e m > < k e y > < s t r i n g > 2 0 1 8   O f f s e t s   P u r c h a s e d < / s t r i n g > < / k e y > < v a l u e > < i n t > 2 2 < / i n t > < / v a l u e > < / i t e m > < i t e m > < k e y > < s t r i n g > 2 0 1 8   N e t   S c o p e   1   +   2   E m i s s i o n s < / s t r i n g > < / k e y > < v a l u e > < i n t > 2 3 < / i n t > < / v a l u e > < / i t e m > < i t e m > < k e y > < s t r i n g > 2 0 1 8   S c o p e   3 < / s t r i n g > < / k e y > < v a l u e > < i n t > 2 4 < / i n t > < / v a l u e > < / i t e m > < i t e m > < k e y > < s t r i n g > 2 0 1 7   S c o p e   1 < / s t r i n g > < / k e y > < v a l u e > < i n t > 2 5 < / i n t > < / v a l u e > < / i t e m > < i t e m > < k e y > < s t r i n g > 2 0 1 7   S c o p e   2 < / s t r i n g > < / k e y > < v a l u e > < i n t > 2 6 < / i n t > < / v a l u e > < / i t e m > < i t e m > < k e y > < s t r i n g > 2 0 1 7   O f f s e t s   P u r c h a s e d < / s t r i n g > < / k e y > < v a l u e > < i n t > 2 7 < / i n t > < / v a l u e > < / i t e m > < i t e m > < k e y > < s t r i n g > 2 0 1 7   N e t   S c o p e   1   +   2   E m i s s i o n s < / s t r i n g > < / k e y > < v a l u e > < i n t > 2 8 < / i n t > < / v a l u e > < / i t e m > < i t e m > < k e y > < s t r i n g > 2 0 1 7   S c o p e   3 < / s t r i n g > < / k e y > < v a l u e > < i n t > 2 9 < / i n t > < / v a l u e > < / i t e m > < i t e m > < k e y > < s t r i n g > 2 0 1 6   S c o p e   1 < / s t r i n g > < / k e y > < v a l u e > < i n t > 3 0 < / i n t > < / v a l u e > < / i t e m > < i t e m > < k e y > < s t r i n g > 2 0 1 6   S c o p e   2 < / s t r i n g > < / k e y > < v a l u e > < i n t > 3 1 < / i n t > < / v a l u e > < / i t e m > < i t e m > < k e y > < s t r i n g > 2 0 1 6   O f f s e t s   P u r c h a s e d < / s t r i n g > < / k e y > < v a l u e > < i n t > 3 2 < / i n t > < / v a l u e > < / i t e m > < i t e m > < k e y > < s t r i n g > 2 0 1 6   N e t   S c o p e   1   +   2   E m i s s i o n s < / s t r i n g > < / k e y > < v a l u e > < i n t > 3 3 < / i n t > < / v a l u e > < / i t e m > < i t e m > < k e y > < s t r i n g > 2 0 1 6   S c o p e   3 < / s t r i n g > < / k e y > < v a l u e > < i n t > 3 4 < / i n t > < / v a l u e > < / i t e m > < i t e m > < k e y > < s t r i n g > 2 0 1 5   S c o p e   1 < / s t r i n g > < / k e y > < v a l u e > < i n t > 3 5 < / i n t > < / v a l u e > < / i t e m > < i t e m > < k e y > < s t r i n g > 2 0 1 5   S c o p e   2 < / s t r i n g > < / k e y > < v a l u e > < i n t > 3 6 < / i n t > < / v a l u e > < / i t e m > < i t e m > < k e y > < s t r i n g > 2 0 1 5   O f f s e t s   P u r c h a s e d < / s t r i n g > < / k e y > < v a l u e > < i n t > 3 7 < / i n t > < / v a l u e > < / i t e m > < i t e m > < k e y > < s t r i n g > 2 0 1 5   N e t   S c o p e   1   +   2   E m i s s i o n s < / s t r i n g > < / k e y > < v a l u e > < i n t > 3 8 < / i n t > < / v a l u e > < / i t e m > < i t e m > < k e y > < s t r i n g > 2 0 1 5   S c o p e   3 < / s t r i n g > < / k e y > < v a l u e > < i n t > 3 9 < / i n t > < / v a l u e > < / i t e m > < i t e m > < k e y > < s t r i n g > P o l i c y   A r m ? < / s t r i n g > < / k e y > < v a l u e > < i n t > 4 0 < / i n t > < / v a l u e > < / i t e m > < i t e m > < k e y > < s t r i n g > I n i t i a t i v e s   f o r   C a r b o n   N e u t r a l i t y < / s t r i n g > < / k e y > < v a l u e > < i n t > 4 1 < / i n t > < / v a l u e > < / i t e m > < i t e m > < k e y > < s t r i n g > N o t e s < / s t r i n g > < / k e y > < v a l u e > < i n t > 4 2 < / i n t > < / v a l u e > < / i t e m > < i t e m > < k e y > < s t r i n g > S o u r c e s < / s t r i n g > < / k e y > < v a l u e > < i n t > 4 3 < / i n t > < / v a l u e > < / i t e m > < i t e m > < k e y > < s t r i n g > 2 0 0 7 < / s t r i n g > < / k e y > < v a l u e > < i n t > 4 4 < / i n t > < / v a l u e > < / i t e m > < i t e m > < k e y > < s t r i n g > 2 0 1 5 < / s t r i n g > < / k e y > < v a l u e > < i n t > 4 5 < / i n t > < / v a l u e > < / i t e m > < i t e m > < k e y > < s t r i n g > 2 0 1 6 < / s t r i n g > < / k e y > < v a l u e > < i n t > 4 6 < / i n t > < / v a l u e > < / i t e m > < i t e m > < k e y > < s t r i n g > 2 0 1 7 < / s t r i n g > < / k e y > < v a l u e > < i n t > 4 7 < / i n t > < / v a l u e > < / i t e m > < i t e m > < k e y > < s t r i n g > 2 0 1 8 < / s t r i n g > < / k e y > < v a l u e > < i n t > 4 8 < / i n t > < / v a l u e > < / i t e m > < i t e m > < k e y > < s t r i n g > 2 0 1 9 < / s t r i n g > < / k e y > < v a l u e > < i n t > 4 9 < / i n t > < / v a l u e > < / i t e m > < i t e m > < k e y > < s t r i n g > 2 0 2 0 < / s t r i n g > < / k e y > < v a l u e > < i n t > 5 0 < / i n t > < / v a l u e > < / i t e m > < i t e m > < k e y > < s t r i n g > 2 0 2 2 < / s t r i n g > < / k e y > < v a l u e > < i n t > 5 1 < / i n t > < / v a l u e > < / i t e m > < i t e m > < k e y > < s t r i n g > 2 0 2 3 < / s t r i n g > < / k e y > < v a l u e > < i n t > 5 2 < / i n t > < / v a l u e > < / i t e m > < i t e m > < k e y > < s t r i n g > 2 0 2 5 < / s t r i n g > < / k e y > < v a l u e > < i n t > 5 3 < / i n t > < / v a l u e > < / i t e m > < i t e m > < k e y > < s t r i n g > 2 0 2 9 < / s t r i n g > < / k e y > < v a l u e > < i n t > 5 4 < / i n t > < / v a l u e > < / i t e m > < i t e m > < k e y > < s t r i n g > 2 0 3 0 < / s t r i n g > < / k e y > < v a l u e > < i n t > 5 5 < / i n t > < / v a l u e > < / i t e m > < i t e m > < k e y > < s t r i n g > 2 0 3 5 < / s t r i n g > < / k e y > < v a l u e > < i n t > 5 6 < / i n t > < / v a l u e > < / i t e m > < i t e m > < k e y > < s t r i n g > 2 0 4 0 < / s t r i n g > < / k e y > < v a l u e > < i n t > 5 7 < / i n t > < / v a l u e > < / i t e m > < i t e m > < k e y > < s t r i n g > 2 0 4 4 < / s t r i n g > < / k e y > < v a l u e > < i n t > 5 8 < / i n t > < / v a l u e > < / i t e m > < i t e m > < k e y > < s t r i n g > 2 0 5 0 < / s t r i n g > < / k e y > < v a l u e > < i n t > 5 9 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ED47B6D-B9E4-482A-B768-2881B4C7C783}">
  <ds:schemaRefs>
    <ds:schemaRef ds:uri="http://gemini/pivotcustomization/ManualCalcMode"/>
  </ds:schemaRefs>
</ds:datastoreItem>
</file>

<file path=customXml/itemProps10.xml><?xml version="1.0" encoding="utf-8"?>
<ds:datastoreItem xmlns:ds="http://schemas.openxmlformats.org/officeDocument/2006/customXml" ds:itemID="{49097C70-4B4A-4D40-9502-7DAE8FE59AD7}">
  <ds:schemaRefs>
    <ds:schemaRef ds:uri="http://gemini/pivotcustomization/Diagrams"/>
  </ds:schemaRefs>
</ds:datastoreItem>
</file>

<file path=customXml/itemProps11.xml><?xml version="1.0" encoding="utf-8"?>
<ds:datastoreItem xmlns:ds="http://schemas.openxmlformats.org/officeDocument/2006/customXml" ds:itemID="{729C1D0C-6BC0-4EA6-A2A1-EAD76443E6F3}">
  <ds:schemaRefs>
    <ds:schemaRef ds:uri="http://gemini/pivotcustomization/ShowHidden"/>
  </ds:schemaRefs>
</ds:datastoreItem>
</file>

<file path=customXml/itemProps12.xml><?xml version="1.0" encoding="utf-8"?>
<ds:datastoreItem xmlns:ds="http://schemas.openxmlformats.org/officeDocument/2006/customXml" ds:itemID="{C52C42D5-A088-4722-80C0-B6A93377AD8A}">
  <ds:schemaRefs>
    <ds:schemaRef ds:uri="http://gemini/pivotcustomization/MeasureGridState"/>
  </ds:schemaRefs>
</ds:datastoreItem>
</file>

<file path=customXml/itemProps13.xml><?xml version="1.0" encoding="utf-8"?>
<ds:datastoreItem xmlns:ds="http://schemas.openxmlformats.org/officeDocument/2006/customXml" ds:itemID="{2C53A1DF-4D11-4C5E-8E6D-2CB7FBF9CF36}">
  <ds:schemaRefs>
    <ds:schemaRef ds:uri="http://gemini/pivotcustomization/RelationshipAutoDetectionEnabled"/>
  </ds:schemaRefs>
</ds:datastoreItem>
</file>

<file path=customXml/itemProps14.xml><?xml version="1.0" encoding="utf-8"?>
<ds:datastoreItem xmlns:ds="http://schemas.openxmlformats.org/officeDocument/2006/customXml" ds:itemID="{2709A323-C744-4B3F-B0D5-66D83C405879}">
  <ds:schemaRefs>
    <ds:schemaRef ds:uri="http://gemini/pivotcustomization/IsSandboxEmbedded"/>
  </ds:schemaRefs>
</ds:datastoreItem>
</file>

<file path=customXml/itemProps15.xml><?xml version="1.0" encoding="utf-8"?>
<ds:datastoreItem xmlns:ds="http://schemas.openxmlformats.org/officeDocument/2006/customXml" ds:itemID="{121C9889-2A96-4951-9E69-A9D647F5F94D}">
  <ds:schemaRefs>
    <ds:schemaRef ds:uri="http://gemini/pivotcustomization/ErrorCache"/>
  </ds:schemaRefs>
</ds:datastoreItem>
</file>

<file path=customXml/itemProps16.xml><?xml version="1.0" encoding="utf-8"?>
<ds:datastoreItem xmlns:ds="http://schemas.openxmlformats.org/officeDocument/2006/customXml" ds:itemID="{44E30152-CB53-4EF6-A495-3745C2D44813}">
  <ds:schemaRefs>
    <ds:schemaRef ds:uri="http://gemini/pivotcustomization/ShowImplicitMeasures"/>
  </ds:schemaRefs>
</ds:datastoreItem>
</file>

<file path=customXml/itemProps2.xml><?xml version="1.0" encoding="utf-8"?>
<ds:datastoreItem xmlns:ds="http://schemas.openxmlformats.org/officeDocument/2006/customXml" ds:itemID="{2DF007CB-EFF8-462F-AE44-B9820558C57C}">
  <ds:schemaRefs>
    <ds:schemaRef ds:uri="http://gemini/pivotcustomization/FormulaBarState"/>
  </ds:schemaRefs>
</ds:datastoreItem>
</file>

<file path=customXml/itemProps3.xml><?xml version="1.0" encoding="utf-8"?>
<ds:datastoreItem xmlns:ds="http://schemas.openxmlformats.org/officeDocument/2006/customXml" ds:itemID="{B1FE6BD5-4A30-4787-96CA-4A8AA9E641CE}">
  <ds:schemaRefs>
    <ds:schemaRef ds:uri="http://gemini/pivotcustomization/SandboxNonEmpty"/>
  </ds:schemaRefs>
</ds:datastoreItem>
</file>

<file path=customXml/itemProps4.xml><?xml version="1.0" encoding="utf-8"?>
<ds:datastoreItem xmlns:ds="http://schemas.openxmlformats.org/officeDocument/2006/customXml" ds:itemID="{4C7F21FD-D173-4954-9A09-7A16241193A7}">
  <ds:schemaRefs>
    <ds:schemaRef ds:uri="http://gemini/pivotcustomization/PowerPivotVersion"/>
  </ds:schemaRefs>
</ds:datastoreItem>
</file>

<file path=customXml/itemProps5.xml><?xml version="1.0" encoding="utf-8"?>
<ds:datastoreItem xmlns:ds="http://schemas.openxmlformats.org/officeDocument/2006/customXml" ds:itemID="{7F18D981-4E96-49E6-B154-CDC6D1088E66}">
  <ds:schemaRefs>
    <ds:schemaRef ds:uri="http://gemini/pivotcustomization/TableWidget"/>
  </ds:schemaRefs>
</ds:datastoreItem>
</file>

<file path=customXml/itemProps6.xml><?xml version="1.0" encoding="utf-8"?>
<ds:datastoreItem xmlns:ds="http://schemas.openxmlformats.org/officeDocument/2006/customXml" ds:itemID="{93CA14C1-B02C-454D-A1B6-3CFAE449071C}">
  <ds:schemaRefs>
    <ds:schemaRef ds:uri="http://gemini/pivotcustomization/ClientWindowXML"/>
  </ds:schemaRefs>
</ds:datastoreItem>
</file>

<file path=customXml/itemProps7.xml><?xml version="1.0" encoding="utf-8"?>
<ds:datastoreItem xmlns:ds="http://schemas.openxmlformats.org/officeDocument/2006/customXml" ds:itemID="{8AC283E2-4F0F-4201-93B8-17DEE984007A}">
  <ds:schemaRefs>
    <ds:schemaRef ds:uri="http://gemini/pivotcustomization/TableOrder"/>
  </ds:schemaRefs>
</ds:datastoreItem>
</file>

<file path=customXml/itemProps8.xml><?xml version="1.0" encoding="utf-8"?>
<ds:datastoreItem xmlns:ds="http://schemas.openxmlformats.org/officeDocument/2006/customXml" ds:itemID="{48980BAF-B3C4-4A2A-ADCF-A51AC5789B62}">
  <ds:schemaRefs>
    <ds:schemaRef ds:uri="http://gemini/pivotcustomization/LinkedTableUpdateMode"/>
  </ds:schemaRefs>
</ds:datastoreItem>
</file>

<file path=customXml/itemProps9.xml><?xml version="1.0" encoding="utf-8"?>
<ds:datastoreItem xmlns:ds="http://schemas.openxmlformats.org/officeDocument/2006/customXml" ds:itemID="{C3DC4AB6-9A92-42C3-96A9-E293D8DC2BDA}">
  <ds:schemaRefs>
    <ds:schemaRef ds:uri="http://gemini/pivotcustomization/TableXML_Tabl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Company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Edmunds</dc:creator>
  <cp:keywords/>
  <dc:description/>
  <cp:lastModifiedBy>Pete Edmunds</cp:lastModifiedBy>
  <cp:revision/>
  <dcterms:created xsi:type="dcterms:W3CDTF">2020-06-04T19:09:35Z</dcterms:created>
  <dcterms:modified xsi:type="dcterms:W3CDTF">2020-12-22T17:44:03Z</dcterms:modified>
  <cp:category/>
  <cp:contentStatus/>
</cp:coreProperties>
</file>