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hFR6Gb4qdBPaKe78INKmg9dxP/Ig=="/>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<sst xmlns="http://schemas.openxmlformats.org/spreadsheetml/2006/main" count="11096" uniqueCount="1769">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</sst>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0.0%"/>
    <numFmt numFmtId="166" formatCode="dd/mm/yyyy"/>
    <numFmt numFmtId="167" formatCode="_(* #,##0_);_(* \(#,##0\);_(* &quot;-&quot;??_);_(@_)"/>
    <numFmt numFmtId="168" formatCode="_(* #,##0.00_);_(* \(#,##0.00\);_(* &quot;-&quot;??_);_(@_)"/>
    <numFmt numFmtId="169" formatCode="0.0000%"/>
    <numFmt numFmtId="170" formatCode="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6">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4"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5"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5"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5" xfId="0" applyAlignment="1" applyFont="1" applyNumberFormat="1">
      <alignment horizontal="center"/>
    </xf>
    <xf borderId="0" fillId="11" fontId="6" numFmtId="0" xfId="0" applyAlignment="1" applyFill="1" applyFont="1">
      <alignment horizontal="center"/>
    </xf>
    <xf borderId="0" fillId="12" fontId="6" numFmtId="165"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5"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5"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5"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5" xfId="0" applyBorder="1" applyFont="1" applyNumberFormat="1"/>
    <xf borderId="9" fillId="0" fontId="1" numFmtId="0" xfId="0" applyAlignment="1" applyBorder="1" applyFont="1">
      <alignment horizontal="center"/>
    </xf>
    <xf borderId="10" fillId="0" fontId="1" numFmtId="0" xfId="0" applyBorder="1" applyFont="1"/>
    <xf borderId="10" fillId="0" fontId="1" numFmtId="165"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5"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6"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4"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4"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7"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8"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5"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69"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6"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4"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5" xfId="0" applyAlignment="1" applyBorder="1" applyFont="1" applyNumberFormat="1">
      <alignment horizontal="center" readingOrder="0" vertical="center"/>
    </xf>
    <xf borderId="3" fillId="0" fontId="1" numFmtId="165"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5"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8" xfId="0" applyFont="1" applyNumberFormat="1"/>
    <xf borderId="0" fillId="0" fontId="5" numFmtId="168" xfId="0" applyFont="1" applyNumberFormat="1"/>
    <xf borderId="1" fillId="24" fontId="2" numFmtId="170" xfId="0" applyBorder="1" applyFont="1" applyNumberFormat="1"/>
    <xf borderId="0" fillId="0" fontId="5" numFmtId="170"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7" xfId="0" applyAlignment="1" applyFont="1" applyNumberFormat="1">
      <alignment horizontal="center"/>
    </xf>
    <xf borderId="1" fillId="2" fontId="0" numFmtId="0" xfId="0" applyAlignment="1" applyBorder="1" applyFont="1">
      <alignment shrinkToFit="0" wrapText="1"/>
    </xf>
    <xf borderId="1" fillId="2" fontId="0" numFmtId="167" xfId="0" applyAlignment="1" applyBorder="1" applyFont="1" applyNumberFormat="1">
      <alignment horizontal="center" shrinkToFit="0" wrapText="1"/>
    </xf>
    <xf borderId="1" fillId="2" fontId="0" numFmtId="167" xfId="0" applyAlignment="1" applyBorder="1" applyFont="1" applyNumberFormat="1">
      <alignment horizontal="center"/>
    </xf>
    <xf borderId="0" fillId="0" fontId="0" numFmtId="167" xfId="0" applyAlignment="1" applyFont="1" applyNumberFormat="1">
      <alignment horizontal="center"/>
    </xf>
    <xf borderId="1" fillId="11" fontId="2" numFmtId="0" xfId="0" applyAlignment="1" applyBorder="1" applyFont="1">
      <alignment horizontal="center"/>
    </xf>
    <xf borderId="1" fillId="11" fontId="2" numFmtId="168" xfId="0" applyAlignment="1" applyBorder="1" applyFont="1" applyNumberFormat="1">
      <alignment horizontal="center"/>
    </xf>
    <xf borderId="0" fillId="0" fontId="2" numFmtId="168" xfId="0" applyAlignment="1" applyFont="1" applyNumberFormat="1">
      <alignment horizontal="center"/>
    </xf>
    <xf borderId="0" fillId="0" fontId="2" numFmtId="167" xfId="0" applyFont="1" applyNumberFormat="1"/>
    <xf borderId="0" fillId="0" fontId="2" numFmtId="168" xfId="0" applyFont="1" applyNumberFormat="1"/>
    <xf borderId="0" fillId="0" fontId="2" numFmtId="165" xfId="0" applyFont="1" applyNumberFormat="1"/>
    <xf borderId="0" fillId="0" fontId="0" numFmtId="167" xfId="0" applyFont="1" applyNumberFormat="1"/>
    <xf borderId="0" fillId="0" fontId="0" numFmtId="168" xfId="0" applyFont="1" applyNumberFormat="1"/>
    <xf borderId="0" fillId="0" fontId="0" numFmtId="165" xfId="0" applyFont="1" applyNumberFormat="1"/>
    <xf borderId="1" fillId="28" fontId="2" numFmtId="165"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7"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7"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5"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5"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5"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1757974758"/>
        <c:axId val="314795995"/>
      </c:barChart>
      <c:catAx>
        <c:axId val="17579747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14795995"/>
      </c:catAx>
      <c:valAx>
        <c:axId val="3147959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797475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325635496"/>
        <c:axId val="552355921"/>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325635496"/>
        <c:axId val="552355921"/>
      </c:lineChart>
      <c:catAx>
        <c:axId val="3256354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52355921"/>
      </c:catAx>
      <c:valAx>
        <c:axId val="5523559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5635496"/>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4"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c r="X1" s="4"/>
    </row>
    <row r="2" ht="9.0" customHeight="1">
      <c r="A2" s="5">
        <v>1.0</v>
      </c>
      <c r="B2" s="4" t="s">
        <v>10</v>
      </c>
      <c r="C2" s="4" t="s">
        <v>10</v>
      </c>
      <c r="D2" s="8">
        <v>0.15</v>
      </c>
      <c r="E2" s="8">
        <v>0.15</v>
      </c>
      <c r="F2" s="8">
        <v>0.15</v>
      </c>
      <c r="G2" s="4">
        <v>0.529639175257732</v>
      </c>
      <c r="H2" s="4">
        <f t="shared" ref="H2:H101" si="1">RANK(G2,$G$2:$G$101)</f>
        <v>6</v>
      </c>
      <c r="I2" s="4"/>
      <c r="J2" s="4"/>
      <c r="K2" s="4"/>
      <c r="L2" s="4"/>
      <c r="M2" s="4"/>
      <c r="N2" s="4"/>
      <c r="O2" s="4"/>
      <c r="P2" s="4"/>
      <c r="Q2" s="4"/>
      <c r="R2" s="4"/>
      <c r="S2" s="4"/>
      <c r="T2" s="4"/>
      <c r="U2" s="4"/>
      <c r="V2" s="4"/>
      <c r="W2" s="4"/>
      <c r="X2" s="4"/>
    </row>
    <row r="3" ht="9.0" customHeight="1">
      <c r="A3" s="5">
        <f t="shared" ref="A3:A101" si="2">A2+1</f>
        <v>2</v>
      </c>
      <c r="B3" s="4" t="s">
        <v>15</v>
      </c>
      <c r="C3" s="4" t="s">
        <v>15</v>
      </c>
      <c r="D3" s="8">
        <v>0.15</v>
      </c>
      <c r="E3" s="8">
        <v>0.15</v>
      </c>
      <c r="F3" s="8">
        <v>0.15</v>
      </c>
      <c r="G3" s="4">
        <v>0.35428256070640174</v>
      </c>
      <c r="H3" s="4">
        <f t="shared" si="1"/>
        <v>12</v>
      </c>
      <c r="I3" s="4"/>
      <c r="J3" s="4"/>
      <c r="K3" s="4"/>
      <c r="L3" s="4"/>
      <c r="M3" s="4"/>
      <c r="N3" s="4"/>
      <c r="O3" s="4"/>
      <c r="P3" s="4"/>
      <c r="Q3" s="4"/>
      <c r="R3" s="4"/>
      <c r="S3" s="4"/>
      <c r="T3" s="4"/>
      <c r="U3" s="4"/>
      <c r="V3" s="4"/>
      <c r="W3" s="4"/>
      <c r="X3" s="4"/>
    </row>
    <row r="4" ht="9.0" customHeight="1">
      <c r="A4" s="5">
        <f t="shared" si="2"/>
        <v>3</v>
      </c>
      <c r="B4" s="4" t="s">
        <v>20</v>
      </c>
      <c r="C4" s="4" t="s">
        <v>21</v>
      </c>
      <c r="D4" s="8">
        <v>0.15</v>
      </c>
      <c r="E4" s="8">
        <v>0.15</v>
      </c>
      <c r="F4" s="8">
        <v>0.15</v>
      </c>
      <c r="G4" s="4">
        <v>0.3686318897637795</v>
      </c>
      <c r="H4" s="4">
        <f t="shared" si="1"/>
        <v>11</v>
      </c>
      <c r="I4" s="4"/>
      <c r="J4" s="4"/>
      <c r="K4" s="4"/>
      <c r="L4" s="4"/>
      <c r="M4" s="4"/>
      <c r="N4" s="4"/>
      <c r="O4" s="4"/>
      <c r="P4" s="4"/>
      <c r="Q4" s="4"/>
      <c r="R4" s="4"/>
      <c r="S4" s="4"/>
      <c r="T4" s="4"/>
      <c r="U4" s="4"/>
      <c r="V4" s="4"/>
      <c r="W4" s="4"/>
      <c r="X4" s="4"/>
    </row>
    <row r="5" ht="9.0" customHeight="1">
      <c r="A5" s="5">
        <f t="shared" si="2"/>
        <v>4</v>
      </c>
      <c r="B5" s="4" t="s">
        <v>26</v>
      </c>
      <c r="C5" s="4" t="s">
        <v>26</v>
      </c>
      <c r="D5" s="8">
        <v>0.15</v>
      </c>
      <c r="E5" s="8">
        <v>0.15</v>
      </c>
      <c r="F5" s="8">
        <v>0.15</v>
      </c>
      <c r="G5" s="4">
        <v>0.6366666666666667</v>
      </c>
      <c r="H5" s="4">
        <f t="shared" si="1"/>
        <v>3</v>
      </c>
      <c r="I5" s="4"/>
      <c r="J5" s="4"/>
      <c r="K5" s="4"/>
      <c r="L5" s="4"/>
      <c r="M5" s="4"/>
      <c r="N5" s="4"/>
      <c r="O5" s="4"/>
      <c r="P5" s="4"/>
      <c r="Q5" s="4"/>
      <c r="R5" s="4"/>
      <c r="S5" s="4"/>
      <c r="T5" s="4"/>
      <c r="U5" s="4"/>
      <c r="V5" s="4"/>
      <c r="W5" s="4"/>
      <c r="X5" s="4"/>
    </row>
    <row r="6" ht="9.0" customHeight="1">
      <c r="A6" s="5">
        <f t="shared" si="2"/>
        <v>5</v>
      </c>
      <c r="B6" s="4" t="s">
        <v>31</v>
      </c>
      <c r="C6" s="4" t="s">
        <v>32</v>
      </c>
      <c r="D6" s="8">
        <v>0.15</v>
      </c>
      <c r="E6" s="8">
        <v>0.15</v>
      </c>
      <c r="F6" s="8">
        <v>0.15</v>
      </c>
      <c r="G6" s="4">
        <v>0.47928236672524893</v>
      </c>
      <c r="H6" s="4">
        <f t="shared" si="1"/>
        <v>8</v>
      </c>
      <c r="I6" s="4"/>
      <c r="J6" s="4"/>
      <c r="K6" s="4"/>
      <c r="L6" s="4"/>
      <c r="M6" s="4"/>
      <c r="N6" s="4"/>
      <c r="O6" s="4"/>
      <c r="P6" s="4"/>
      <c r="Q6" s="4"/>
      <c r="R6" s="4"/>
      <c r="S6" s="4"/>
      <c r="T6" s="4"/>
      <c r="U6" s="4"/>
      <c r="V6" s="4"/>
      <c r="W6" s="4"/>
      <c r="X6" s="4"/>
    </row>
    <row r="7" ht="9.0" customHeight="1">
      <c r="A7" s="5">
        <f t="shared" si="2"/>
        <v>6</v>
      </c>
      <c r="B7" s="4" t="s">
        <v>38</v>
      </c>
      <c r="C7" s="4" t="s">
        <v>39</v>
      </c>
      <c r="D7" s="8">
        <v>0.15</v>
      </c>
      <c r="E7" s="8">
        <v>0.15</v>
      </c>
      <c r="F7" s="8">
        <v>0.15</v>
      </c>
      <c r="G7" s="4">
        <v>0.262</v>
      </c>
      <c r="H7" s="4">
        <f t="shared" si="1"/>
        <v>16</v>
      </c>
      <c r="I7" s="4"/>
      <c r="J7" s="4"/>
      <c r="K7" s="4"/>
      <c r="L7" s="4"/>
      <c r="M7" s="4"/>
      <c r="N7" s="4"/>
      <c r="O7" s="4"/>
      <c r="P7" s="4"/>
      <c r="Q7" s="4"/>
      <c r="R7" s="4"/>
      <c r="S7" s="4"/>
      <c r="T7" s="4"/>
      <c r="U7" s="4"/>
      <c r="V7" s="4"/>
      <c r="W7" s="4"/>
      <c r="X7" s="4"/>
    </row>
    <row r="8" ht="9.0" customHeight="1">
      <c r="A8" s="5">
        <f t="shared" si="2"/>
        <v>7</v>
      </c>
      <c r="B8" s="4" t="s">
        <v>44</v>
      </c>
      <c r="C8" s="4" t="s">
        <v>45</v>
      </c>
      <c r="D8" s="8">
        <v>0.15</v>
      </c>
      <c r="E8" s="8">
        <v>0.15</v>
      </c>
      <c r="F8" s="8">
        <v>0.15</v>
      </c>
      <c r="G8" s="4">
        <v>0.3320000000000001</v>
      </c>
      <c r="H8" s="4">
        <f t="shared" si="1"/>
        <v>13</v>
      </c>
      <c r="I8" s="4"/>
      <c r="J8" s="4"/>
      <c r="K8" s="4"/>
      <c r="L8" s="4"/>
      <c r="M8" s="4"/>
      <c r="N8" s="4"/>
      <c r="O8" s="4"/>
      <c r="P8" s="4"/>
      <c r="Q8" s="4"/>
      <c r="R8" s="4"/>
      <c r="S8" s="4"/>
      <c r="T8" s="4"/>
      <c r="U8" s="4"/>
      <c r="V8" s="4"/>
      <c r="W8" s="4"/>
      <c r="X8" s="4"/>
    </row>
    <row r="9" ht="9.0" customHeight="1">
      <c r="A9" s="5">
        <f t="shared" si="2"/>
        <v>8</v>
      </c>
      <c r="B9" s="4" t="s">
        <v>51</v>
      </c>
      <c r="C9" s="4" t="s">
        <v>52</v>
      </c>
      <c r="D9" s="8">
        <v>0.15</v>
      </c>
      <c r="E9" s="8">
        <v>0.15</v>
      </c>
      <c r="F9" s="8">
        <v>0.15</v>
      </c>
      <c r="G9" s="4">
        <v>0.5010247608268558</v>
      </c>
      <c r="H9" s="4">
        <f t="shared" si="1"/>
        <v>7</v>
      </c>
      <c r="I9" s="4"/>
      <c r="J9" s="4"/>
      <c r="K9" s="4"/>
      <c r="L9" s="4"/>
      <c r="M9" s="4"/>
      <c r="N9" s="4"/>
      <c r="O9" s="4"/>
      <c r="P9" s="4"/>
      <c r="Q9" s="4"/>
      <c r="R9" s="4"/>
      <c r="S9" s="4"/>
      <c r="T9" s="4"/>
      <c r="U9" s="4"/>
      <c r="V9" s="4"/>
      <c r="W9" s="4"/>
      <c r="X9" s="4"/>
    </row>
    <row r="10" ht="9.0" customHeight="1">
      <c r="A10" s="5">
        <f t="shared" si="2"/>
        <v>9</v>
      </c>
      <c r="B10" s="4" t="s">
        <v>58</v>
      </c>
      <c r="C10" s="4" t="s">
        <v>59</v>
      </c>
      <c r="D10" s="8">
        <v>0.15</v>
      </c>
      <c r="E10" s="8">
        <v>0.15</v>
      </c>
      <c r="F10" s="8">
        <v>0.15</v>
      </c>
      <c r="G10" s="4">
        <v>0.41166666666666674</v>
      </c>
      <c r="H10" s="4">
        <f t="shared" si="1"/>
        <v>9</v>
      </c>
      <c r="I10" s="4"/>
      <c r="J10" s="4"/>
      <c r="K10" s="4"/>
      <c r="L10" s="4"/>
      <c r="M10" s="4"/>
      <c r="N10" s="4"/>
      <c r="O10" s="4"/>
      <c r="P10" s="4"/>
      <c r="Q10" s="4"/>
      <c r="R10" s="4"/>
      <c r="S10" s="4"/>
      <c r="T10" s="4"/>
      <c r="U10" s="4"/>
      <c r="V10" s="4"/>
      <c r="W10" s="4"/>
      <c r="X10" s="4"/>
    </row>
    <row r="11" ht="9.0" customHeight="1">
      <c r="A11" s="5">
        <f t="shared" si="2"/>
        <v>10</v>
      </c>
      <c r="B11" s="4" t="s">
        <v>62</v>
      </c>
      <c r="C11" s="4" t="s">
        <v>62</v>
      </c>
      <c r="D11" s="8">
        <v>0.15</v>
      </c>
      <c r="E11" s="8">
        <v>0.15</v>
      </c>
      <c r="F11" s="8">
        <v>0.15</v>
      </c>
      <c r="G11" s="4">
        <v>0.25</v>
      </c>
      <c r="H11" s="4">
        <f t="shared" si="1"/>
        <v>17</v>
      </c>
      <c r="I11" s="4"/>
      <c r="J11" s="4"/>
      <c r="K11" s="4"/>
      <c r="L11" s="4"/>
      <c r="M11" s="4"/>
      <c r="N11" s="4"/>
      <c r="O11" s="4"/>
      <c r="P11" s="4"/>
      <c r="Q11" s="4"/>
      <c r="R11" s="4"/>
      <c r="S11" s="4"/>
      <c r="T11" s="4"/>
      <c r="U11" s="4"/>
      <c r="V11" s="4"/>
      <c r="W11" s="4"/>
      <c r="X11" s="4"/>
    </row>
    <row r="12" ht="9.0" customHeight="1">
      <c r="A12" s="5">
        <f t="shared" si="2"/>
        <v>11</v>
      </c>
      <c r="B12" s="4" t="s">
        <v>67</v>
      </c>
      <c r="C12" s="4" t="s">
        <v>68</v>
      </c>
      <c r="D12" s="8">
        <v>0.15</v>
      </c>
      <c r="E12" s="8">
        <v>0.15</v>
      </c>
      <c r="F12" s="8">
        <v>0.15</v>
      </c>
      <c r="G12" s="4">
        <v>0.23</v>
      </c>
      <c r="H12" s="4">
        <f t="shared" si="1"/>
        <v>18</v>
      </c>
      <c r="I12" s="4"/>
      <c r="J12" s="4"/>
      <c r="K12" s="4"/>
      <c r="L12" s="4"/>
      <c r="M12" s="4"/>
      <c r="N12" s="4"/>
      <c r="O12" s="4"/>
      <c r="P12" s="4"/>
      <c r="Q12" s="4"/>
      <c r="R12" s="4"/>
      <c r="S12" s="4"/>
      <c r="T12" s="4"/>
      <c r="U12" s="4"/>
      <c r="V12" s="4"/>
      <c r="W12" s="4"/>
      <c r="X12" s="4"/>
    </row>
    <row r="13" ht="9.0" customHeight="1">
      <c r="A13" s="5">
        <f t="shared" si="2"/>
        <v>12</v>
      </c>
      <c r="B13" s="4" t="s">
        <v>73</v>
      </c>
      <c r="C13" s="4" t="s">
        <v>73</v>
      </c>
      <c r="D13" s="8">
        <v>0.15</v>
      </c>
      <c r="E13" s="8">
        <v>0.15</v>
      </c>
      <c r="F13" s="8">
        <v>0.15</v>
      </c>
      <c r="G13" s="4">
        <v>0.2</v>
      </c>
      <c r="H13" s="4">
        <f t="shared" si="1"/>
        <v>19</v>
      </c>
      <c r="I13" s="4"/>
      <c r="J13" s="4"/>
      <c r="K13" s="4"/>
      <c r="L13" s="4"/>
      <c r="M13" s="4"/>
      <c r="N13" s="4"/>
      <c r="O13" s="4"/>
      <c r="P13" s="4"/>
      <c r="Q13" s="4"/>
      <c r="R13" s="4"/>
      <c r="S13" s="4"/>
      <c r="T13" s="4"/>
      <c r="U13" s="4"/>
      <c r="V13" s="4"/>
      <c r="W13" s="4"/>
      <c r="X13" s="4"/>
    </row>
    <row r="14" ht="9.0" customHeight="1">
      <c r="A14" s="5">
        <f t="shared" si="2"/>
        <v>13</v>
      </c>
      <c r="B14" s="4" t="s">
        <v>78</v>
      </c>
      <c r="C14" s="4" t="s">
        <v>79</v>
      </c>
      <c r="D14" s="8">
        <v>0.15</v>
      </c>
      <c r="E14" s="8">
        <v>0.15</v>
      </c>
      <c r="F14" s="8">
        <v>0.15</v>
      </c>
      <c r="G14" s="4">
        <v>0.3983333333333333</v>
      </c>
      <c r="H14" s="4">
        <f t="shared" si="1"/>
        <v>10</v>
      </c>
      <c r="I14" s="4"/>
      <c r="J14" s="4"/>
      <c r="K14" s="4"/>
      <c r="L14" s="4"/>
      <c r="M14" s="4"/>
      <c r="N14" s="4"/>
      <c r="O14" s="4"/>
      <c r="P14" s="4"/>
      <c r="Q14" s="4"/>
      <c r="R14" s="4"/>
      <c r="S14" s="4"/>
      <c r="T14" s="4"/>
      <c r="U14" s="4"/>
      <c r="V14" s="4"/>
      <c r="W14" s="4"/>
      <c r="X14" s="4"/>
    </row>
    <row r="15" ht="9.0" customHeight="1">
      <c r="A15" s="5">
        <f t="shared" si="2"/>
        <v>14</v>
      </c>
      <c r="B15" s="4" t="s">
        <v>84</v>
      </c>
      <c r="C15" s="4" t="s">
        <v>85</v>
      </c>
      <c r="D15" s="8">
        <v>0.15</v>
      </c>
      <c r="E15" s="8">
        <v>0.15</v>
      </c>
      <c r="F15" s="8">
        <v>0.15</v>
      </c>
      <c r="G15" s="4">
        <v>0.6849999999999999</v>
      </c>
      <c r="H15" s="4">
        <f t="shared" si="1"/>
        <v>2</v>
      </c>
      <c r="I15" s="4"/>
      <c r="J15" s="4"/>
      <c r="K15" s="4"/>
      <c r="L15" s="4"/>
      <c r="M15" s="4"/>
      <c r="N15" s="4"/>
      <c r="O15" s="4"/>
      <c r="P15" s="4"/>
      <c r="Q15" s="4"/>
      <c r="R15" s="4"/>
      <c r="S15" s="4"/>
      <c r="T15" s="4"/>
      <c r="U15" s="4"/>
      <c r="V15" s="4"/>
      <c r="W15" s="4"/>
      <c r="X15" s="4"/>
    </row>
    <row r="16" ht="9.0" customHeight="1">
      <c r="A16" s="5">
        <f t="shared" si="2"/>
        <v>15</v>
      </c>
      <c r="B16" s="4" t="s">
        <v>90</v>
      </c>
      <c r="C16" s="4" t="s">
        <v>91</v>
      </c>
      <c r="D16" s="8">
        <v>0.15</v>
      </c>
      <c r="E16" s="8">
        <v>0.15</v>
      </c>
      <c r="F16" s="8">
        <v>0.15</v>
      </c>
      <c r="G16" s="4">
        <v>0.5553945812380784</v>
      </c>
      <c r="H16" s="4">
        <f t="shared" si="1"/>
        <v>5</v>
      </c>
      <c r="I16" s="4"/>
      <c r="J16" s="4"/>
      <c r="K16" s="4"/>
      <c r="L16" s="4"/>
      <c r="M16" s="4"/>
      <c r="N16" s="4"/>
      <c r="O16" s="4"/>
      <c r="P16" s="4"/>
      <c r="Q16" s="4"/>
      <c r="R16" s="4"/>
      <c r="S16" s="4"/>
      <c r="T16" s="4"/>
      <c r="U16" s="4"/>
      <c r="V16" s="4"/>
      <c r="W16" s="4"/>
      <c r="X16" s="4"/>
    </row>
    <row r="17" ht="9.0" customHeight="1">
      <c r="A17" s="5">
        <f t="shared" si="2"/>
        <v>16</v>
      </c>
      <c r="B17" s="4" t="s">
        <v>96</v>
      </c>
      <c r="C17" s="4" t="s">
        <v>96</v>
      </c>
      <c r="D17" s="8">
        <v>0.15</v>
      </c>
      <c r="E17" s="8">
        <v>0.15</v>
      </c>
      <c r="F17" s="8">
        <v>0.15</v>
      </c>
      <c r="G17" s="4">
        <v>0.27</v>
      </c>
      <c r="H17" s="4">
        <f t="shared" si="1"/>
        <v>14</v>
      </c>
      <c r="I17" s="4"/>
      <c r="J17" s="4"/>
      <c r="K17" s="4"/>
      <c r="L17" s="4"/>
      <c r="M17" s="4"/>
      <c r="N17" s="4"/>
      <c r="O17" s="4"/>
      <c r="P17" s="4"/>
      <c r="Q17" s="4"/>
      <c r="R17" s="4"/>
      <c r="S17" s="4"/>
      <c r="T17" s="4"/>
      <c r="U17" s="4"/>
      <c r="V17" s="4"/>
      <c r="W17" s="4"/>
      <c r="X17" s="4"/>
    </row>
    <row r="18" ht="9.0" customHeight="1">
      <c r="A18" s="5">
        <f t="shared" si="2"/>
        <v>17</v>
      </c>
      <c r="B18" s="4" t="s">
        <v>101</v>
      </c>
      <c r="C18" s="4" t="s">
        <v>102</v>
      </c>
      <c r="D18" s="8">
        <v>0.15</v>
      </c>
      <c r="E18" s="8">
        <v>0.15</v>
      </c>
      <c r="F18" s="8">
        <v>0.15</v>
      </c>
      <c r="G18" s="4">
        <v>0.0</v>
      </c>
      <c r="H18" s="4">
        <f t="shared" si="1"/>
        <v>100</v>
      </c>
      <c r="I18" s="4"/>
      <c r="J18" s="4"/>
      <c r="K18" s="4"/>
      <c r="L18" s="4"/>
      <c r="M18" s="4"/>
      <c r="N18" s="4"/>
      <c r="O18" s="4"/>
      <c r="P18" s="4"/>
      <c r="Q18" s="4"/>
      <c r="R18" s="4"/>
      <c r="S18" s="4"/>
      <c r="T18" s="4"/>
      <c r="U18" s="4"/>
      <c r="V18" s="4"/>
      <c r="W18" s="4"/>
      <c r="X18" s="4"/>
    </row>
    <row r="19" ht="9.0" customHeight="1">
      <c r="A19" s="5">
        <f t="shared" si="2"/>
        <v>18</v>
      </c>
      <c r="B19" s="4" t="s">
        <v>105</v>
      </c>
      <c r="C19" s="4" t="s">
        <v>106</v>
      </c>
      <c r="D19" s="8">
        <v>0.15</v>
      </c>
      <c r="E19" s="8">
        <v>0.15</v>
      </c>
      <c r="F19" s="8">
        <v>0.15</v>
      </c>
      <c r="G19" s="4">
        <v>0.576123778924761</v>
      </c>
      <c r="H19" s="4">
        <f t="shared" si="1"/>
        <v>4</v>
      </c>
      <c r="I19" s="4"/>
      <c r="J19" s="4"/>
      <c r="K19" s="4"/>
      <c r="L19" s="4"/>
      <c r="M19" s="4"/>
      <c r="N19" s="4"/>
      <c r="O19" s="4"/>
      <c r="P19" s="4"/>
      <c r="Q19" s="4"/>
      <c r="R19" s="4"/>
      <c r="S19" s="4"/>
      <c r="T19" s="4"/>
      <c r="U19" s="4"/>
      <c r="V19" s="4"/>
      <c r="W19" s="4"/>
      <c r="X19" s="4"/>
    </row>
    <row r="20" ht="9.0" customHeight="1">
      <c r="A20" s="5">
        <f t="shared" si="2"/>
        <v>19</v>
      </c>
      <c r="B20" s="4" t="s">
        <v>111</v>
      </c>
      <c r="C20" s="4" t="s">
        <v>112</v>
      </c>
      <c r="D20" s="8">
        <v>0.15</v>
      </c>
      <c r="E20" s="8">
        <v>0.15</v>
      </c>
      <c r="F20" s="8">
        <v>0.15</v>
      </c>
      <c r="G20" s="4">
        <v>0.2655</v>
      </c>
      <c r="H20" s="4">
        <f t="shared" si="1"/>
        <v>15</v>
      </c>
      <c r="I20" s="4"/>
      <c r="J20" s="4"/>
      <c r="K20" s="4"/>
      <c r="L20" s="4"/>
      <c r="M20" s="4"/>
      <c r="N20" s="4"/>
      <c r="O20" s="4"/>
      <c r="P20" s="4"/>
      <c r="Q20" s="4"/>
      <c r="R20" s="4"/>
      <c r="S20" s="4"/>
      <c r="T20" s="4"/>
      <c r="U20" s="4"/>
      <c r="V20" s="4"/>
      <c r="W20" s="4"/>
      <c r="X20" s="4"/>
    </row>
    <row r="21" ht="9.0" customHeight="1">
      <c r="A21" s="5">
        <f t="shared" si="2"/>
        <v>20</v>
      </c>
      <c r="B21" s="4" t="s">
        <v>117</v>
      </c>
      <c r="C21" s="4" t="s">
        <v>117</v>
      </c>
      <c r="D21" s="8">
        <v>0.15</v>
      </c>
      <c r="E21" s="8">
        <v>0.15</v>
      </c>
      <c r="F21" s="8">
        <v>0.15</v>
      </c>
      <c r="G21" s="8">
        <v>0.15</v>
      </c>
      <c r="H21" s="4">
        <f t="shared" si="1"/>
        <v>20</v>
      </c>
      <c r="I21" s="4"/>
      <c r="J21" s="4"/>
      <c r="K21" s="4"/>
      <c r="L21" s="4"/>
      <c r="M21" s="4"/>
      <c r="N21" s="4"/>
      <c r="O21" s="4"/>
      <c r="P21" s="4"/>
      <c r="Q21" s="4"/>
      <c r="R21" s="4"/>
      <c r="S21" s="4"/>
      <c r="T21" s="4"/>
      <c r="U21" s="4"/>
      <c r="V21" s="4"/>
      <c r="W21" s="4"/>
      <c r="X21" s="4"/>
    </row>
    <row r="22" ht="9.0" customHeight="1">
      <c r="A22" s="5">
        <f t="shared" si="2"/>
        <v>21</v>
      </c>
      <c r="B22" s="4" t="s">
        <v>122</v>
      </c>
      <c r="C22" s="4" t="s">
        <v>123</v>
      </c>
      <c r="D22" s="8">
        <v>0.15</v>
      </c>
      <c r="E22" s="8">
        <v>0.15</v>
      </c>
      <c r="F22" s="8">
        <v>0.15</v>
      </c>
      <c r="G22" s="8">
        <v>0.15</v>
      </c>
      <c r="H22" s="4">
        <f t="shared" si="1"/>
        <v>20</v>
      </c>
      <c r="I22" s="4"/>
      <c r="J22" s="4"/>
      <c r="K22" s="4"/>
      <c r="L22" s="4"/>
      <c r="M22" s="4"/>
      <c r="N22" s="4"/>
      <c r="O22" s="4"/>
      <c r="P22" s="4"/>
      <c r="Q22" s="4"/>
      <c r="R22" s="4"/>
      <c r="S22" s="4"/>
      <c r="T22" s="4"/>
      <c r="U22" s="4"/>
      <c r="V22" s="4"/>
      <c r="W22" s="4"/>
      <c r="X22" s="4"/>
    </row>
    <row r="23" ht="9.0" customHeight="1">
      <c r="A23" s="5">
        <f t="shared" si="2"/>
        <v>22</v>
      </c>
      <c r="B23" s="4" t="s">
        <v>125</v>
      </c>
      <c r="C23" s="4" t="s">
        <v>125</v>
      </c>
      <c r="D23" s="8">
        <v>0.15</v>
      </c>
      <c r="E23" s="8">
        <v>0.15</v>
      </c>
      <c r="F23" s="8">
        <v>0.15</v>
      </c>
      <c r="G23" s="8">
        <v>0.15</v>
      </c>
      <c r="H23" s="4">
        <f t="shared" si="1"/>
        <v>20</v>
      </c>
      <c r="I23" s="4"/>
      <c r="J23" s="4"/>
      <c r="K23" s="4"/>
      <c r="L23" s="4"/>
      <c r="M23" s="4"/>
      <c r="N23" s="4"/>
      <c r="O23" s="4"/>
      <c r="P23" s="4"/>
      <c r="Q23" s="4"/>
      <c r="R23" s="4"/>
      <c r="S23" s="4"/>
      <c r="T23" s="4"/>
      <c r="U23" s="4"/>
      <c r="V23" s="4"/>
      <c r="W23" s="4"/>
      <c r="X23" s="4"/>
    </row>
    <row r="24" ht="9.0" customHeight="1">
      <c r="A24" s="5">
        <f t="shared" si="2"/>
        <v>23</v>
      </c>
      <c r="B24" s="4" t="s">
        <v>130</v>
      </c>
      <c r="C24" s="4" t="s">
        <v>131</v>
      </c>
      <c r="D24" s="8">
        <v>0.15</v>
      </c>
      <c r="E24" s="8">
        <v>0.15</v>
      </c>
      <c r="F24" s="8">
        <v>0.15</v>
      </c>
      <c r="G24" s="8">
        <v>0.15</v>
      </c>
      <c r="H24" s="4">
        <f t="shared" si="1"/>
        <v>20</v>
      </c>
      <c r="I24" s="4"/>
      <c r="J24" s="4"/>
      <c r="K24" s="4"/>
      <c r="L24" s="4"/>
      <c r="M24" s="4"/>
      <c r="N24" s="4"/>
      <c r="O24" s="4"/>
      <c r="P24" s="4"/>
      <c r="Q24" s="4"/>
      <c r="R24" s="4"/>
      <c r="S24" s="4"/>
      <c r="T24" s="4"/>
      <c r="U24" s="4"/>
      <c r="V24" s="4"/>
      <c r="W24" s="4"/>
      <c r="X24" s="4"/>
    </row>
    <row r="25" ht="9.0" customHeight="1">
      <c r="A25" s="5">
        <f t="shared" si="2"/>
        <v>24</v>
      </c>
      <c r="B25" s="4" t="s">
        <v>136</v>
      </c>
      <c r="C25" s="4" t="s">
        <v>137</v>
      </c>
      <c r="D25" s="8">
        <v>0.15</v>
      </c>
      <c r="E25" s="8">
        <v>0.15</v>
      </c>
      <c r="F25" s="8">
        <v>0.15</v>
      </c>
      <c r="G25" s="8">
        <v>0.15</v>
      </c>
      <c r="H25" s="4">
        <f t="shared" si="1"/>
        <v>20</v>
      </c>
      <c r="I25" s="4"/>
      <c r="J25" s="4"/>
      <c r="K25" s="4"/>
      <c r="L25" s="4"/>
      <c r="M25" s="4"/>
      <c r="N25" s="4"/>
      <c r="O25" s="4"/>
      <c r="P25" s="4"/>
      <c r="Q25" s="4"/>
      <c r="R25" s="4"/>
      <c r="S25" s="4"/>
      <c r="T25" s="4"/>
      <c r="U25" s="4"/>
      <c r="V25" s="4"/>
      <c r="W25" s="4"/>
      <c r="X25" s="4"/>
    </row>
    <row r="26" ht="9.0" customHeight="1">
      <c r="A26" s="5">
        <f t="shared" si="2"/>
        <v>25</v>
      </c>
      <c r="B26" s="4" t="s">
        <v>139</v>
      </c>
      <c r="C26" s="4" t="s">
        <v>140</v>
      </c>
      <c r="D26" s="8">
        <v>0.15</v>
      </c>
      <c r="E26" s="8">
        <v>0.15</v>
      </c>
      <c r="F26" s="8">
        <v>0.15</v>
      </c>
      <c r="G26" s="8">
        <v>0.15</v>
      </c>
      <c r="H26" s="4">
        <f t="shared" si="1"/>
        <v>20</v>
      </c>
      <c r="I26" s="4"/>
      <c r="J26" s="4"/>
      <c r="K26" s="4"/>
      <c r="L26" s="4"/>
      <c r="M26" s="4"/>
      <c r="N26" s="4"/>
      <c r="O26" s="4"/>
      <c r="P26" s="4"/>
      <c r="Q26" s="4"/>
      <c r="R26" s="4"/>
      <c r="S26" s="4"/>
      <c r="T26" s="4"/>
      <c r="U26" s="4"/>
      <c r="V26" s="4"/>
      <c r="W26" s="4"/>
      <c r="X26" s="4"/>
    </row>
    <row r="27" ht="9.0" customHeight="1">
      <c r="A27" s="5">
        <f t="shared" si="2"/>
        <v>26</v>
      </c>
      <c r="B27" s="4" t="s">
        <v>142</v>
      </c>
      <c r="C27" s="4" t="s">
        <v>142</v>
      </c>
      <c r="D27" s="8">
        <v>0.15</v>
      </c>
      <c r="E27" s="8">
        <v>0.15</v>
      </c>
      <c r="F27" s="8">
        <v>0.15</v>
      </c>
      <c r="G27" s="8">
        <v>0.15</v>
      </c>
      <c r="H27" s="4">
        <f t="shared" si="1"/>
        <v>20</v>
      </c>
      <c r="I27" s="4"/>
      <c r="J27" s="4"/>
      <c r="K27" s="4"/>
      <c r="L27" s="4"/>
      <c r="M27" s="4"/>
      <c r="N27" s="4"/>
      <c r="O27" s="4"/>
      <c r="P27" s="4"/>
      <c r="Q27" s="4"/>
      <c r="R27" s="4"/>
      <c r="S27" s="4"/>
      <c r="T27" s="4"/>
      <c r="U27" s="4"/>
      <c r="V27" s="4"/>
      <c r="W27" s="4"/>
      <c r="X27" s="4"/>
    </row>
    <row r="28" ht="9.0" customHeight="1">
      <c r="A28" s="5">
        <f t="shared" si="2"/>
        <v>27</v>
      </c>
      <c r="B28" s="4" t="s">
        <v>144</v>
      </c>
      <c r="C28" s="4" t="s">
        <v>145</v>
      </c>
      <c r="D28" s="8">
        <v>0.15</v>
      </c>
      <c r="E28" s="8">
        <v>0.15</v>
      </c>
      <c r="F28" s="8">
        <v>0.15</v>
      </c>
      <c r="G28" s="8">
        <v>0.15</v>
      </c>
      <c r="H28" s="4">
        <f t="shared" si="1"/>
        <v>20</v>
      </c>
      <c r="I28" s="4"/>
      <c r="J28" s="4"/>
      <c r="K28" s="4"/>
      <c r="L28" s="4"/>
      <c r="M28" s="4"/>
      <c r="N28" s="4"/>
      <c r="O28" s="4"/>
      <c r="P28" s="4"/>
      <c r="Q28" s="4"/>
      <c r="R28" s="4"/>
      <c r="S28" s="4"/>
      <c r="T28" s="4"/>
      <c r="U28" s="4"/>
      <c r="V28" s="4"/>
      <c r="W28" s="4"/>
      <c r="X28" s="4"/>
    </row>
    <row r="29" ht="9.0" customHeight="1">
      <c r="A29" s="5">
        <f t="shared" si="2"/>
        <v>28</v>
      </c>
      <c r="B29" s="4" t="s">
        <v>150</v>
      </c>
      <c r="C29" s="4" t="s">
        <v>151</v>
      </c>
      <c r="D29" s="8">
        <v>0.15</v>
      </c>
      <c r="E29" s="8">
        <v>0.15</v>
      </c>
      <c r="F29" s="8">
        <v>0.15</v>
      </c>
      <c r="G29" s="8">
        <v>0.15</v>
      </c>
      <c r="H29" s="4">
        <f t="shared" si="1"/>
        <v>20</v>
      </c>
      <c r="I29" s="4"/>
      <c r="J29" s="4"/>
      <c r="K29" s="4"/>
      <c r="L29" s="4"/>
      <c r="M29" s="4"/>
      <c r="N29" s="4"/>
      <c r="O29" s="4"/>
      <c r="P29" s="4"/>
      <c r="Q29" s="4"/>
      <c r="R29" s="4"/>
      <c r="S29" s="4"/>
      <c r="T29" s="4"/>
      <c r="U29" s="4"/>
      <c r="V29" s="4"/>
      <c r="W29" s="4"/>
      <c r="X29" s="4"/>
    </row>
    <row r="30" ht="9.0" customHeight="1">
      <c r="A30" s="5">
        <f t="shared" si="2"/>
        <v>29</v>
      </c>
      <c r="B30" s="4" t="s">
        <v>156</v>
      </c>
      <c r="C30" s="4" t="s">
        <v>157</v>
      </c>
      <c r="D30" s="8">
        <v>0.15</v>
      </c>
      <c r="E30" s="8">
        <v>0.15</v>
      </c>
      <c r="F30" s="8">
        <v>0.15</v>
      </c>
      <c r="G30" s="8">
        <v>0.15</v>
      </c>
      <c r="H30" s="4">
        <f t="shared" si="1"/>
        <v>20</v>
      </c>
      <c r="I30" s="4"/>
      <c r="J30" s="4"/>
      <c r="K30" s="4"/>
      <c r="L30" s="4"/>
      <c r="M30" s="4"/>
      <c r="N30" s="4"/>
      <c r="O30" s="4"/>
      <c r="P30" s="4"/>
      <c r="Q30" s="4"/>
      <c r="R30" s="4"/>
      <c r="S30" s="4"/>
      <c r="T30" s="4"/>
      <c r="U30" s="4"/>
      <c r="V30" s="4"/>
      <c r="W30" s="4"/>
      <c r="X30" s="4"/>
    </row>
    <row r="31" ht="9.0" customHeight="1">
      <c r="A31" s="5">
        <f t="shared" si="2"/>
        <v>30</v>
      </c>
      <c r="B31" s="4" t="s">
        <v>162</v>
      </c>
      <c r="C31" s="4" t="s">
        <v>162</v>
      </c>
      <c r="D31" s="8">
        <v>0.15</v>
      </c>
      <c r="E31" s="8">
        <v>0.15</v>
      </c>
      <c r="F31" s="8">
        <v>0.15</v>
      </c>
      <c r="G31" s="8">
        <v>0.15</v>
      </c>
      <c r="H31" s="4">
        <f t="shared" si="1"/>
        <v>20</v>
      </c>
      <c r="I31" s="4"/>
      <c r="J31" s="4"/>
      <c r="K31" s="4"/>
      <c r="L31" s="4"/>
      <c r="M31" s="4"/>
      <c r="N31" s="4"/>
      <c r="O31" s="4"/>
      <c r="P31" s="4"/>
      <c r="Q31" s="4"/>
      <c r="R31" s="4"/>
      <c r="S31" s="4"/>
      <c r="T31" s="4"/>
      <c r="U31" s="4"/>
      <c r="V31" s="4"/>
      <c r="W31" s="4"/>
      <c r="X31" s="4"/>
    </row>
    <row r="32" ht="9.0" customHeight="1">
      <c r="A32" s="5">
        <f t="shared" si="2"/>
        <v>31</v>
      </c>
      <c r="B32" s="4" t="s">
        <v>167</v>
      </c>
      <c r="C32" s="4" t="s">
        <v>167</v>
      </c>
      <c r="D32" s="8">
        <v>0.15</v>
      </c>
      <c r="E32" s="8">
        <v>0.15</v>
      </c>
      <c r="F32" s="8">
        <v>0.15</v>
      </c>
      <c r="G32" s="8">
        <v>0.15</v>
      </c>
      <c r="H32" s="4">
        <f t="shared" si="1"/>
        <v>20</v>
      </c>
      <c r="I32" s="4"/>
      <c r="J32" s="4"/>
      <c r="K32" s="4"/>
      <c r="L32" s="4"/>
      <c r="M32" s="4"/>
      <c r="N32" s="4"/>
      <c r="O32" s="4"/>
      <c r="P32" s="4"/>
      <c r="Q32" s="4"/>
      <c r="R32" s="4"/>
      <c r="S32" s="4"/>
      <c r="T32" s="4"/>
      <c r="U32" s="4"/>
      <c r="V32" s="4"/>
      <c r="W32" s="4"/>
      <c r="X32" s="4"/>
    </row>
    <row r="33" ht="9.0" customHeight="1">
      <c r="A33" s="5">
        <f t="shared" si="2"/>
        <v>32</v>
      </c>
      <c r="B33" s="4" t="s">
        <v>172</v>
      </c>
      <c r="C33" s="4" t="s">
        <v>172</v>
      </c>
      <c r="D33" s="8">
        <v>0.15</v>
      </c>
      <c r="E33" s="8">
        <v>0.15</v>
      </c>
      <c r="F33" s="8">
        <v>0.15</v>
      </c>
      <c r="G33" s="8">
        <v>0.15</v>
      </c>
      <c r="H33" s="4">
        <f t="shared" si="1"/>
        <v>20</v>
      </c>
      <c r="I33" s="4"/>
      <c r="J33" s="4"/>
      <c r="K33" s="4"/>
      <c r="L33" s="4"/>
      <c r="M33" s="4"/>
      <c r="N33" s="4"/>
      <c r="O33" s="4"/>
      <c r="P33" s="4"/>
      <c r="Q33" s="4"/>
      <c r="R33" s="4"/>
      <c r="S33" s="4"/>
      <c r="T33" s="4"/>
      <c r="U33" s="4"/>
      <c r="V33" s="4"/>
      <c r="W33" s="4"/>
      <c r="X33" s="4"/>
    </row>
    <row r="34" ht="9.0" customHeight="1">
      <c r="A34" s="5">
        <f t="shared" si="2"/>
        <v>33</v>
      </c>
      <c r="B34" s="4" t="s">
        <v>177</v>
      </c>
      <c r="C34" s="4" t="s">
        <v>177</v>
      </c>
      <c r="D34" s="8">
        <v>0.15</v>
      </c>
      <c r="E34" s="8">
        <v>0.15</v>
      </c>
      <c r="F34" s="8">
        <v>0.15</v>
      </c>
      <c r="G34" s="8">
        <v>0.15</v>
      </c>
      <c r="H34" s="4">
        <f t="shared" si="1"/>
        <v>20</v>
      </c>
      <c r="I34" s="4"/>
      <c r="J34" s="4"/>
      <c r="K34" s="4"/>
      <c r="L34" s="4"/>
      <c r="M34" s="4"/>
      <c r="N34" s="4"/>
      <c r="O34" s="4"/>
      <c r="P34" s="4"/>
      <c r="Q34" s="4"/>
      <c r="R34" s="4"/>
      <c r="S34" s="4"/>
      <c r="T34" s="4"/>
      <c r="U34" s="4"/>
      <c r="V34" s="4"/>
      <c r="W34" s="4"/>
      <c r="X34" s="4"/>
    </row>
    <row r="35" ht="9.0" customHeight="1">
      <c r="A35" s="5">
        <f t="shared" si="2"/>
        <v>34</v>
      </c>
      <c r="B35" s="4" t="s">
        <v>182</v>
      </c>
      <c r="C35" s="4" t="s">
        <v>183</v>
      </c>
      <c r="D35" s="8">
        <v>0.15</v>
      </c>
      <c r="E35" s="8">
        <v>0.15</v>
      </c>
      <c r="F35" s="8">
        <v>0.15</v>
      </c>
      <c r="G35" s="8">
        <v>0.15</v>
      </c>
      <c r="H35" s="4">
        <f t="shared" si="1"/>
        <v>20</v>
      </c>
      <c r="I35" s="4"/>
      <c r="J35" s="4"/>
      <c r="K35" s="4"/>
      <c r="L35" s="4"/>
      <c r="M35" s="4"/>
      <c r="N35" s="4"/>
      <c r="O35" s="4"/>
      <c r="P35" s="4"/>
      <c r="Q35" s="4"/>
      <c r="R35" s="4"/>
      <c r="S35" s="4"/>
      <c r="T35" s="4"/>
      <c r="U35" s="4"/>
      <c r="V35" s="4"/>
      <c r="W35" s="4"/>
      <c r="X35" s="4"/>
    </row>
    <row r="36" ht="9.0" customHeight="1">
      <c r="A36" s="5">
        <f t="shared" si="2"/>
        <v>35</v>
      </c>
      <c r="B36" s="4" t="s">
        <v>188</v>
      </c>
      <c r="C36" s="4" t="s">
        <v>188</v>
      </c>
      <c r="D36" s="8">
        <v>0.15</v>
      </c>
      <c r="E36" s="8">
        <v>0.15</v>
      </c>
      <c r="F36" s="8">
        <v>0.15</v>
      </c>
      <c r="G36" s="8">
        <v>0.15</v>
      </c>
      <c r="H36" s="4">
        <f t="shared" si="1"/>
        <v>20</v>
      </c>
      <c r="I36" s="4"/>
      <c r="J36" s="4"/>
      <c r="K36" s="4"/>
      <c r="L36" s="4"/>
      <c r="M36" s="4"/>
      <c r="N36" s="4"/>
      <c r="O36" s="4"/>
      <c r="P36" s="4"/>
      <c r="Q36" s="4"/>
      <c r="R36" s="4"/>
      <c r="S36" s="4"/>
      <c r="T36" s="4"/>
      <c r="U36" s="4"/>
      <c r="V36" s="4"/>
      <c r="W36" s="4"/>
      <c r="X36" s="4"/>
    </row>
    <row r="37" ht="9.0" customHeight="1">
      <c r="A37" s="5">
        <f t="shared" si="2"/>
        <v>36</v>
      </c>
      <c r="B37" s="4" t="s">
        <v>190</v>
      </c>
      <c r="C37" s="4" t="s">
        <v>191</v>
      </c>
      <c r="D37" s="8">
        <v>0.15</v>
      </c>
      <c r="E37" s="8">
        <v>0.15</v>
      </c>
      <c r="F37" s="8">
        <v>0.15</v>
      </c>
      <c r="G37" s="8">
        <v>0.15</v>
      </c>
      <c r="H37" s="4">
        <f t="shared" si="1"/>
        <v>20</v>
      </c>
      <c r="I37" s="4"/>
      <c r="J37" s="4"/>
      <c r="K37" s="4"/>
      <c r="L37" s="4"/>
      <c r="M37" s="4"/>
      <c r="N37" s="4"/>
      <c r="O37" s="4"/>
      <c r="P37" s="4"/>
      <c r="Q37" s="4"/>
      <c r="R37" s="4"/>
      <c r="S37" s="4"/>
      <c r="T37" s="4"/>
      <c r="U37" s="4"/>
      <c r="V37" s="4"/>
      <c r="W37" s="4"/>
      <c r="X37" s="4"/>
    </row>
    <row r="38" ht="9.0" customHeight="1">
      <c r="A38" s="5">
        <f t="shared" si="2"/>
        <v>37</v>
      </c>
      <c r="B38" s="4" t="s">
        <v>193</v>
      </c>
      <c r="C38" s="4" t="s">
        <v>193</v>
      </c>
      <c r="D38" s="8">
        <v>0.15</v>
      </c>
      <c r="E38" s="8">
        <v>0.15</v>
      </c>
      <c r="F38" s="8">
        <v>0.15</v>
      </c>
      <c r="G38" s="8">
        <v>0.15</v>
      </c>
      <c r="H38" s="4">
        <f t="shared" si="1"/>
        <v>20</v>
      </c>
      <c r="I38" s="4"/>
      <c r="J38" s="4"/>
      <c r="K38" s="4"/>
      <c r="L38" s="4"/>
      <c r="M38" s="4"/>
      <c r="N38" s="4"/>
      <c r="O38" s="4"/>
      <c r="P38" s="4"/>
      <c r="Q38" s="4"/>
      <c r="R38" s="4"/>
      <c r="S38" s="4"/>
      <c r="T38" s="4"/>
      <c r="U38" s="4"/>
      <c r="V38" s="4"/>
      <c r="W38" s="4"/>
      <c r="X38" s="4"/>
    </row>
    <row r="39" ht="9.0" customHeight="1">
      <c r="A39" s="5">
        <f t="shared" si="2"/>
        <v>38</v>
      </c>
      <c r="B39" s="4" t="s">
        <v>198</v>
      </c>
      <c r="C39" s="4" t="s">
        <v>198</v>
      </c>
      <c r="D39" s="8">
        <v>0.15</v>
      </c>
      <c r="E39" s="8">
        <v>0.15</v>
      </c>
      <c r="F39" s="8">
        <v>0.15</v>
      </c>
      <c r="G39" s="8">
        <v>0.15</v>
      </c>
      <c r="H39" s="4">
        <f t="shared" si="1"/>
        <v>20</v>
      </c>
      <c r="I39" s="4"/>
      <c r="J39" s="4"/>
      <c r="K39" s="4"/>
      <c r="L39" s="4"/>
      <c r="M39" s="4"/>
      <c r="N39" s="4"/>
      <c r="O39" s="4"/>
      <c r="P39" s="4"/>
      <c r="Q39" s="4"/>
      <c r="R39" s="4"/>
      <c r="S39" s="4"/>
      <c r="T39" s="4"/>
      <c r="U39" s="4"/>
      <c r="V39" s="4"/>
      <c r="W39" s="4"/>
      <c r="X39" s="4"/>
    </row>
    <row r="40" ht="9.0" customHeight="1">
      <c r="A40" s="5">
        <f t="shared" si="2"/>
        <v>39</v>
      </c>
      <c r="B40" s="4" t="s">
        <v>203</v>
      </c>
      <c r="C40" s="4" t="s">
        <v>203</v>
      </c>
      <c r="D40" s="8">
        <v>0.15</v>
      </c>
      <c r="E40" s="8">
        <v>0.15</v>
      </c>
      <c r="F40" s="8">
        <v>0.15</v>
      </c>
      <c r="G40" s="8">
        <v>0.15</v>
      </c>
      <c r="H40" s="4">
        <f t="shared" si="1"/>
        <v>20</v>
      </c>
      <c r="I40" s="4"/>
      <c r="J40" s="4"/>
      <c r="K40" s="4"/>
      <c r="L40" s="4"/>
      <c r="M40" s="4"/>
      <c r="N40" s="4"/>
      <c r="O40" s="4"/>
      <c r="P40" s="4"/>
      <c r="Q40" s="4"/>
      <c r="R40" s="4"/>
      <c r="S40" s="4"/>
      <c r="T40" s="4"/>
      <c r="U40" s="4"/>
      <c r="V40" s="4"/>
      <c r="W40" s="4"/>
      <c r="X40" s="4"/>
    </row>
    <row r="41" ht="9.0" customHeight="1">
      <c r="A41" s="5">
        <f t="shared" si="2"/>
        <v>40</v>
      </c>
      <c r="B41" s="4" t="s">
        <v>208</v>
      </c>
      <c r="C41" s="4" t="s">
        <v>208</v>
      </c>
      <c r="D41" s="8">
        <v>0.15</v>
      </c>
      <c r="E41" s="8">
        <v>0.15</v>
      </c>
      <c r="F41" s="8">
        <v>0.15</v>
      </c>
      <c r="G41" s="8">
        <v>0.15</v>
      </c>
      <c r="H41" s="4">
        <f t="shared" si="1"/>
        <v>20</v>
      </c>
      <c r="I41" s="4"/>
      <c r="J41" s="4"/>
      <c r="K41" s="4"/>
      <c r="L41" s="4"/>
      <c r="M41" s="4"/>
      <c r="N41" s="4"/>
      <c r="O41" s="4"/>
      <c r="P41" s="4"/>
      <c r="Q41" s="4"/>
      <c r="R41" s="4"/>
      <c r="S41" s="4"/>
      <c r="T41" s="4"/>
      <c r="U41" s="4"/>
      <c r="V41" s="4"/>
      <c r="W41" s="4"/>
      <c r="X41" s="4"/>
    </row>
    <row r="42" ht="9.0" customHeight="1">
      <c r="A42" s="5">
        <f t="shared" si="2"/>
        <v>41</v>
      </c>
      <c r="B42" s="4" t="s">
        <v>210</v>
      </c>
      <c r="C42" s="4" t="s">
        <v>210</v>
      </c>
      <c r="D42" s="8">
        <v>0.15</v>
      </c>
      <c r="E42" s="8">
        <v>0.15</v>
      </c>
      <c r="F42" s="8">
        <v>0.15</v>
      </c>
      <c r="G42" s="8">
        <v>0.15</v>
      </c>
      <c r="H42" s="4">
        <f t="shared" si="1"/>
        <v>20</v>
      </c>
      <c r="I42" s="4"/>
      <c r="J42" s="4"/>
      <c r="K42" s="4"/>
      <c r="L42" s="4"/>
      <c r="M42" s="4"/>
      <c r="N42" s="4"/>
      <c r="O42" s="4"/>
      <c r="P42" s="4"/>
      <c r="Q42" s="4"/>
      <c r="R42" s="4"/>
      <c r="S42" s="4"/>
      <c r="T42" s="4"/>
      <c r="U42" s="4"/>
      <c r="V42" s="4"/>
      <c r="W42" s="4"/>
      <c r="X42" s="4"/>
    </row>
    <row r="43" ht="9.0" customHeight="1">
      <c r="A43" s="5">
        <f t="shared" si="2"/>
        <v>42</v>
      </c>
      <c r="B43" s="4" t="s">
        <v>215</v>
      </c>
      <c r="C43" s="4" t="s">
        <v>215</v>
      </c>
      <c r="D43" s="8">
        <v>0.15</v>
      </c>
      <c r="E43" s="8">
        <v>0.15</v>
      </c>
      <c r="F43" s="8">
        <v>0.15</v>
      </c>
      <c r="G43" s="8">
        <v>0.15</v>
      </c>
      <c r="H43" s="4">
        <f t="shared" si="1"/>
        <v>20</v>
      </c>
      <c r="I43" s="4"/>
      <c r="J43" s="4"/>
      <c r="K43" s="4"/>
      <c r="L43" s="4"/>
      <c r="M43" s="4"/>
      <c r="N43" s="4"/>
      <c r="O43" s="4"/>
      <c r="P43" s="4"/>
      <c r="Q43" s="4"/>
      <c r="R43" s="4"/>
      <c r="S43" s="4"/>
      <c r="T43" s="4"/>
      <c r="U43" s="4"/>
      <c r="V43" s="4"/>
      <c r="W43" s="4"/>
      <c r="X43" s="4"/>
    </row>
    <row r="44" ht="9.0" customHeight="1">
      <c r="A44" s="5">
        <f t="shared" si="2"/>
        <v>43</v>
      </c>
      <c r="B44" s="4" t="s">
        <v>217</v>
      </c>
      <c r="C44" s="4" t="s">
        <v>218</v>
      </c>
      <c r="D44" s="8">
        <v>0.15</v>
      </c>
      <c r="E44" s="8">
        <v>0.15</v>
      </c>
      <c r="F44" s="8">
        <v>0.15</v>
      </c>
      <c r="G44" s="8">
        <v>0.15</v>
      </c>
      <c r="H44" s="4">
        <f t="shared" si="1"/>
        <v>20</v>
      </c>
      <c r="I44" s="4"/>
      <c r="J44" s="4"/>
      <c r="K44" s="4"/>
      <c r="L44" s="4"/>
      <c r="M44" s="4"/>
      <c r="N44" s="4"/>
      <c r="O44" s="4"/>
      <c r="P44" s="4"/>
      <c r="Q44" s="4"/>
      <c r="R44" s="4"/>
      <c r="S44" s="4"/>
      <c r="T44" s="4"/>
      <c r="U44" s="4"/>
      <c r="V44" s="4"/>
      <c r="W44" s="4"/>
      <c r="X44" s="4"/>
    </row>
    <row r="45" ht="9.0" customHeight="1">
      <c r="A45" s="5">
        <f t="shared" si="2"/>
        <v>44</v>
      </c>
      <c r="B45" s="4" t="s">
        <v>220</v>
      </c>
      <c r="C45" s="4" t="s">
        <v>220</v>
      </c>
      <c r="D45" s="8">
        <v>0.15</v>
      </c>
      <c r="E45" s="8">
        <v>0.15</v>
      </c>
      <c r="F45" s="8">
        <v>0.15</v>
      </c>
      <c r="G45" s="8">
        <v>0.15</v>
      </c>
      <c r="H45" s="4">
        <f t="shared" si="1"/>
        <v>20</v>
      </c>
      <c r="I45" s="4"/>
      <c r="J45" s="4"/>
      <c r="K45" s="4"/>
      <c r="L45" s="4"/>
      <c r="M45" s="4"/>
      <c r="N45" s="4"/>
      <c r="O45" s="4"/>
      <c r="P45" s="4"/>
      <c r="Q45" s="4"/>
      <c r="R45" s="4"/>
      <c r="S45" s="4"/>
      <c r="T45" s="4"/>
      <c r="U45" s="4"/>
      <c r="V45" s="4"/>
      <c r="W45" s="4"/>
      <c r="X45" s="4"/>
    </row>
    <row r="46" ht="9.0" customHeight="1">
      <c r="A46" s="5">
        <f t="shared" si="2"/>
        <v>45</v>
      </c>
      <c r="B46" s="4" t="s">
        <v>225</v>
      </c>
      <c r="C46" s="4" t="s">
        <v>226</v>
      </c>
      <c r="D46" s="8">
        <v>0.15</v>
      </c>
      <c r="E46" s="8">
        <v>0.15</v>
      </c>
      <c r="F46" s="8">
        <v>0.15</v>
      </c>
      <c r="G46" s="8">
        <v>0.15</v>
      </c>
      <c r="H46" s="4">
        <f t="shared" si="1"/>
        <v>20</v>
      </c>
      <c r="I46" s="4"/>
      <c r="J46" s="4"/>
      <c r="K46" s="4"/>
      <c r="L46" s="4"/>
      <c r="M46" s="4"/>
      <c r="N46" s="4"/>
      <c r="O46" s="4"/>
      <c r="P46" s="4"/>
      <c r="Q46" s="4"/>
      <c r="R46" s="4"/>
      <c r="S46" s="4"/>
      <c r="T46" s="4"/>
      <c r="U46" s="4"/>
      <c r="V46" s="4"/>
      <c r="W46" s="4"/>
      <c r="X46" s="4"/>
    </row>
    <row r="47" ht="9.0" customHeight="1">
      <c r="A47" s="5">
        <f t="shared" si="2"/>
        <v>46</v>
      </c>
      <c r="B47" s="4" t="s">
        <v>231</v>
      </c>
      <c r="C47" s="4" t="s">
        <v>231</v>
      </c>
      <c r="D47" s="8">
        <v>0.15</v>
      </c>
      <c r="E47" s="8">
        <v>0.15</v>
      </c>
      <c r="F47" s="8">
        <v>0.15</v>
      </c>
      <c r="G47" s="8">
        <v>0.15</v>
      </c>
      <c r="H47" s="4">
        <f t="shared" si="1"/>
        <v>20</v>
      </c>
      <c r="I47" s="4"/>
      <c r="J47" s="4"/>
      <c r="K47" s="4"/>
      <c r="L47" s="4"/>
      <c r="M47" s="4"/>
      <c r="N47" s="4"/>
      <c r="O47" s="4"/>
      <c r="P47" s="4"/>
      <c r="Q47" s="4"/>
      <c r="R47" s="4"/>
      <c r="S47" s="4"/>
      <c r="T47" s="4"/>
      <c r="U47" s="4"/>
      <c r="V47" s="4"/>
      <c r="W47" s="4"/>
      <c r="X47" s="4"/>
    </row>
    <row r="48" ht="9.0" customHeight="1">
      <c r="A48" s="5">
        <f t="shared" si="2"/>
        <v>47</v>
      </c>
      <c r="B48" s="4" t="s">
        <v>236</v>
      </c>
      <c r="C48" s="4" t="s">
        <v>237</v>
      </c>
      <c r="D48" s="8">
        <v>0.15</v>
      </c>
      <c r="E48" s="8">
        <v>0.15</v>
      </c>
      <c r="F48" s="8">
        <v>0.15</v>
      </c>
      <c r="G48" s="8">
        <v>0.15</v>
      </c>
      <c r="H48" s="4">
        <f t="shared" si="1"/>
        <v>20</v>
      </c>
      <c r="I48" s="4"/>
      <c r="J48" s="4"/>
      <c r="K48" s="4"/>
      <c r="L48" s="4"/>
      <c r="M48" s="4"/>
      <c r="N48" s="4"/>
      <c r="O48" s="4"/>
      <c r="P48" s="4"/>
      <c r="Q48" s="4"/>
      <c r="R48" s="4"/>
      <c r="S48" s="4"/>
      <c r="T48" s="4"/>
      <c r="U48" s="4"/>
      <c r="V48" s="4"/>
      <c r="W48" s="4"/>
      <c r="X48" s="4"/>
    </row>
    <row r="49" ht="9.0" customHeight="1">
      <c r="A49" s="5">
        <f t="shared" si="2"/>
        <v>48</v>
      </c>
      <c r="B49" s="4" t="s">
        <v>242</v>
      </c>
      <c r="C49" s="4" t="s">
        <v>243</v>
      </c>
      <c r="D49" s="8">
        <v>0.15</v>
      </c>
      <c r="E49" s="8">
        <v>0.15</v>
      </c>
      <c r="F49" s="8">
        <v>0.15</v>
      </c>
      <c r="G49" s="8">
        <v>0.15</v>
      </c>
      <c r="H49" s="4">
        <f t="shared" si="1"/>
        <v>20</v>
      </c>
      <c r="I49" s="4"/>
      <c r="J49" s="4"/>
      <c r="K49" s="4"/>
      <c r="L49" s="4"/>
      <c r="M49" s="4"/>
      <c r="N49" s="4"/>
      <c r="O49" s="4"/>
      <c r="P49" s="4"/>
      <c r="Q49" s="4"/>
      <c r="R49" s="4"/>
      <c r="S49" s="4"/>
      <c r="T49" s="4"/>
      <c r="U49" s="4"/>
      <c r="V49" s="4"/>
      <c r="W49" s="4"/>
      <c r="X49" s="4"/>
    </row>
    <row r="50" ht="9.0" customHeight="1">
      <c r="A50" s="5">
        <f t="shared" si="2"/>
        <v>49</v>
      </c>
      <c r="B50" s="4" t="s">
        <v>248</v>
      </c>
      <c r="C50" s="4" t="s">
        <v>249</v>
      </c>
      <c r="D50" s="8">
        <v>0.15</v>
      </c>
      <c r="E50" s="8">
        <v>0.15</v>
      </c>
      <c r="F50" s="8">
        <v>0.15</v>
      </c>
      <c r="G50" s="8">
        <v>0.15</v>
      </c>
      <c r="H50" s="4">
        <f t="shared" si="1"/>
        <v>20</v>
      </c>
      <c r="I50" s="4"/>
      <c r="J50" s="4"/>
      <c r="K50" s="4"/>
      <c r="L50" s="4"/>
      <c r="M50" s="4"/>
      <c r="N50" s="4"/>
      <c r="O50" s="4"/>
      <c r="P50" s="4"/>
      <c r="Q50" s="4"/>
      <c r="R50" s="4"/>
      <c r="S50" s="4"/>
      <c r="T50" s="4"/>
      <c r="U50" s="4"/>
      <c r="V50" s="4"/>
      <c r="W50" s="4"/>
      <c r="X50" s="4"/>
    </row>
    <row r="51" ht="9.0" customHeight="1">
      <c r="A51" s="5">
        <f t="shared" si="2"/>
        <v>50</v>
      </c>
      <c r="B51" s="4" t="s">
        <v>254</v>
      </c>
      <c r="C51" s="4" t="s">
        <v>255</v>
      </c>
      <c r="D51" s="8">
        <v>0.15</v>
      </c>
      <c r="E51" s="8">
        <v>0.15</v>
      </c>
      <c r="F51" s="8">
        <v>0.15</v>
      </c>
      <c r="G51" s="8">
        <v>0.15</v>
      </c>
      <c r="H51" s="4">
        <f t="shared" si="1"/>
        <v>20</v>
      </c>
      <c r="I51" s="4"/>
      <c r="J51" s="4"/>
      <c r="K51" s="4"/>
      <c r="L51" s="4"/>
      <c r="M51" s="4"/>
      <c r="N51" s="4"/>
      <c r="O51" s="4"/>
      <c r="P51" s="4"/>
      <c r="Q51" s="4"/>
      <c r="R51" s="4"/>
      <c r="S51" s="4"/>
      <c r="T51" s="4"/>
      <c r="U51" s="4"/>
      <c r="V51" s="4"/>
      <c r="W51" s="4"/>
      <c r="X51" s="4"/>
    </row>
    <row r="52" ht="9.0" customHeight="1">
      <c r="A52" s="5">
        <f t="shared" si="2"/>
        <v>51</v>
      </c>
      <c r="B52" s="4" t="s">
        <v>260</v>
      </c>
      <c r="C52" s="4" t="s">
        <v>260</v>
      </c>
      <c r="D52" s="8">
        <v>0.15</v>
      </c>
      <c r="E52" s="8">
        <v>0.15</v>
      </c>
      <c r="F52" s="8">
        <v>0.15</v>
      </c>
      <c r="G52" s="8">
        <v>0.15</v>
      </c>
      <c r="H52" s="4">
        <f t="shared" si="1"/>
        <v>20</v>
      </c>
      <c r="I52" s="4"/>
      <c r="J52" s="4"/>
      <c r="K52" s="4"/>
      <c r="L52" s="4"/>
      <c r="M52" s="4"/>
      <c r="N52" s="4"/>
      <c r="O52" s="4"/>
      <c r="P52" s="4"/>
      <c r="Q52" s="4"/>
      <c r="R52" s="4"/>
      <c r="S52" s="4"/>
      <c r="T52" s="4"/>
      <c r="U52" s="4"/>
      <c r="V52" s="4"/>
      <c r="W52" s="4"/>
      <c r="X52" s="4"/>
    </row>
    <row r="53" ht="9.0" customHeight="1">
      <c r="A53" s="5">
        <f t="shared" si="2"/>
        <v>52</v>
      </c>
      <c r="B53" s="4" t="s">
        <v>265</v>
      </c>
      <c r="C53" s="4" t="s">
        <v>266</v>
      </c>
      <c r="D53" s="8">
        <v>0.15</v>
      </c>
      <c r="E53" s="8">
        <v>0.15</v>
      </c>
      <c r="F53" s="8">
        <v>0.15</v>
      </c>
      <c r="G53" s="8">
        <v>0.15</v>
      </c>
      <c r="H53" s="4">
        <f t="shared" si="1"/>
        <v>20</v>
      </c>
      <c r="I53" s="4"/>
      <c r="J53" s="4"/>
      <c r="K53" s="4"/>
      <c r="L53" s="4"/>
      <c r="M53" s="4"/>
      <c r="N53" s="4"/>
      <c r="O53" s="4"/>
      <c r="P53" s="4"/>
      <c r="Q53" s="4"/>
      <c r="R53" s="4"/>
      <c r="S53" s="4"/>
      <c r="T53" s="4"/>
      <c r="U53" s="4"/>
      <c r="V53" s="4"/>
      <c r="W53" s="4"/>
      <c r="X53" s="4"/>
    </row>
    <row r="54" ht="9.0" customHeight="1">
      <c r="A54" s="5">
        <f t="shared" si="2"/>
        <v>53</v>
      </c>
      <c r="B54" s="4" t="s">
        <v>271</v>
      </c>
      <c r="C54" s="4" t="s">
        <v>272</v>
      </c>
      <c r="D54" s="8">
        <v>0.15</v>
      </c>
      <c r="E54" s="8">
        <v>0.15</v>
      </c>
      <c r="F54" s="8">
        <v>0.15</v>
      </c>
      <c r="G54" s="8">
        <v>0.15</v>
      </c>
      <c r="H54" s="4">
        <f t="shared" si="1"/>
        <v>20</v>
      </c>
      <c r="I54" s="4"/>
      <c r="J54" s="4"/>
      <c r="K54" s="4"/>
      <c r="L54" s="4"/>
      <c r="M54" s="4"/>
      <c r="N54" s="4"/>
      <c r="O54" s="4"/>
      <c r="P54" s="4"/>
      <c r="Q54" s="4"/>
      <c r="R54" s="4"/>
      <c r="S54" s="4"/>
      <c r="T54" s="4"/>
      <c r="U54" s="4"/>
      <c r="V54" s="4"/>
      <c r="W54" s="4"/>
      <c r="X54" s="4"/>
    </row>
    <row r="55" ht="9.0" customHeight="1">
      <c r="A55" s="5">
        <f t="shared" si="2"/>
        <v>54</v>
      </c>
      <c r="B55" s="4" t="s">
        <v>277</v>
      </c>
      <c r="C55" s="4" t="s">
        <v>278</v>
      </c>
      <c r="D55" s="8">
        <v>0.15</v>
      </c>
      <c r="E55" s="8">
        <v>0.15</v>
      </c>
      <c r="F55" s="8">
        <v>0.15</v>
      </c>
      <c r="G55" s="8">
        <v>0.15</v>
      </c>
      <c r="H55" s="4">
        <f t="shared" si="1"/>
        <v>20</v>
      </c>
      <c r="I55" s="4"/>
      <c r="J55" s="4"/>
      <c r="K55" s="4"/>
      <c r="L55" s="4"/>
      <c r="M55" s="4"/>
      <c r="N55" s="4"/>
      <c r="O55" s="4"/>
      <c r="P55" s="4"/>
      <c r="Q55" s="4"/>
      <c r="R55" s="4"/>
      <c r="S55" s="4"/>
      <c r="T55" s="4"/>
      <c r="U55" s="4"/>
      <c r="V55" s="4"/>
      <c r="W55" s="4"/>
      <c r="X55" s="4"/>
    </row>
    <row r="56" ht="9.0" customHeight="1">
      <c r="A56" s="5">
        <f t="shared" si="2"/>
        <v>55</v>
      </c>
      <c r="B56" s="4" t="s">
        <v>283</v>
      </c>
      <c r="C56" s="4" t="s">
        <v>284</v>
      </c>
      <c r="D56" s="8">
        <v>0.15</v>
      </c>
      <c r="E56" s="8">
        <v>0.15</v>
      </c>
      <c r="F56" s="8">
        <v>0.15</v>
      </c>
      <c r="G56" s="8">
        <v>0.15</v>
      </c>
      <c r="H56" s="4">
        <f t="shared" si="1"/>
        <v>20</v>
      </c>
      <c r="I56" s="4"/>
      <c r="J56" s="4"/>
      <c r="K56" s="4"/>
      <c r="L56" s="4"/>
      <c r="M56" s="4"/>
      <c r="N56" s="4"/>
      <c r="O56" s="4"/>
      <c r="P56" s="4"/>
      <c r="Q56" s="4"/>
      <c r="R56" s="4"/>
      <c r="S56" s="4"/>
      <c r="T56" s="4"/>
      <c r="U56" s="4"/>
      <c r="V56" s="4"/>
      <c r="W56" s="4"/>
      <c r="X56" s="4"/>
    </row>
    <row r="57" ht="9.0" customHeight="1">
      <c r="A57" s="5">
        <f t="shared" si="2"/>
        <v>56</v>
      </c>
      <c r="B57" s="4" t="s">
        <v>289</v>
      </c>
      <c r="C57" s="4" t="s">
        <v>290</v>
      </c>
      <c r="D57" s="8">
        <v>0.15</v>
      </c>
      <c r="E57" s="8">
        <v>0.15</v>
      </c>
      <c r="F57" s="8">
        <v>0.15</v>
      </c>
      <c r="G57" s="8">
        <v>0.15</v>
      </c>
      <c r="H57" s="4">
        <f t="shared" si="1"/>
        <v>20</v>
      </c>
      <c r="I57" s="4"/>
      <c r="J57" s="4"/>
      <c r="K57" s="4"/>
      <c r="L57" s="4"/>
      <c r="M57" s="4"/>
      <c r="N57" s="4"/>
      <c r="O57" s="4"/>
      <c r="P57" s="4"/>
      <c r="Q57" s="4"/>
      <c r="R57" s="4"/>
      <c r="S57" s="4"/>
      <c r="T57" s="4"/>
      <c r="U57" s="4"/>
      <c r="V57" s="4"/>
      <c r="W57" s="4"/>
      <c r="X57" s="4"/>
    </row>
    <row r="58" ht="9.0" customHeight="1">
      <c r="A58" s="5">
        <f t="shared" si="2"/>
        <v>57</v>
      </c>
      <c r="B58" s="4" t="s">
        <v>295</v>
      </c>
      <c r="C58" s="4" t="s">
        <v>296</v>
      </c>
      <c r="D58" s="8">
        <v>0.15</v>
      </c>
      <c r="E58" s="8">
        <v>0.15</v>
      </c>
      <c r="F58" s="8">
        <v>0.15</v>
      </c>
      <c r="G58" s="8">
        <v>0.15</v>
      </c>
      <c r="H58" s="4">
        <f t="shared" si="1"/>
        <v>20</v>
      </c>
      <c r="I58" s="4"/>
      <c r="J58" s="4"/>
      <c r="K58" s="4"/>
      <c r="L58" s="4"/>
      <c r="M58" s="4"/>
      <c r="N58" s="4"/>
      <c r="O58" s="4"/>
      <c r="P58" s="4"/>
      <c r="Q58" s="4"/>
      <c r="R58" s="4"/>
      <c r="S58" s="4"/>
      <c r="T58" s="4"/>
      <c r="U58" s="4"/>
      <c r="V58" s="4"/>
      <c r="W58" s="4"/>
      <c r="X58" s="4"/>
    </row>
    <row r="59" ht="9.0" customHeight="1">
      <c r="A59" s="5">
        <f t="shared" si="2"/>
        <v>58</v>
      </c>
      <c r="B59" s="4" t="s">
        <v>298</v>
      </c>
      <c r="C59" s="4" t="s">
        <v>299</v>
      </c>
      <c r="D59" s="8">
        <v>0.15</v>
      </c>
      <c r="E59" s="8">
        <v>0.15</v>
      </c>
      <c r="F59" s="8">
        <v>0.15</v>
      </c>
      <c r="G59" s="8">
        <v>0.15</v>
      </c>
      <c r="H59" s="4">
        <f t="shared" si="1"/>
        <v>20</v>
      </c>
      <c r="I59" s="4"/>
      <c r="J59" s="4"/>
      <c r="K59" s="4"/>
      <c r="L59" s="4"/>
      <c r="M59" s="4"/>
      <c r="N59" s="4"/>
      <c r="O59" s="4"/>
      <c r="P59" s="4"/>
      <c r="Q59" s="4"/>
      <c r="R59" s="4"/>
      <c r="S59" s="4"/>
      <c r="T59" s="4"/>
      <c r="U59" s="4"/>
      <c r="V59" s="4"/>
      <c r="W59" s="4"/>
      <c r="X59" s="4"/>
    </row>
    <row r="60" ht="9.0" customHeight="1">
      <c r="A60" s="5">
        <f t="shared" si="2"/>
        <v>59</v>
      </c>
      <c r="B60" s="4" t="s">
        <v>304</v>
      </c>
      <c r="C60" s="4" t="s">
        <v>305</v>
      </c>
      <c r="D60" s="8">
        <v>0.15</v>
      </c>
      <c r="E60" s="8">
        <v>0.15</v>
      </c>
      <c r="F60" s="8">
        <v>0.15</v>
      </c>
      <c r="G60" s="8">
        <v>0.15</v>
      </c>
      <c r="H60" s="4">
        <f t="shared" si="1"/>
        <v>20</v>
      </c>
      <c r="I60" s="4"/>
      <c r="J60" s="4"/>
      <c r="K60" s="4"/>
      <c r="L60" s="4"/>
      <c r="M60" s="4"/>
      <c r="N60" s="4"/>
      <c r="O60" s="4"/>
      <c r="P60" s="4"/>
      <c r="Q60" s="4"/>
      <c r="R60" s="4"/>
      <c r="S60" s="4"/>
      <c r="T60" s="4"/>
      <c r="U60" s="4"/>
      <c r="V60" s="4"/>
      <c r="W60" s="4"/>
      <c r="X60" s="4"/>
    </row>
    <row r="61" ht="9.0" customHeight="1">
      <c r="A61" s="5">
        <f t="shared" si="2"/>
        <v>60</v>
      </c>
      <c r="B61" s="4" t="s">
        <v>310</v>
      </c>
      <c r="C61" s="4" t="s">
        <v>311</v>
      </c>
      <c r="D61" s="8">
        <v>0.15</v>
      </c>
      <c r="E61" s="8">
        <v>0.15</v>
      </c>
      <c r="F61" s="8">
        <v>0.15</v>
      </c>
      <c r="G61" s="8">
        <v>0.15</v>
      </c>
      <c r="H61" s="4">
        <f t="shared" si="1"/>
        <v>20</v>
      </c>
      <c r="I61" s="4"/>
      <c r="J61" s="4"/>
      <c r="K61" s="4"/>
      <c r="L61" s="4"/>
      <c r="M61" s="4"/>
      <c r="N61" s="4"/>
      <c r="O61" s="4"/>
      <c r="P61" s="4"/>
      <c r="Q61" s="4"/>
      <c r="R61" s="4"/>
      <c r="S61" s="4"/>
      <c r="T61" s="4"/>
      <c r="U61" s="4"/>
      <c r="V61" s="4"/>
      <c r="W61" s="4"/>
      <c r="X61" s="4"/>
    </row>
    <row r="62" ht="9.0" customHeight="1">
      <c r="A62" s="5">
        <f t="shared" si="2"/>
        <v>61</v>
      </c>
      <c r="B62" s="4" t="s">
        <v>316</v>
      </c>
      <c r="C62" s="4" t="s">
        <v>317</v>
      </c>
      <c r="D62" s="8">
        <v>0.15</v>
      </c>
      <c r="E62" s="8">
        <v>0.15</v>
      </c>
      <c r="F62" s="8">
        <v>0.15</v>
      </c>
      <c r="G62" s="8">
        <v>0.15</v>
      </c>
      <c r="H62" s="4">
        <f t="shared" si="1"/>
        <v>20</v>
      </c>
      <c r="I62" s="4"/>
      <c r="J62" s="4"/>
      <c r="K62" s="4"/>
      <c r="L62" s="4"/>
      <c r="M62" s="4"/>
      <c r="N62" s="4"/>
      <c r="O62" s="4"/>
      <c r="P62" s="4"/>
      <c r="Q62" s="4"/>
      <c r="R62" s="4"/>
      <c r="S62" s="4"/>
      <c r="T62" s="4"/>
      <c r="U62" s="4"/>
      <c r="V62" s="4"/>
      <c r="W62" s="4"/>
      <c r="X62" s="4"/>
    </row>
    <row r="63" ht="9.0" customHeight="1">
      <c r="A63" s="5">
        <f t="shared" si="2"/>
        <v>62</v>
      </c>
      <c r="B63" s="4" t="s">
        <v>322</v>
      </c>
      <c r="C63" s="4" t="s">
        <v>323</v>
      </c>
      <c r="D63" s="8">
        <v>0.15</v>
      </c>
      <c r="E63" s="8">
        <v>0.15</v>
      </c>
      <c r="F63" s="8">
        <v>0.15</v>
      </c>
      <c r="G63" s="8">
        <v>0.15</v>
      </c>
      <c r="H63" s="4">
        <f t="shared" si="1"/>
        <v>20</v>
      </c>
      <c r="I63" s="4"/>
      <c r="J63" s="4"/>
      <c r="K63" s="4"/>
      <c r="L63" s="4"/>
      <c r="M63" s="4"/>
      <c r="N63" s="4"/>
      <c r="O63" s="4"/>
      <c r="P63" s="4"/>
      <c r="Q63" s="4"/>
      <c r="R63" s="4"/>
      <c r="S63" s="4"/>
      <c r="T63" s="4"/>
      <c r="U63" s="4"/>
      <c r="V63" s="4"/>
      <c r="W63" s="4"/>
      <c r="X63" s="4"/>
    </row>
    <row r="64" ht="9.0" customHeight="1">
      <c r="A64" s="5">
        <f t="shared" si="2"/>
        <v>63</v>
      </c>
      <c r="B64" s="4" t="s">
        <v>328</v>
      </c>
      <c r="C64" s="4" t="s">
        <v>328</v>
      </c>
      <c r="D64" s="8">
        <v>0.15</v>
      </c>
      <c r="E64" s="8">
        <v>0.15</v>
      </c>
      <c r="F64" s="8">
        <v>0.15</v>
      </c>
      <c r="G64" s="8">
        <v>0.15</v>
      </c>
      <c r="H64" s="4">
        <f t="shared" si="1"/>
        <v>20</v>
      </c>
      <c r="I64" s="4"/>
      <c r="J64" s="4"/>
      <c r="K64" s="4"/>
      <c r="L64" s="4"/>
      <c r="M64" s="4"/>
      <c r="N64" s="4"/>
      <c r="O64" s="4"/>
      <c r="P64" s="4"/>
      <c r="Q64" s="4"/>
      <c r="R64" s="4"/>
      <c r="S64" s="4"/>
      <c r="T64" s="4"/>
      <c r="U64" s="4"/>
      <c r="V64" s="4"/>
      <c r="W64" s="4"/>
      <c r="X64" s="4"/>
    </row>
    <row r="65" ht="9.0" customHeight="1">
      <c r="A65" s="5">
        <f t="shared" si="2"/>
        <v>64</v>
      </c>
      <c r="B65" s="4" t="s">
        <v>333</v>
      </c>
      <c r="C65" s="4" t="s">
        <v>334</v>
      </c>
      <c r="D65" s="8">
        <v>0.15</v>
      </c>
      <c r="E65" s="8">
        <v>0.15</v>
      </c>
      <c r="F65" s="8">
        <v>0.15</v>
      </c>
      <c r="G65" s="8">
        <v>0.15</v>
      </c>
      <c r="H65" s="4">
        <f t="shared" si="1"/>
        <v>20</v>
      </c>
      <c r="I65" s="4"/>
      <c r="J65" s="4"/>
      <c r="K65" s="4"/>
      <c r="L65" s="4"/>
      <c r="M65" s="4"/>
      <c r="N65" s="4"/>
      <c r="O65" s="4"/>
      <c r="P65" s="4"/>
      <c r="Q65" s="4"/>
      <c r="R65" s="4"/>
      <c r="S65" s="4"/>
      <c r="T65" s="4"/>
      <c r="U65" s="4"/>
      <c r="V65" s="4"/>
      <c r="W65" s="4"/>
      <c r="X65" s="4"/>
    </row>
    <row r="66" ht="9.0" customHeight="1">
      <c r="A66" s="5">
        <f t="shared" si="2"/>
        <v>65</v>
      </c>
      <c r="B66" s="4" t="s">
        <v>339</v>
      </c>
      <c r="C66" s="4" t="s">
        <v>340</v>
      </c>
      <c r="D66" s="8">
        <v>0.15</v>
      </c>
      <c r="E66" s="8">
        <v>0.15</v>
      </c>
      <c r="F66" s="8">
        <v>0.15</v>
      </c>
      <c r="G66" s="8">
        <v>0.15</v>
      </c>
      <c r="H66" s="4">
        <f t="shared" si="1"/>
        <v>20</v>
      </c>
      <c r="I66" s="4"/>
      <c r="J66" s="4"/>
      <c r="K66" s="4"/>
      <c r="L66" s="4"/>
      <c r="M66" s="4"/>
      <c r="N66" s="4"/>
      <c r="O66" s="4"/>
      <c r="P66" s="4"/>
      <c r="Q66" s="4"/>
      <c r="R66" s="4"/>
      <c r="S66" s="4"/>
      <c r="T66" s="4"/>
      <c r="U66" s="4"/>
      <c r="V66" s="4"/>
      <c r="W66" s="4"/>
      <c r="X66" s="4"/>
    </row>
    <row r="67" ht="9.0" customHeight="1">
      <c r="A67" s="5">
        <f t="shared" si="2"/>
        <v>66</v>
      </c>
      <c r="B67" s="4" t="s">
        <v>345</v>
      </c>
      <c r="C67" s="4" t="s">
        <v>346</v>
      </c>
      <c r="D67" s="8">
        <v>0.15</v>
      </c>
      <c r="E67" s="8">
        <v>0.15</v>
      </c>
      <c r="F67" s="8">
        <v>0.15</v>
      </c>
      <c r="G67" s="4">
        <v>0.9015353524269358</v>
      </c>
      <c r="H67" s="4">
        <f t="shared" si="1"/>
        <v>1</v>
      </c>
      <c r="I67" s="4"/>
      <c r="J67" s="4"/>
      <c r="K67" s="4"/>
      <c r="L67" s="4"/>
      <c r="M67" s="4"/>
      <c r="N67" s="4"/>
      <c r="O67" s="4"/>
      <c r="P67" s="4"/>
      <c r="Q67" s="4"/>
      <c r="R67" s="4"/>
      <c r="S67" s="4"/>
      <c r="T67" s="4"/>
      <c r="U67" s="4"/>
      <c r="V67" s="4"/>
      <c r="W67" s="4"/>
      <c r="X67" s="4"/>
    </row>
    <row r="68" ht="9.0" customHeight="1">
      <c r="A68" s="5">
        <f t="shared" si="2"/>
        <v>67</v>
      </c>
      <c r="B68" s="4" t="s">
        <v>351</v>
      </c>
      <c r="C68" s="4" t="s">
        <v>352</v>
      </c>
      <c r="D68" s="8">
        <v>0.15</v>
      </c>
      <c r="E68" s="8">
        <v>0.15</v>
      </c>
      <c r="F68" s="8">
        <v>0.15</v>
      </c>
      <c r="G68" s="8">
        <v>0.15</v>
      </c>
      <c r="H68" s="4">
        <f t="shared" si="1"/>
        <v>20</v>
      </c>
      <c r="I68" s="4"/>
      <c r="J68" s="4"/>
      <c r="K68" s="4"/>
      <c r="L68" s="4"/>
      <c r="M68" s="4"/>
      <c r="N68" s="4"/>
      <c r="O68" s="4"/>
      <c r="P68" s="4"/>
      <c r="Q68" s="4"/>
      <c r="R68" s="4"/>
      <c r="S68" s="4"/>
      <c r="T68" s="4"/>
      <c r="U68" s="4"/>
      <c r="V68" s="4"/>
      <c r="W68" s="4"/>
      <c r="X68" s="4"/>
    </row>
    <row r="69" ht="9.0" customHeight="1">
      <c r="A69" s="5">
        <f t="shared" si="2"/>
        <v>68</v>
      </c>
      <c r="B69" s="4" t="s">
        <v>357</v>
      </c>
      <c r="C69" s="4" t="s">
        <v>357</v>
      </c>
      <c r="D69" s="8">
        <v>0.15</v>
      </c>
      <c r="E69" s="8">
        <v>0.15</v>
      </c>
      <c r="F69" s="8">
        <v>0.15</v>
      </c>
      <c r="G69" s="8">
        <v>0.15</v>
      </c>
      <c r="H69" s="4">
        <f t="shared" si="1"/>
        <v>20</v>
      </c>
      <c r="I69" s="4"/>
      <c r="J69" s="4"/>
      <c r="K69" s="4"/>
      <c r="L69" s="4"/>
      <c r="M69" s="4"/>
      <c r="N69" s="4"/>
      <c r="O69" s="4"/>
      <c r="P69" s="4"/>
      <c r="Q69" s="4"/>
      <c r="R69" s="4"/>
      <c r="S69" s="4"/>
      <c r="T69" s="4"/>
      <c r="U69" s="4"/>
      <c r="V69" s="4"/>
      <c r="W69" s="4"/>
      <c r="X69" s="4"/>
    </row>
    <row r="70" ht="9.0" customHeight="1">
      <c r="A70" s="5">
        <f t="shared" si="2"/>
        <v>69</v>
      </c>
      <c r="B70" s="4" t="s">
        <v>362</v>
      </c>
      <c r="C70" s="4" t="s">
        <v>363</v>
      </c>
      <c r="D70" s="8">
        <v>0.15</v>
      </c>
      <c r="E70" s="8">
        <v>0.15</v>
      </c>
      <c r="F70" s="8">
        <v>0.15</v>
      </c>
      <c r="G70" s="8">
        <v>0.15</v>
      </c>
      <c r="H70" s="4">
        <f t="shared" si="1"/>
        <v>20</v>
      </c>
      <c r="I70" s="4"/>
      <c r="J70" s="4"/>
      <c r="K70" s="4"/>
      <c r="L70" s="4"/>
      <c r="M70" s="4"/>
      <c r="N70" s="4"/>
      <c r="O70" s="4"/>
      <c r="P70" s="4"/>
      <c r="Q70" s="4"/>
      <c r="R70" s="4"/>
      <c r="S70" s="4"/>
      <c r="T70" s="4"/>
      <c r="U70" s="4"/>
      <c r="V70" s="4"/>
      <c r="W70" s="4"/>
      <c r="X70" s="4"/>
    </row>
    <row r="71" ht="9.0" customHeight="1">
      <c r="A71" s="5">
        <f t="shared" si="2"/>
        <v>70</v>
      </c>
      <c r="B71" s="4" t="s">
        <v>365</v>
      </c>
      <c r="C71" s="4" t="s">
        <v>366</v>
      </c>
      <c r="D71" s="8">
        <v>0.15</v>
      </c>
      <c r="E71" s="8">
        <v>0.15</v>
      </c>
      <c r="F71" s="8">
        <v>0.15</v>
      </c>
      <c r="G71" s="8">
        <v>0.15</v>
      </c>
      <c r="H71" s="4">
        <f t="shared" si="1"/>
        <v>20</v>
      </c>
      <c r="I71" s="4"/>
      <c r="J71" s="4"/>
      <c r="K71" s="4"/>
      <c r="L71" s="4"/>
      <c r="M71" s="4"/>
      <c r="N71" s="4"/>
      <c r="O71" s="4"/>
      <c r="P71" s="4"/>
      <c r="Q71" s="4"/>
      <c r="R71" s="4"/>
      <c r="S71" s="4"/>
      <c r="T71" s="4"/>
      <c r="U71" s="4"/>
      <c r="V71" s="4"/>
      <c r="W71" s="4"/>
      <c r="X71" s="4"/>
    </row>
    <row r="72" ht="9.0" customHeight="1">
      <c r="A72" s="5">
        <f t="shared" si="2"/>
        <v>71</v>
      </c>
      <c r="B72" s="4" t="s">
        <v>368</v>
      </c>
      <c r="C72" s="4" t="s">
        <v>369</v>
      </c>
      <c r="D72" s="8">
        <v>0.15</v>
      </c>
      <c r="E72" s="8">
        <v>0.15</v>
      </c>
      <c r="F72" s="8">
        <v>0.15</v>
      </c>
      <c r="G72" s="8">
        <v>0.15</v>
      </c>
      <c r="H72" s="4">
        <f t="shared" si="1"/>
        <v>20</v>
      </c>
      <c r="I72" s="4"/>
      <c r="J72" s="4"/>
      <c r="K72" s="4"/>
      <c r="L72" s="4"/>
      <c r="M72" s="4"/>
      <c r="N72" s="4"/>
      <c r="O72" s="4"/>
      <c r="P72" s="4"/>
      <c r="Q72" s="4"/>
      <c r="R72" s="4"/>
      <c r="S72" s="4"/>
      <c r="T72" s="4"/>
      <c r="U72" s="4"/>
      <c r="V72" s="4"/>
      <c r="W72" s="4"/>
      <c r="X72" s="4"/>
    </row>
    <row r="73" ht="9.0" customHeight="1">
      <c r="A73" s="5">
        <f t="shared" si="2"/>
        <v>72</v>
      </c>
      <c r="B73" s="4" t="s">
        <v>374</v>
      </c>
      <c r="C73" s="4" t="s">
        <v>374</v>
      </c>
      <c r="D73" s="8">
        <v>0.15</v>
      </c>
      <c r="E73" s="8">
        <v>0.15</v>
      </c>
      <c r="F73" s="8">
        <v>0.15</v>
      </c>
      <c r="G73" s="8">
        <v>0.15</v>
      </c>
      <c r="H73" s="4">
        <f t="shared" si="1"/>
        <v>20</v>
      </c>
      <c r="I73" s="4"/>
      <c r="J73" s="4"/>
      <c r="K73" s="4"/>
      <c r="L73" s="4"/>
      <c r="M73" s="4"/>
      <c r="N73" s="4"/>
      <c r="O73" s="4"/>
      <c r="P73" s="4"/>
      <c r="Q73" s="4"/>
      <c r="R73" s="4"/>
      <c r="S73" s="4"/>
      <c r="T73" s="4"/>
      <c r="U73" s="4"/>
      <c r="V73" s="4"/>
      <c r="W73" s="4"/>
      <c r="X73" s="4"/>
    </row>
    <row r="74" ht="9.0" customHeight="1">
      <c r="A74" s="5">
        <f t="shared" si="2"/>
        <v>73</v>
      </c>
      <c r="B74" s="4" t="s">
        <v>379</v>
      </c>
      <c r="C74" s="4" t="s">
        <v>379</v>
      </c>
      <c r="D74" s="8">
        <v>0.15</v>
      </c>
      <c r="E74" s="8">
        <v>0.15</v>
      </c>
      <c r="F74" s="8">
        <v>0.15</v>
      </c>
      <c r="G74" s="8">
        <v>0.15</v>
      </c>
      <c r="H74" s="4">
        <f t="shared" si="1"/>
        <v>20</v>
      </c>
      <c r="I74" s="4"/>
      <c r="J74" s="4"/>
      <c r="K74" s="4"/>
      <c r="L74" s="4"/>
      <c r="M74" s="4"/>
      <c r="N74" s="4"/>
      <c r="O74" s="4"/>
      <c r="P74" s="4"/>
      <c r="Q74" s="4"/>
      <c r="R74" s="4"/>
      <c r="S74" s="4"/>
      <c r="T74" s="4"/>
      <c r="U74" s="4"/>
      <c r="V74" s="4"/>
      <c r="W74" s="4"/>
      <c r="X74" s="4"/>
    </row>
    <row r="75" ht="9.0" customHeight="1">
      <c r="A75" s="5">
        <f t="shared" si="2"/>
        <v>74</v>
      </c>
      <c r="B75" s="4" t="s">
        <v>384</v>
      </c>
      <c r="C75" s="4" t="s">
        <v>384</v>
      </c>
      <c r="D75" s="8">
        <v>0.15</v>
      </c>
      <c r="E75" s="8">
        <v>0.15</v>
      </c>
      <c r="F75" s="8">
        <v>0.15</v>
      </c>
      <c r="G75" s="8">
        <v>0.15</v>
      </c>
      <c r="H75" s="4">
        <f t="shared" si="1"/>
        <v>20</v>
      </c>
      <c r="I75" s="4"/>
      <c r="J75" s="4"/>
      <c r="K75" s="4"/>
      <c r="L75" s="4"/>
      <c r="M75" s="4"/>
      <c r="N75" s="4"/>
      <c r="O75" s="4"/>
      <c r="P75" s="4"/>
      <c r="Q75" s="4"/>
      <c r="R75" s="4"/>
      <c r="S75" s="4"/>
      <c r="T75" s="4"/>
      <c r="U75" s="4"/>
      <c r="V75" s="4"/>
      <c r="W75" s="4"/>
      <c r="X75" s="4"/>
    </row>
    <row r="76" ht="9.0" customHeight="1">
      <c r="A76" s="5">
        <f t="shared" si="2"/>
        <v>75</v>
      </c>
      <c r="B76" s="4" t="s">
        <v>389</v>
      </c>
      <c r="C76" s="4" t="s">
        <v>389</v>
      </c>
      <c r="D76" s="8">
        <v>0.15</v>
      </c>
      <c r="E76" s="8">
        <v>0.15</v>
      </c>
      <c r="F76" s="8">
        <v>0.15</v>
      </c>
      <c r="G76" s="8">
        <v>0.15</v>
      </c>
      <c r="H76" s="4">
        <f t="shared" si="1"/>
        <v>20</v>
      </c>
      <c r="I76" s="4"/>
      <c r="J76" s="4"/>
      <c r="K76" s="4"/>
      <c r="L76" s="4"/>
      <c r="M76" s="4"/>
      <c r="N76" s="4"/>
      <c r="O76" s="4"/>
      <c r="P76" s="4"/>
      <c r="Q76" s="4"/>
      <c r="R76" s="4"/>
      <c r="S76" s="4"/>
      <c r="T76" s="4"/>
      <c r="U76" s="4"/>
      <c r="V76" s="4"/>
      <c r="W76" s="4"/>
      <c r="X76" s="4"/>
    </row>
    <row r="77" ht="9.0" customHeight="1">
      <c r="A77" s="5">
        <f t="shared" si="2"/>
        <v>76</v>
      </c>
      <c r="B77" s="4" t="s">
        <v>394</v>
      </c>
      <c r="C77" s="4" t="s">
        <v>395</v>
      </c>
      <c r="D77" s="8">
        <v>0.15</v>
      </c>
      <c r="E77" s="8">
        <v>0.15</v>
      </c>
      <c r="F77" s="8">
        <v>0.15</v>
      </c>
      <c r="G77" s="8">
        <v>0.15</v>
      </c>
      <c r="H77" s="4">
        <f t="shared" si="1"/>
        <v>20</v>
      </c>
      <c r="I77" s="4"/>
      <c r="J77" s="4"/>
      <c r="K77" s="4"/>
      <c r="L77" s="4"/>
      <c r="M77" s="4"/>
      <c r="N77" s="4"/>
      <c r="O77" s="4"/>
      <c r="P77" s="4"/>
      <c r="Q77" s="4"/>
      <c r="R77" s="4"/>
      <c r="S77" s="4"/>
      <c r="T77" s="4"/>
      <c r="U77" s="4"/>
      <c r="V77" s="4"/>
      <c r="W77" s="4"/>
      <c r="X77" s="4"/>
    </row>
    <row r="78" ht="9.0" customHeight="1">
      <c r="A78" s="5">
        <f t="shared" si="2"/>
        <v>77</v>
      </c>
      <c r="B78" s="4" t="s">
        <v>400</v>
      </c>
      <c r="C78" s="4" t="s">
        <v>401</v>
      </c>
      <c r="D78" s="8">
        <v>0.15</v>
      </c>
      <c r="E78" s="8">
        <v>0.15</v>
      </c>
      <c r="F78" s="8">
        <v>0.15</v>
      </c>
      <c r="G78" s="8">
        <v>0.15</v>
      </c>
      <c r="H78" s="4">
        <f t="shared" si="1"/>
        <v>20</v>
      </c>
      <c r="I78" s="4"/>
      <c r="J78" s="4"/>
      <c r="K78" s="4"/>
      <c r="L78" s="4"/>
      <c r="M78" s="4"/>
      <c r="N78" s="4"/>
      <c r="O78" s="4"/>
      <c r="P78" s="4"/>
      <c r="Q78" s="4"/>
      <c r="R78" s="4"/>
      <c r="S78" s="4"/>
      <c r="T78" s="4"/>
      <c r="U78" s="4"/>
      <c r="V78" s="4"/>
      <c r="W78" s="4"/>
      <c r="X78" s="4"/>
    </row>
    <row r="79" ht="9.0" customHeight="1">
      <c r="A79" s="5">
        <f t="shared" si="2"/>
        <v>78</v>
      </c>
      <c r="B79" s="4" t="s">
        <v>406</v>
      </c>
      <c r="C79" s="4" t="s">
        <v>407</v>
      </c>
      <c r="D79" s="8">
        <v>0.15</v>
      </c>
      <c r="E79" s="8">
        <v>0.15</v>
      </c>
      <c r="F79" s="8">
        <v>0.15</v>
      </c>
      <c r="G79" s="8">
        <v>0.15</v>
      </c>
      <c r="H79" s="4">
        <f t="shared" si="1"/>
        <v>20</v>
      </c>
      <c r="I79" s="4"/>
      <c r="J79" s="4"/>
      <c r="K79" s="4"/>
      <c r="L79" s="4"/>
      <c r="M79" s="4"/>
      <c r="N79" s="4"/>
      <c r="O79" s="4"/>
      <c r="P79" s="4"/>
      <c r="Q79" s="4"/>
      <c r="R79" s="4"/>
      <c r="S79" s="4"/>
      <c r="T79" s="4"/>
      <c r="U79" s="4"/>
      <c r="V79" s="4"/>
      <c r="W79" s="4"/>
      <c r="X79" s="4"/>
    </row>
    <row r="80" ht="9.0" customHeight="1">
      <c r="A80" s="5">
        <f t="shared" si="2"/>
        <v>79</v>
      </c>
      <c r="B80" s="4" t="s">
        <v>412</v>
      </c>
      <c r="C80" s="4" t="s">
        <v>413</v>
      </c>
      <c r="D80" s="8">
        <v>0.15</v>
      </c>
      <c r="E80" s="8">
        <v>0.15</v>
      </c>
      <c r="F80" s="8">
        <v>0.15</v>
      </c>
      <c r="G80" s="8">
        <v>0.15</v>
      </c>
      <c r="H80" s="4">
        <f t="shared" si="1"/>
        <v>20</v>
      </c>
      <c r="I80" s="4"/>
      <c r="J80" s="4"/>
      <c r="K80" s="4"/>
      <c r="L80" s="4"/>
      <c r="M80" s="4"/>
      <c r="N80" s="4"/>
      <c r="O80" s="4"/>
      <c r="P80" s="4"/>
      <c r="Q80" s="4"/>
      <c r="R80" s="4"/>
      <c r="S80" s="4"/>
      <c r="T80" s="4"/>
      <c r="U80" s="4"/>
      <c r="V80" s="4"/>
      <c r="W80" s="4"/>
      <c r="X80" s="4"/>
    </row>
    <row r="81" ht="9.0" customHeight="1">
      <c r="A81" s="5">
        <f t="shared" si="2"/>
        <v>80</v>
      </c>
      <c r="B81" s="4" t="s">
        <v>418</v>
      </c>
      <c r="C81" s="4" t="s">
        <v>419</v>
      </c>
      <c r="D81" s="8">
        <v>0.15</v>
      </c>
      <c r="E81" s="8">
        <v>0.15</v>
      </c>
      <c r="F81" s="8">
        <v>0.15</v>
      </c>
      <c r="G81" s="8">
        <v>0.15</v>
      </c>
      <c r="H81" s="4">
        <f t="shared" si="1"/>
        <v>20</v>
      </c>
      <c r="I81" s="4"/>
      <c r="J81" s="4"/>
      <c r="K81" s="4"/>
      <c r="L81" s="4"/>
      <c r="M81" s="4"/>
      <c r="N81" s="4"/>
      <c r="O81" s="4"/>
      <c r="P81" s="4"/>
      <c r="Q81" s="4"/>
      <c r="R81" s="4"/>
      <c r="S81" s="4"/>
      <c r="T81" s="4"/>
      <c r="U81" s="4"/>
      <c r="V81" s="4"/>
      <c r="W81" s="4"/>
      <c r="X81" s="4"/>
    </row>
    <row r="82" ht="9.0" customHeight="1">
      <c r="A82" s="5">
        <f t="shared" si="2"/>
        <v>81</v>
      </c>
      <c r="B82" s="4" t="s">
        <v>424</v>
      </c>
      <c r="C82" s="4" t="s">
        <v>425</v>
      </c>
      <c r="D82" s="8">
        <v>0.15</v>
      </c>
      <c r="E82" s="8">
        <v>0.15</v>
      </c>
      <c r="F82" s="8">
        <v>0.15</v>
      </c>
      <c r="G82" s="8">
        <v>0.15</v>
      </c>
      <c r="H82" s="4">
        <f t="shared" si="1"/>
        <v>20</v>
      </c>
      <c r="I82" s="4"/>
      <c r="J82" s="4"/>
      <c r="K82" s="4"/>
      <c r="L82" s="4"/>
      <c r="M82" s="4"/>
      <c r="N82" s="4"/>
      <c r="O82" s="4"/>
      <c r="P82" s="4"/>
      <c r="Q82" s="4"/>
      <c r="R82" s="4"/>
      <c r="S82" s="4"/>
      <c r="T82" s="4"/>
      <c r="U82" s="4"/>
      <c r="V82" s="4"/>
      <c r="W82" s="4"/>
      <c r="X82" s="4"/>
    </row>
    <row r="83" ht="9.0" customHeight="1">
      <c r="A83" s="5">
        <f t="shared" si="2"/>
        <v>82</v>
      </c>
      <c r="B83" s="4" t="s">
        <v>427</v>
      </c>
      <c r="C83" s="4" t="s">
        <v>427</v>
      </c>
      <c r="D83" s="8">
        <v>0.15</v>
      </c>
      <c r="E83" s="8">
        <v>0.15</v>
      </c>
      <c r="F83" s="8">
        <v>0.15</v>
      </c>
      <c r="G83" s="8">
        <v>0.15</v>
      </c>
      <c r="H83" s="4">
        <f t="shared" si="1"/>
        <v>20</v>
      </c>
      <c r="I83" s="4"/>
      <c r="J83" s="4"/>
      <c r="K83" s="4"/>
      <c r="L83" s="4"/>
      <c r="M83" s="4"/>
      <c r="N83" s="4"/>
      <c r="O83" s="4"/>
      <c r="P83" s="4"/>
      <c r="Q83" s="4"/>
      <c r="R83" s="4"/>
      <c r="S83" s="4"/>
      <c r="T83" s="4"/>
      <c r="U83" s="4"/>
      <c r="V83" s="4"/>
      <c r="W83" s="4"/>
      <c r="X83" s="4"/>
    </row>
    <row r="84" ht="9.0" customHeight="1">
      <c r="A84" s="5">
        <f t="shared" si="2"/>
        <v>83</v>
      </c>
      <c r="B84" s="4" t="s">
        <v>432</v>
      </c>
      <c r="C84" s="4" t="s">
        <v>433</v>
      </c>
      <c r="D84" s="8">
        <v>0.15</v>
      </c>
      <c r="E84" s="8">
        <v>0.15</v>
      </c>
      <c r="F84" s="8">
        <v>0.15</v>
      </c>
      <c r="G84" s="8">
        <v>0.15</v>
      </c>
      <c r="H84" s="4">
        <f t="shared" si="1"/>
        <v>20</v>
      </c>
      <c r="I84" s="4"/>
      <c r="J84" s="4"/>
      <c r="K84" s="4"/>
      <c r="L84" s="4"/>
      <c r="M84" s="4"/>
      <c r="N84" s="4"/>
      <c r="O84" s="4"/>
      <c r="P84" s="4"/>
      <c r="Q84" s="4"/>
      <c r="R84" s="4"/>
      <c r="S84" s="4"/>
      <c r="T84" s="4"/>
      <c r="U84" s="4"/>
      <c r="V84" s="4"/>
      <c r="W84" s="4"/>
      <c r="X84" s="4"/>
    </row>
    <row r="85" ht="9.0" customHeight="1">
      <c r="A85" s="5">
        <f t="shared" si="2"/>
        <v>84</v>
      </c>
      <c r="B85" s="4" t="s">
        <v>435</v>
      </c>
      <c r="C85" s="4" t="s">
        <v>436</v>
      </c>
      <c r="D85" s="8">
        <v>0.15</v>
      </c>
      <c r="E85" s="8">
        <v>0.15</v>
      </c>
      <c r="F85" s="8">
        <v>0.15</v>
      </c>
      <c r="G85" s="8">
        <v>0.15</v>
      </c>
      <c r="H85" s="4">
        <f t="shared" si="1"/>
        <v>20</v>
      </c>
      <c r="I85" s="4"/>
      <c r="J85" s="4"/>
      <c r="K85" s="4"/>
      <c r="L85" s="4"/>
      <c r="M85" s="4"/>
      <c r="N85" s="4"/>
      <c r="O85" s="4"/>
      <c r="P85" s="4"/>
      <c r="Q85" s="4"/>
      <c r="R85" s="4"/>
      <c r="S85" s="4"/>
      <c r="T85" s="4"/>
      <c r="U85" s="4"/>
      <c r="V85" s="4"/>
      <c r="W85" s="4"/>
      <c r="X85" s="4"/>
    </row>
    <row r="86" ht="9.0" customHeight="1">
      <c r="A86" s="5">
        <f t="shared" si="2"/>
        <v>85</v>
      </c>
      <c r="B86" s="4" t="s">
        <v>441</v>
      </c>
      <c r="C86" s="4" t="s">
        <v>441</v>
      </c>
      <c r="D86" s="8">
        <v>0.15</v>
      </c>
      <c r="E86" s="8">
        <v>0.15</v>
      </c>
      <c r="F86" s="8">
        <v>0.15</v>
      </c>
      <c r="G86" s="8">
        <v>0.15</v>
      </c>
      <c r="H86" s="4">
        <f t="shared" si="1"/>
        <v>20</v>
      </c>
      <c r="I86" s="4"/>
      <c r="J86" s="4"/>
      <c r="K86" s="4"/>
      <c r="L86" s="4"/>
      <c r="M86" s="4"/>
      <c r="N86" s="4"/>
      <c r="O86" s="4"/>
      <c r="P86" s="4"/>
      <c r="Q86" s="4"/>
      <c r="R86" s="4"/>
      <c r="S86" s="4"/>
      <c r="T86" s="4"/>
      <c r="U86" s="4"/>
      <c r="V86" s="4"/>
      <c r="W86" s="4"/>
      <c r="X86" s="4"/>
    </row>
    <row r="87" ht="9.0" customHeight="1">
      <c r="A87" s="5">
        <f t="shared" si="2"/>
        <v>86</v>
      </c>
      <c r="B87" s="4" t="s">
        <v>446</v>
      </c>
      <c r="C87" s="4" t="s">
        <v>447</v>
      </c>
      <c r="D87" s="8">
        <v>0.15</v>
      </c>
      <c r="E87" s="8">
        <v>0.15</v>
      </c>
      <c r="F87" s="8">
        <v>0.15</v>
      </c>
      <c r="G87" s="8">
        <v>0.15</v>
      </c>
      <c r="H87" s="4">
        <f t="shared" si="1"/>
        <v>20</v>
      </c>
      <c r="I87" s="4"/>
      <c r="J87" s="4"/>
      <c r="K87" s="4"/>
      <c r="L87" s="4"/>
      <c r="M87" s="4"/>
      <c r="N87" s="4"/>
      <c r="O87" s="4"/>
      <c r="P87" s="4"/>
      <c r="Q87" s="4"/>
      <c r="R87" s="4"/>
      <c r="S87" s="4"/>
      <c r="T87" s="4"/>
      <c r="U87" s="4"/>
      <c r="V87" s="4"/>
      <c r="W87" s="4"/>
      <c r="X87" s="4"/>
    </row>
    <row r="88" ht="9.0" customHeight="1">
      <c r="A88" s="5">
        <f t="shared" si="2"/>
        <v>87</v>
      </c>
      <c r="B88" s="4" t="s">
        <v>452</v>
      </c>
      <c r="C88" s="4" t="s">
        <v>453</v>
      </c>
      <c r="D88" s="8">
        <v>0.15</v>
      </c>
      <c r="E88" s="8">
        <v>0.15</v>
      </c>
      <c r="F88" s="8">
        <v>0.15</v>
      </c>
      <c r="G88" s="8">
        <v>0.15</v>
      </c>
      <c r="H88" s="4">
        <f t="shared" si="1"/>
        <v>20</v>
      </c>
      <c r="I88" s="4"/>
      <c r="J88" s="4"/>
      <c r="K88" s="4"/>
      <c r="L88" s="4"/>
      <c r="M88" s="4"/>
      <c r="N88" s="4"/>
      <c r="O88" s="4"/>
      <c r="P88" s="4"/>
      <c r="Q88" s="4"/>
      <c r="R88" s="4"/>
      <c r="S88" s="4"/>
      <c r="T88" s="4"/>
      <c r="U88" s="4"/>
      <c r="V88" s="4"/>
      <c r="W88" s="4"/>
      <c r="X88" s="4"/>
    </row>
    <row r="89" ht="9.0" customHeight="1">
      <c r="A89" s="5">
        <f t="shared" si="2"/>
        <v>88</v>
      </c>
      <c r="B89" s="4" t="s">
        <v>458</v>
      </c>
      <c r="C89" s="4" t="s">
        <v>458</v>
      </c>
      <c r="D89" s="8">
        <v>0.15</v>
      </c>
      <c r="E89" s="8">
        <v>0.15</v>
      </c>
      <c r="F89" s="8">
        <v>0.15</v>
      </c>
      <c r="G89" s="8">
        <v>0.15</v>
      </c>
      <c r="H89" s="4">
        <f t="shared" si="1"/>
        <v>20</v>
      </c>
      <c r="I89" s="4"/>
      <c r="J89" s="4"/>
      <c r="K89" s="4"/>
      <c r="L89" s="4"/>
      <c r="M89" s="4"/>
      <c r="N89" s="4"/>
      <c r="O89" s="4"/>
      <c r="P89" s="4"/>
      <c r="Q89" s="4"/>
      <c r="R89" s="4"/>
      <c r="S89" s="4"/>
      <c r="T89" s="4"/>
      <c r="U89" s="4"/>
      <c r="V89" s="4"/>
      <c r="W89" s="4"/>
      <c r="X89" s="4"/>
    </row>
    <row r="90" ht="9.0" customHeight="1">
      <c r="A90" s="5">
        <f t="shared" si="2"/>
        <v>89</v>
      </c>
      <c r="B90" s="4" t="s">
        <v>463</v>
      </c>
      <c r="C90" s="4" t="s">
        <v>464</v>
      </c>
      <c r="D90" s="8">
        <v>0.15</v>
      </c>
      <c r="E90" s="8">
        <v>0.15</v>
      </c>
      <c r="F90" s="8">
        <v>0.15</v>
      </c>
      <c r="G90" s="8">
        <v>0.15</v>
      </c>
      <c r="H90" s="4">
        <f t="shared" si="1"/>
        <v>20</v>
      </c>
      <c r="I90" s="4"/>
      <c r="J90" s="4"/>
      <c r="K90" s="4"/>
      <c r="L90" s="4"/>
      <c r="M90" s="4"/>
      <c r="N90" s="4"/>
      <c r="O90" s="4"/>
      <c r="P90" s="4"/>
      <c r="Q90" s="4"/>
      <c r="R90" s="4"/>
      <c r="S90" s="4"/>
      <c r="T90" s="4"/>
      <c r="U90" s="4"/>
      <c r="V90" s="4"/>
      <c r="W90" s="4"/>
      <c r="X90" s="4"/>
    </row>
    <row r="91" ht="9.0" customHeight="1">
      <c r="A91" s="5">
        <f t="shared" si="2"/>
        <v>90</v>
      </c>
      <c r="B91" s="4" t="s">
        <v>469</v>
      </c>
      <c r="C91" s="4" t="s">
        <v>470</v>
      </c>
      <c r="D91" s="8">
        <v>0.15</v>
      </c>
      <c r="E91" s="8">
        <v>0.15</v>
      </c>
      <c r="F91" s="8">
        <v>0.15</v>
      </c>
      <c r="G91" s="8">
        <v>0.15</v>
      </c>
      <c r="H91" s="4">
        <f t="shared" si="1"/>
        <v>20</v>
      </c>
      <c r="I91" s="4"/>
      <c r="J91" s="4"/>
      <c r="K91" s="4"/>
      <c r="L91" s="4"/>
      <c r="M91" s="4"/>
      <c r="N91" s="4"/>
      <c r="O91" s="4"/>
      <c r="P91" s="4"/>
      <c r="Q91" s="4"/>
      <c r="R91" s="4"/>
      <c r="S91" s="4"/>
      <c r="T91" s="4"/>
      <c r="U91" s="4"/>
      <c r="V91" s="4"/>
      <c r="W91" s="4"/>
      <c r="X91" s="4"/>
    </row>
    <row r="92" ht="9.0" customHeight="1">
      <c r="A92" s="5">
        <f t="shared" si="2"/>
        <v>91</v>
      </c>
      <c r="B92" s="4" t="s">
        <v>475</v>
      </c>
      <c r="C92" s="4" t="s">
        <v>476</v>
      </c>
      <c r="D92" s="8">
        <v>0.15</v>
      </c>
      <c r="E92" s="8">
        <v>0.15</v>
      </c>
      <c r="F92" s="8">
        <v>0.15</v>
      </c>
      <c r="G92" s="8">
        <v>0.15</v>
      </c>
      <c r="H92" s="4">
        <f t="shared" si="1"/>
        <v>20</v>
      </c>
      <c r="I92" s="4"/>
      <c r="J92" s="4"/>
      <c r="K92" s="4"/>
      <c r="L92" s="4"/>
      <c r="M92" s="4"/>
      <c r="N92" s="4"/>
      <c r="O92" s="4"/>
      <c r="P92" s="4"/>
      <c r="Q92" s="4"/>
      <c r="R92" s="4"/>
      <c r="S92" s="4"/>
      <c r="T92" s="4"/>
      <c r="U92" s="4"/>
      <c r="V92" s="4"/>
      <c r="W92" s="4"/>
      <c r="X92" s="4"/>
    </row>
    <row r="93" ht="9.0" customHeight="1">
      <c r="A93" s="5">
        <f t="shared" si="2"/>
        <v>92</v>
      </c>
      <c r="B93" s="4" t="s">
        <v>478</v>
      </c>
      <c r="C93" s="4" t="s">
        <v>479</v>
      </c>
      <c r="D93" s="8">
        <v>0.15</v>
      </c>
      <c r="E93" s="8">
        <v>0.15</v>
      </c>
      <c r="F93" s="8">
        <v>0.15</v>
      </c>
      <c r="G93" s="8">
        <v>0.15</v>
      </c>
      <c r="H93" s="4">
        <f t="shared" si="1"/>
        <v>20</v>
      </c>
      <c r="I93" s="4"/>
      <c r="J93" s="4"/>
      <c r="K93" s="4"/>
      <c r="L93" s="4"/>
      <c r="M93" s="4"/>
      <c r="N93" s="4"/>
      <c r="O93" s="4"/>
      <c r="P93" s="4"/>
      <c r="Q93" s="4"/>
      <c r="R93" s="4"/>
      <c r="S93" s="4"/>
      <c r="T93" s="4"/>
      <c r="U93" s="4"/>
      <c r="V93" s="4"/>
      <c r="W93" s="4"/>
      <c r="X93" s="4"/>
    </row>
    <row r="94" ht="9.0" customHeight="1">
      <c r="A94" s="5">
        <f t="shared" si="2"/>
        <v>93</v>
      </c>
      <c r="B94" s="4" t="s">
        <v>484</v>
      </c>
      <c r="C94" s="4" t="s">
        <v>484</v>
      </c>
      <c r="D94" s="8">
        <v>0.15</v>
      </c>
      <c r="E94" s="8">
        <v>0.15</v>
      </c>
      <c r="F94" s="8">
        <v>0.15</v>
      </c>
      <c r="G94" s="8">
        <v>0.15</v>
      </c>
      <c r="H94" s="4">
        <f t="shared" si="1"/>
        <v>20</v>
      </c>
      <c r="I94" s="4"/>
      <c r="J94" s="4"/>
      <c r="K94" s="4"/>
      <c r="L94" s="4"/>
      <c r="M94" s="4"/>
      <c r="N94" s="4"/>
      <c r="O94" s="4"/>
      <c r="P94" s="4"/>
      <c r="Q94" s="4"/>
      <c r="R94" s="4"/>
      <c r="S94" s="4"/>
      <c r="T94" s="4"/>
      <c r="U94" s="4"/>
      <c r="V94" s="4"/>
      <c r="W94" s="4"/>
      <c r="X94" s="4"/>
    </row>
    <row r="95" ht="9.0" customHeight="1">
      <c r="A95" s="5">
        <f t="shared" si="2"/>
        <v>94</v>
      </c>
      <c r="B95" s="4" t="s">
        <v>489</v>
      </c>
      <c r="C95" s="4" t="s">
        <v>490</v>
      </c>
      <c r="D95" s="8">
        <v>0.15</v>
      </c>
      <c r="E95" s="8">
        <v>0.15</v>
      </c>
      <c r="F95" s="8">
        <v>0.15</v>
      </c>
      <c r="G95" s="8">
        <v>0.15</v>
      </c>
      <c r="H95" s="4">
        <f t="shared" si="1"/>
        <v>20</v>
      </c>
      <c r="I95" s="4"/>
      <c r="J95" s="4"/>
      <c r="K95" s="4"/>
      <c r="L95" s="4"/>
      <c r="M95" s="4"/>
      <c r="N95" s="4"/>
      <c r="O95" s="4"/>
      <c r="P95" s="4"/>
      <c r="Q95" s="4"/>
      <c r="R95" s="4"/>
      <c r="S95" s="4"/>
      <c r="T95" s="4"/>
      <c r="U95" s="4"/>
      <c r="V95" s="4"/>
      <c r="W95" s="4"/>
      <c r="X95" s="4"/>
    </row>
    <row r="96" ht="9.0" customHeight="1">
      <c r="A96" s="5">
        <f t="shared" si="2"/>
        <v>95</v>
      </c>
      <c r="B96" s="4" t="s">
        <v>495</v>
      </c>
      <c r="C96" s="4" t="s">
        <v>495</v>
      </c>
      <c r="D96" s="8">
        <v>0.15</v>
      </c>
      <c r="E96" s="8">
        <v>0.15</v>
      </c>
      <c r="F96" s="8">
        <v>0.15</v>
      </c>
      <c r="G96" s="8">
        <v>0.15</v>
      </c>
      <c r="H96" s="4">
        <f t="shared" si="1"/>
        <v>20</v>
      </c>
      <c r="I96" s="4"/>
      <c r="J96" s="4"/>
      <c r="K96" s="4"/>
      <c r="L96" s="4"/>
      <c r="M96" s="4"/>
      <c r="N96" s="4"/>
      <c r="O96" s="4"/>
      <c r="P96" s="4"/>
      <c r="Q96" s="4"/>
      <c r="R96" s="4"/>
      <c r="S96" s="4"/>
      <c r="T96" s="4"/>
      <c r="U96" s="4"/>
      <c r="V96" s="4"/>
      <c r="W96" s="4"/>
      <c r="X96" s="4"/>
    </row>
    <row r="97" ht="9.0" customHeight="1">
      <c r="A97" s="5">
        <f t="shared" si="2"/>
        <v>96</v>
      </c>
      <c r="B97" s="4" t="s">
        <v>500</v>
      </c>
      <c r="C97" s="4" t="s">
        <v>501</v>
      </c>
      <c r="D97" s="8">
        <v>0.15</v>
      </c>
      <c r="E97" s="8">
        <v>0.15</v>
      </c>
      <c r="F97" s="8">
        <v>0.15</v>
      </c>
      <c r="G97" s="8">
        <v>0.15</v>
      </c>
      <c r="H97" s="4">
        <f t="shared" si="1"/>
        <v>20</v>
      </c>
      <c r="I97" s="4"/>
      <c r="J97" s="4"/>
      <c r="K97" s="4"/>
      <c r="L97" s="4"/>
      <c r="M97" s="4"/>
      <c r="N97" s="4"/>
      <c r="O97" s="4"/>
      <c r="P97" s="4"/>
      <c r="Q97" s="4"/>
      <c r="R97" s="4"/>
      <c r="S97" s="4"/>
      <c r="T97" s="4"/>
      <c r="U97" s="4"/>
      <c r="V97" s="4"/>
      <c r="W97" s="4"/>
      <c r="X97" s="4"/>
    </row>
    <row r="98" ht="9.0" customHeight="1">
      <c r="A98" s="5">
        <f t="shared" si="2"/>
        <v>97</v>
      </c>
      <c r="B98" s="4" t="s">
        <v>506</v>
      </c>
      <c r="C98" s="4" t="s">
        <v>507</v>
      </c>
      <c r="D98" s="8">
        <v>0.15</v>
      </c>
      <c r="E98" s="8">
        <v>0.15</v>
      </c>
      <c r="F98" s="8">
        <v>0.15</v>
      </c>
      <c r="G98" s="8">
        <v>0.15</v>
      </c>
      <c r="H98" s="4">
        <f t="shared" si="1"/>
        <v>20</v>
      </c>
      <c r="I98" s="4"/>
      <c r="J98" s="4"/>
      <c r="K98" s="4"/>
      <c r="L98" s="4"/>
      <c r="M98" s="4"/>
      <c r="N98" s="4"/>
      <c r="O98" s="4"/>
      <c r="P98" s="4"/>
      <c r="Q98" s="4"/>
      <c r="R98" s="4"/>
      <c r="S98" s="4"/>
      <c r="T98" s="4"/>
      <c r="U98" s="4"/>
      <c r="V98" s="4"/>
      <c r="W98" s="4"/>
      <c r="X98" s="4"/>
    </row>
    <row r="99" ht="9.0" customHeight="1">
      <c r="A99" s="5">
        <f t="shared" si="2"/>
        <v>98</v>
      </c>
      <c r="B99" s="4" t="s">
        <v>512</v>
      </c>
      <c r="C99" s="4" t="s">
        <v>513</v>
      </c>
      <c r="D99" s="8">
        <v>0.15</v>
      </c>
      <c r="E99" s="8">
        <v>0.15</v>
      </c>
      <c r="F99" s="8">
        <v>0.15</v>
      </c>
      <c r="G99" s="8">
        <v>0.15</v>
      </c>
      <c r="H99" s="4">
        <f t="shared" si="1"/>
        <v>20</v>
      </c>
      <c r="I99" s="4"/>
      <c r="J99" s="4"/>
      <c r="K99" s="4"/>
      <c r="L99" s="4"/>
      <c r="M99" s="4"/>
      <c r="N99" s="4"/>
      <c r="O99" s="4"/>
      <c r="P99" s="4"/>
      <c r="Q99" s="4"/>
      <c r="R99" s="4"/>
      <c r="S99" s="4"/>
      <c r="T99" s="4"/>
      <c r="U99" s="4"/>
      <c r="V99" s="4"/>
      <c r="W99" s="4"/>
      <c r="X99" s="4"/>
    </row>
    <row r="100" ht="9.0" customHeight="1">
      <c r="A100" s="5">
        <f t="shared" si="2"/>
        <v>99</v>
      </c>
      <c r="B100" s="4" t="s">
        <v>518</v>
      </c>
      <c r="C100" s="4" t="s">
        <v>518</v>
      </c>
      <c r="D100" s="8">
        <v>0.15</v>
      </c>
      <c r="E100" s="8">
        <v>0.15</v>
      </c>
      <c r="F100" s="8">
        <v>0.15</v>
      </c>
      <c r="G100" s="8">
        <v>0.15</v>
      </c>
      <c r="H100" s="4">
        <f t="shared" si="1"/>
        <v>20</v>
      </c>
      <c r="I100" s="4"/>
      <c r="J100" s="4"/>
      <c r="K100" s="4"/>
      <c r="L100" s="4"/>
      <c r="M100" s="4"/>
      <c r="N100" s="4"/>
      <c r="O100" s="4"/>
      <c r="P100" s="4"/>
      <c r="Q100" s="4"/>
      <c r="R100" s="4"/>
      <c r="S100" s="4"/>
      <c r="T100" s="4"/>
      <c r="U100" s="4"/>
      <c r="V100" s="4"/>
      <c r="W100" s="4"/>
      <c r="X100" s="4"/>
    </row>
    <row r="101" ht="9.0" customHeight="1">
      <c r="A101" s="5">
        <f t="shared" si="2"/>
        <v>100</v>
      </c>
      <c r="B101" s="4" t="s">
        <v>523</v>
      </c>
      <c r="C101" s="4" t="s">
        <v>523</v>
      </c>
      <c r="D101" s="8">
        <v>0.15</v>
      </c>
      <c r="E101" s="8">
        <v>0.15</v>
      </c>
      <c r="F101" s="8">
        <v>0.15</v>
      </c>
      <c r="G101" s="8">
        <v>0.15</v>
      </c>
      <c r="H101" s="4">
        <f t="shared" si="1"/>
        <v>20</v>
      </c>
      <c r="I101" s="4"/>
      <c r="J101" s="4"/>
      <c r="K101" s="4"/>
      <c r="L101" s="4"/>
      <c r="M101" s="4"/>
      <c r="N101" s="4"/>
      <c r="O101" s="4"/>
      <c r="P101" s="4"/>
      <c r="Q101" s="4"/>
      <c r="R101" s="4"/>
      <c r="S101" s="4"/>
      <c r="T101" s="4"/>
      <c r="U101" s="4"/>
      <c r="V101" s="4"/>
      <c r="W101" s="4"/>
      <c r="X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9" t="s">
        <v>2</v>
      </c>
      <c r="B1" s="10" t="s">
        <v>3</v>
      </c>
      <c r="C1" s="11" t="s">
        <v>533</v>
      </c>
      <c r="D1" s="11" t="s">
        <v>534</v>
      </c>
    </row>
    <row r="2" ht="36.0" customHeight="1">
      <c r="A2" s="12">
        <v>1.0</v>
      </c>
      <c r="B2" s="13" t="str">
        <f>VLOOKUP(A2,companies!$A:$B,2,FALSE)</f>
        <v>3M</v>
      </c>
      <c r="C2" s="14" t="s">
        <v>535</v>
      </c>
      <c r="D2" s="14">
        <v>2020.0</v>
      </c>
    </row>
    <row r="3">
      <c r="A3" s="12">
        <f t="shared" ref="A3:A20" si="1">A2+1</f>
        <v>2</v>
      </c>
      <c r="B3" s="13" t="str">
        <f>VLOOKUP(A3,companies!$A:$B,2,FALSE)</f>
        <v>Abbott Laboratories</v>
      </c>
      <c r="C3" s="14" t="s">
        <v>535</v>
      </c>
      <c r="D3" s="14">
        <v>2020.0</v>
      </c>
    </row>
    <row r="4">
      <c r="A4" s="12">
        <f t="shared" si="1"/>
        <v>3</v>
      </c>
      <c r="B4" s="13" t="str">
        <f>VLOOKUP(A4,companies!$A:$B,2,FALSE)</f>
        <v>AbbVie Inc.</v>
      </c>
      <c r="C4" s="14" t="s">
        <v>535</v>
      </c>
      <c r="D4" s="14">
        <v>2020.0</v>
      </c>
    </row>
    <row r="5">
      <c r="A5" s="12">
        <f t="shared" si="1"/>
        <v>4</v>
      </c>
      <c r="B5" s="13" t="str">
        <f>VLOOKUP(A5,companies!$A:$B,2,FALSE)</f>
        <v>Accenture</v>
      </c>
      <c r="C5" s="14" t="s">
        <v>535</v>
      </c>
      <c r="D5" s="14">
        <v>2020.0</v>
      </c>
    </row>
    <row r="6">
      <c r="A6" s="12">
        <f t="shared" si="1"/>
        <v>5</v>
      </c>
      <c r="B6" s="13" t="str">
        <f>VLOOKUP(A6,companies!$A:$B,2,FALSE)</f>
        <v>Adobe Inc.</v>
      </c>
      <c r="C6" s="14" t="s">
        <v>535</v>
      </c>
      <c r="D6" s="14">
        <v>2020.0</v>
      </c>
    </row>
    <row r="7">
      <c r="A7" s="12">
        <f t="shared" si="1"/>
        <v>6</v>
      </c>
      <c r="B7" s="13" t="str">
        <f>VLOOKUP(A7,companies!$A:$B,2,FALSE)</f>
        <v>Allstate Corp</v>
      </c>
      <c r="C7" s="14" t="s">
        <v>535</v>
      </c>
      <c r="D7" s="14">
        <v>2020.0</v>
      </c>
    </row>
    <row r="8">
      <c r="A8" s="12">
        <f t="shared" si="1"/>
        <v>7</v>
      </c>
      <c r="B8" s="13" t="str">
        <f>VLOOKUP(A8,companies!$A:$B,2,FALSE)</f>
        <v>Alphabet Inc. Google</v>
      </c>
      <c r="C8" s="14" t="s">
        <v>535</v>
      </c>
      <c r="D8" s="14">
        <v>2019.0</v>
      </c>
    </row>
    <row r="9">
      <c r="A9" s="12">
        <f t="shared" si="1"/>
        <v>8</v>
      </c>
      <c r="B9" s="13" t="str">
        <f>VLOOKUP(A9,companies!$A:$B,2,FALSE)</f>
        <v>Altria Group Inc</v>
      </c>
      <c r="C9" s="14" t="s">
        <v>535</v>
      </c>
      <c r="D9" s="14">
        <v>2020.0</v>
      </c>
    </row>
    <row r="10">
      <c r="A10" s="12">
        <f t="shared" si="1"/>
        <v>9</v>
      </c>
      <c r="B10" s="13" t="str">
        <f>VLOOKUP(A10,companies!$A:$B,2,FALSE)</f>
        <v>Amazon.com Inc.</v>
      </c>
      <c r="C10" s="14" t="s">
        <v>535</v>
      </c>
      <c r="D10" s="14">
        <v>2020.0</v>
      </c>
    </row>
    <row r="11">
      <c r="A11" s="12">
        <f t="shared" si="1"/>
        <v>10</v>
      </c>
      <c r="B11" s="13" t="str">
        <f>VLOOKUP(A11,companies!$A:$B,2,FALSE)</f>
        <v>American Express</v>
      </c>
      <c r="C11" s="14" t="s">
        <v>535</v>
      </c>
      <c r="D11" s="14">
        <v>2019.0</v>
      </c>
    </row>
    <row r="12" ht="25.5" customHeight="1">
      <c r="A12" s="12">
        <f t="shared" si="1"/>
        <v>11</v>
      </c>
      <c r="B12" s="13" t="str">
        <f>VLOOKUP(A12,companies!$A:$B,2,FALSE)</f>
        <v>American International Group (AIG)</v>
      </c>
      <c r="C12" s="15">
        <v>44204.0</v>
      </c>
      <c r="D12" s="14">
        <v>2020.0</v>
      </c>
    </row>
    <row r="13">
      <c r="A13" s="12">
        <f t="shared" si="1"/>
        <v>12</v>
      </c>
      <c r="B13" s="13" t="str">
        <f>VLOOKUP(A13,companies!$A:$B,2,FALSE)</f>
        <v>American Tower</v>
      </c>
      <c r="C13" s="15">
        <v>44204.0</v>
      </c>
      <c r="D13" s="14">
        <v>2019.0</v>
      </c>
    </row>
    <row r="14">
      <c r="A14" s="12">
        <f t="shared" si="1"/>
        <v>13</v>
      </c>
      <c r="B14" s="13" t="str">
        <f>VLOOKUP(A14,companies!$A:$B,2,FALSE)</f>
        <v>Amgen Inc.</v>
      </c>
      <c r="C14" s="15">
        <v>44204.0</v>
      </c>
      <c r="D14" s="14">
        <v>2019.0</v>
      </c>
    </row>
    <row r="15">
      <c r="A15" s="12">
        <f t="shared" si="1"/>
        <v>14</v>
      </c>
      <c r="B15" s="13" t="str">
        <f>VLOOKUP(A15,companies!$A:$B,2,FALSE)</f>
        <v>Apple Inc.</v>
      </c>
      <c r="C15" s="15">
        <v>44204.0</v>
      </c>
      <c r="D15" s="14">
        <v>2020.0</v>
      </c>
    </row>
    <row r="16">
      <c r="A16" s="12">
        <f t="shared" si="1"/>
        <v>15</v>
      </c>
      <c r="B16" s="13" t="str">
        <f>VLOOKUP(A16,companies!$A:$B,2,FALSE)</f>
        <v>AT&amp;T Inc.</v>
      </c>
      <c r="C16" s="15">
        <v>44204.0</v>
      </c>
      <c r="D16" s="14">
        <v>2019.0</v>
      </c>
    </row>
    <row r="17">
      <c r="A17" s="12">
        <f t="shared" si="1"/>
        <v>16</v>
      </c>
      <c r="B17" s="13" t="str">
        <f>VLOOKUP(A17,companies!$A:$B,2,FALSE)</f>
        <v>Bank of America</v>
      </c>
      <c r="C17" s="15">
        <v>44235.0</v>
      </c>
      <c r="D17" s="14">
        <v>2020.0</v>
      </c>
    </row>
    <row r="18">
      <c r="A18" s="12">
        <f t="shared" si="1"/>
        <v>17</v>
      </c>
      <c r="B18" s="13" t="str">
        <f>VLOOKUP(A18,companies!$A:$B,2,FALSE)</f>
        <v>Berkshire Hathaway Inc.</v>
      </c>
      <c r="C18" s="15">
        <v>44235.0</v>
      </c>
      <c r="D18" s="14" t="s">
        <v>536</v>
      </c>
    </row>
    <row r="19">
      <c r="A19" s="12">
        <f t="shared" si="1"/>
        <v>18</v>
      </c>
      <c r="B19" s="13" t="str">
        <f>VLOOKUP(A19,companies!$A:$B,2,FALSE)</f>
        <v>Biogen Inc.</v>
      </c>
      <c r="C19" s="15">
        <v>44235.0</v>
      </c>
      <c r="D19" s="14">
        <v>2020.0</v>
      </c>
    </row>
    <row r="20">
      <c r="A20" s="12">
        <f t="shared" si="1"/>
        <v>19</v>
      </c>
      <c r="B20" s="13" t="str">
        <f>VLOOKUP(A20,companies!$A:$B,2,FALSE)</f>
        <v>BlackRock Inc.</v>
      </c>
      <c r="C20" s="15">
        <v>44235.0</v>
      </c>
      <c r="D20" s="14">
        <v>2020.0</v>
      </c>
    </row>
    <row r="21">
      <c r="A21" s="12">
        <v>66.0</v>
      </c>
      <c r="B21" s="13" t="str">
        <f>VLOOKUP(A21,companies!$A:$B,2,FALSE)</f>
        <v>Microsoft Corp.</v>
      </c>
      <c r="C21" s="15">
        <v>44235.0</v>
      </c>
      <c r="D21" s="14">
        <v>2020.0</v>
      </c>
    </row>
    <row r="22">
      <c r="A22" s="12"/>
      <c r="B22" s="13"/>
      <c r="C22" s="15"/>
      <c r="D22" s="14"/>
    </row>
    <row r="23">
      <c r="A23" s="12"/>
      <c r="B23" s="13"/>
      <c r="C23" s="15"/>
      <c r="D23" s="14"/>
    </row>
    <row r="24">
      <c r="A24" s="12"/>
      <c r="B24" s="13"/>
      <c r="C24" s="15"/>
      <c r="D24" s="14"/>
    </row>
    <row r="25">
      <c r="A25" s="12"/>
      <c r="B25" s="13"/>
      <c r="C25" s="15"/>
      <c r="D25" s="14"/>
    </row>
    <row r="26">
      <c r="A26" s="12"/>
      <c r="B26" s="13"/>
      <c r="C26" s="15"/>
      <c r="D26" s="15"/>
    </row>
    <row r="27">
      <c r="A27" s="12"/>
      <c r="B27" s="13"/>
      <c r="C27" s="15"/>
      <c r="D27" s="15"/>
    </row>
    <row r="28">
      <c r="A28" s="12"/>
      <c r="B28" s="13"/>
      <c r="C28" s="15"/>
      <c r="D28" s="15"/>
    </row>
    <row r="29">
      <c r="A29" s="12"/>
      <c r="B29" s="13"/>
      <c r="C29" s="15"/>
      <c r="D29" s="15"/>
    </row>
    <row r="30">
      <c r="A30" s="12"/>
      <c r="B30" s="13"/>
      <c r="C30" s="15"/>
      <c r="D30" s="15"/>
    </row>
    <row r="31">
      <c r="A31" s="12"/>
      <c r="B31" s="13"/>
      <c r="C31" s="15"/>
      <c r="D31" s="15"/>
    </row>
    <row r="32">
      <c r="A32" s="12"/>
      <c r="B32" s="13"/>
      <c r="C32" s="15"/>
      <c r="D32" s="15"/>
    </row>
    <row r="33">
      <c r="A33" s="12"/>
      <c r="B33" s="13"/>
      <c r="C33" s="15"/>
      <c r="D33" s="15"/>
    </row>
    <row r="34">
      <c r="A34" s="12"/>
      <c r="B34" s="13"/>
      <c r="C34" s="15"/>
      <c r="D34" s="15"/>
    </row>
    <row r="35">
      <c r="A35" s="12"/>
      <c r="B35" s="13"/>
      <c r="C35" s="15"/>
      <c r="D35" s="15"/>
    </row>
    <row r="36">
      <c r="A36" s="12"/>
      <c r="B36" s="13"/>
      <c r="C36" s="15"/>
      <c r="D36" s="15"/>
    </row>
    <row r="37">
      <c r="A37" s="12"/>
      <c r="B37" s="13"/>
      <c r="C37" s="15"/>
      <c r="D37" s="15"/>
    </row>
    <row r="38">
      <c r="A38" s="12"/>
      <c r="B38" s="13"/>
      <c r="C38" s="15"/>
      <c r="D38" s="15"/>
    </row>
    <row r="39">
      <c r="A39" s="12"/>
      <c r="B39" s="13"/>
      <c r="C39" s="15"/>
      <c r="D39"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6" t="s">
        <v>2</v>
      </c>
      <c r="B1" s="17"/>
      <c r="C1" s="18" t="s">
        <v>537</v>
      </c>
      <c r="D1" s="18" t="s">
        <v>538</v>
      </c>
      <c r="E1" s="19" t="s">
        <v>539</v>
      </c>
      <c r="F1" s="19" t="s">
        <v>540</v>
      </c>
      <c r="G1" s="18" t="s">
        <v>541</v>
      </c>
      <c r="H1" s="18" t="s">
        <v>542</v>
      </c>
      <c r="I1" s="19" t="s">
        <v>543</v>
      </c>
      <c r="J1" s="19" t="s">
        <v>544</v>
      </c>
      <c r="K1" s="19" t="s">
        <v>545</v>
      </c>
      <c r="L1" s="19" t="s">
        <v>546</v>
      </c>
      <c r="M1" s="19" t="s">
        <v>547</v>
      </c>
      <c r="N1" s="18"/>
      <c r="O1" s="20" t="s">
        <v>548</v>
      </c>
      <c r="P1" s="21" t="s">
        <v>549</v>
      </c>
      <c r="Q1" s="19" t="s">
        <v>550</v>
      </c>
    </row>
    <row r="2">
      <c r="A2" s="22"/>
      <c r="B2" s="23" t="s">
        <v>551</v>
      </c>
      <c r="C2" s="23"/>
      <c r="D2" s="23"/>
      <c r="E2" s="23" t="s">
        <v>552</v>
      </c>
      <c r="F2" s="23" t="s">
        <v>553</v>
      </c>
      <c r="G2" s="23" t="s">
        <v>554</v>
      </c>
      <c r="H2" s="23" t="s">
        <v>555</v>
      </c>
      <c r="I2" s="23" t="s">
        <v>556</v>
      </c>
      <c r="J2" s="23" t="s">
        <v>553</v>
      </c>
      <c r="K2" s="23" t="s">
        <v>554</v>
      </c>
      <c r="L2" s="23" t="s">
        <v>555</v>
      </c>
      <c r="M2" s="23" t="s">
        <v>556</v>
      </c>
      <c r="N2" s="18"/>
      <c r="O2" s="24">
        <v>0.05</v>
      </c>
      <c r="P2" s="23"/>
      <c r="Q2" s="23"/>
      <c r="R2" s="25"/>
      <c r="S2" s="25"/>
      <c r="T2" s="25"/>
      <c r="U2" s="25"/>
      <c r="V2" s="25"/>
      <c r="W2" s="25"/>
      <c r="X2" s="25"/>
      <c r="Y2" s="25"/>
      <c r="Z2" s="25"/>
      <c r="AA2" s="25"/>
      <c r="AB2" s="25"/>
      <c r="AC2" s="25"/>
      <c r="AD2" s="25"/>
      <c r="AE2" s="25"/>
      <c r="AF2" s="25"/>
      <c r="AG2" s="25"/>
      <c r="AH2" s="25"/>
      <c r="AI2" s="25"/>
      <c r="AJ2" s="25"/>
      <c r="AK2" s="25"/>
      <c r="AL2" s="25"/>
      <c r="AM2" s="25"/>
      <c r="AN2" s="25"/>
      <c r="AO2" s="25"/>
      <c r="AP2" s="25"/>
    </row>
    <row r="3" ht="12.75" customHeight="1">
      <c r="A3" s="22">
        <v>1.0</v>
      </c>
      <c r="B3" s="26"/>
      <c r="C3" s="26">
        <f>VLOOKUP($A3,reporting!$A:$D,COLUMN(last_reporting_year),FALSE)</f>
        <v>2020</v>
      </c>
      <c r="D3" s="26">
        <f t="shared" ref="D3:D22" si="1">IF(ISNUMBER(C3),C3-1,"NR")</f>
        <v>2019</v>
      </c>
      <c r="E3" s="27" t="b">
        <f t="shared" ref="E3:E22" si="2">NOT(AND(C3="NR",D3="NR"))</f>
        <v>1</v>
      </c>
      <c r="F3" s="27" t="b">
        <f t="array" ref="F3">IF(ISNUMBER(index(scope_1,MATCH("id"&amp;$A3&amp;"year"&amp;$C3,ghg!$AR:$AR,0))),TRUE,FALSE)</f>
        <v>1</v>
      </c>
      <c r="G3" s="26" t="b">
        <f t="array" ref="G3">IF(ISNUMBER(index(scope_2_loc,MATCH("id"&amp;$A3&amp;"year"&amp;$C3,ghg!$AR:$AR,0))),TRUE,FALSE)</f>
        <v>1</v>
      </c>
      <c r="H3" s="26" t="b">
        <f t="array" ref="H3">IF(ISNUMBER(index(scope_2_mkt,MATCH("id"&amp;$A3&amp;"year"&amp;$C3,ghg!$AR:$AR,0))),TRUE,FALSE)</f>
        <v>1</v>
      </c>
      <c r="I3" s="27" t="b">
        <f t="shared" ref="I3:I22" si="3">OR(G3,H3)</f>
        <v>1</v>
      </c>
      <c r="J3" s="27" t="b">
        <f t="array" ref="J3">IF(ISNUMBER(index(scope_1,MATCH("id"&amp;$A3&amp;"year"&amp;$D3,ghg!$AR:$AR,0))),TRUE,FALSE)</f>
        <v>1</v>
      </c>
      <c r="K3" s="26" t="b">
        <f t="array" ref="K3">IF(ISNUMBER(index(scope_2_loc,MATCH("id"&amp;$A3&amp;"year"&amp;$D3,ghg!$AR:$AR,0))),TRUE,FALSE)</f>
        <v>1</v>
      </c>
      <c r="L3" s="26" t="b">
        <f t="array" ref="L3">IF(ISNUMBER(index(scope_2_mkt,MATCH("id"&amp;$A3&amp;"year"&amp;$D3,ghg!$AR:$AR,0))),TRUE,FALSE)</f>
        <v>1</v>
      </c>
      <c r="M3" s="27" t="b">
        <f t="shared" ref="M3:M22" si="4">OR(K3,L3)</f>
        <v>1</v>
      </c>
      <c r="N3" s="26"/>
      <c r="O3" s="25"/>
      <c r="P3" s="28" t="b">
        <f t="shared" ref="P3:P22" si="5">AND(E3,F3,I3,J3,M3)</f>
        <v>1</v>
      </c>
      <c r="Q3" s="29">
        <f t="shared" ref="Q3:Q22" si="6">P3*O$2</f>
        <v>0.05</v>
      </c>
      <c r="R3" s="25"/>
      <c r="S3" s="25"/>
      <c r="T3" s="25"/>
      <c r="U3" s="25"/>
      <c r="V3" s="25"/>
      <c r="W3" s="25"/>
      <c r="X3" s="25"/>
      <c r="Y3" s="25"/>
      <c r="Z3" s="25"/>
      <c r="AA3" s="25"/>
      <c r="AB3" s="25"/>
      <c r="AC3" s="25"/>
      <c r="AD3" s="25"/>
      <c r="AE3" s="25"/>
      <c r="AF3" s="25"/>
      <c r="AG3" s="25"/>
      <c r="AH3" s="25"/>
      <c r="AI3" s="25"/>
      <c r="AJ3" s="25"/>
      <c r="AK3" s="25"/>
      <c r="AL3" s="25"/>
      <c r="AM3" s="25"/>
      <c r="AN3" s="25"/>
      <c r="AO3" s="25"/>
      <c r="AP3" s="25"/>
    </row>
    <row r="4" ht="12.75" customHeight="1">
      <c r="A4" s="22">
        <f t="shared" ref="A4:A21" si="7">A3+1</f>
        <v>2</v>
      </c>
      <c r="B4" s="26"/>
      <c r="C4" s="26">
        <f>VLOOKUP($A4,reporting!$A:$D,COLUMN(last_reporting_year),FALSE)</f>
        <v>2020</v>
      </c>
      <c r="D4" s="26">
        <f t="shared" si="1"/>
        <v>2019</v>
      </c>
      <c r="E4" s="27" t="b">
        <f t="shared" si="2"/>
        <v>1</v>
      </c>
      <c r="F4" s="27" t="b">
        <f t="array" ref="F4">IF(ISNUMBER(index(scope_1,MATCH("id"&amp;$A4&amp;"year"&amp;$C4,ghg!$AR:$AR,0))),TRUE,FALSE)</f>
        <v>1</v>
      </c>
      <c r="G4" s="26" t="b">
        <f t="array" ref="G4">IF(ISNUMBER(index(scope_2_loc,MATCH("id"&amp;$A4&amp;"year"&amp;$C4,ghg!$AR:$AR,0))),TRUE,FALSE)</f>
        <v>1</v>
      </c>
      <c r="H4" s="26" t="b">
        <f t="array" ref="H4">IF(ISNUMBER(index(scope_2_mkt,MATCH("id"&amp;$A4&amp;"year"&amp;$C4,ghg!$AR:$AR,0))),TRUE,FALSE)</f>
        <v>1</v>
      </c>
      <c r="I4" s="27" t="b">
        <f t="shared" si="3"/>
        <v>1</v>
      </c>
      <c r="J4" s="27" t="b">
        <f t="array" ref="J4">IF(ISNUMBER(index(scope_1,MATCH("id"&amp;$A4&amp;"year"&amp;$D4,ghg!$AR:$AR,0))),TRUE,FALSE)</f>
        <v>1</v>
      </c>
      <c r="K4" s="26" t="b">
        <f t="array" ref="K4">IF(ISNUMBER(index(scope_2_loc,MATCH("id"&amp;$A4&amp;"year"&amp;$D4,ghg!$AR:$AR,0))),TRUE,FALSE)</f>
        <v>1</v>
      </c>
      <c r="L4" s="26" t="b">
        <f t="array" ref="L4">IF(ISNUMBER(index(scope_2_mkt,MATCH("id"&amp;$A4&amp;"year"&amp;$D4,ghg!$AR:$AR,0))),TRUE,FALSE)</f>
        <v>1</v>
      </c>
      <c r="M4" s="27" t="b">
        <f t="shared" si="4"/>
        <v>1</v>
      </c>
      <c r="N4" s="26"/>
      <c r="O4" s="25"/>
      <c r="P4" s="28" t="b">
        <f t="shared" si="5"/>
        <v>1</v>
      </c>
      <c r="Q4" s="29">
        <f t="shared" si="6"/>
        <v>0.05</v>
      </c>
      <c r="R4" s="25"/>
      <c r="S4" s="25"/>
      <c r="T4" s="25"/>
      <c r="U4" s="25"/>
      <c r="V4" s="25"/>
      <c r="W4" s="25"/>
      <c r="X4" s="25"/>
      <c r="Y4" s="25"/>
      <c r="Z4" s="25"/>
      <c r="AA4" s="25"/>
      <c r="AB4" s="25"/>
      <c r="AC4" s="25"/>
      <c r="AD4" s="25"/>
      <c r="AE4" s="25"/>
      <c r="AF4" s="25"/>
      <c r="AG4" s="25"/>
      <c r="AH4" s="25"/>
      <c r="AI4" s="25"/>
      <c r="AJ4" s="25"/>
      <c r="AK4" s="25"/>
      <c r="AL4" s="25"/>
      <c r="AM4" s="25"/>
      <c r="AN4" s="25"/>
      <c r="AO4" s="25"/>
      <c r="AP4" s="25"/>
    </row>
    <row r="5" ht="12.75" customHeight="1">
      <c r="A5" s="22">
        <f t="shared" si="7"/>
        <v>3</v>
      </c>
      <c r="B5" s="26"/>
      <c r="C5" s="26">
        <f>VLOOKUP($A5,reporting!$A:$D,COLUMN(last_reporting_year),FALSE)</f>
        <v>2020</v>
      </c>
      <c r="D5" s="26">
        <f t="shared" si="1"/>
        <v>2019</v>
      </c>
      <c r="E5" s="27" t="b">
        <f t="shared" si="2"/>
        <v>1</v>
      </c>
      <c r="F5" s="27" t="b">
        <f t="array" ref="F5">IF(ISNUMBER(index(scope_1,MATCH("id"&amp;$A5&amp;"year"&amp;$C5,ghg!$AR:$AR,0))),TRUE,FALSE)</f>
        <v>1</v>
      </c>
      <c r="G5" s="26" t="b">
        <f t="array" ref="G5">IF(ISNUMBER(index(scope_2_loc,MATCH("id"&amp;$A5&amp;"year"&amp;$C5,ghg!$AR:$AR,0))),TRUE,FALSE)</f>
        <v>1</v>
      </c>
      <c r="H5" s="26" t="b">
        <f t="array" ref="H5">IF(ISNUMBER(index(scope_2_mkt,MATCH("id"&amp;$A5&amp;"year"&amp;$C5,ghg!$AR:$AR,0))),TRUE,FALSE)</f>
        <v>1</v>
      </c>
      <c r="I5" s="27" t="b">
        <f t="shared" si="3"/>
        <v>1</v>
      </c>
      <c r="J5" s="27" t="b">
        <f t="array" ref="J5">IF(ISNUMBER(index(scope_1,MATCH("id"&amp;$A5&amp;"year"&amp;$D5,ghg!$AR:$AR,0))),TRUE,FALSE)</f>
        <v>1</v>
      </c>
      <c r="K5" s="26" t="b">
        <f t="array" ref="K5">IF(ISNUMBER(index(scope_2_loc,MATCH("id"&amp;$A5&amp;"year"&amp;$D5,ghg!$AR:$AR,0))),TRUE,FALSE)</f>
        <v>1</v>
      </c>
      <c r="L5" s="26" t="b">
        <f t="array" ref="L5">IF(ISNUMBER(index(scope_2_mkt,MATCH("id"&amp;$A5&amp;"year"&amp;$D5,ghg!$AR:$AR,0))),TRUE,FALSE)</f>
        <v>1</v>
      </c>
      <c r="M5" s="27" t="b">
        <f t="shared" si="4"/>
        <v>1</v>
      </c>
      <c r="N5" s="26"/>
      <c r="O5" s="25"/>
      <c r="P5" s="28" t="b">
        <f t="shared" si="5"/>
        <v>1</v>
      </c>
      <c r="Q5" s="29">
        <f t="shared" si="6"/>
        <v>0.05</v>
      </c>
      <c r="R5" s="25"/>
      <c r="S5" s="25"/>
      <c r="T5" s="25"/>
      <c r="U5" s="25"/>
      <c r="V5" s="25"/>
      <c r="W5" s="25"/>
      <c r="X5" s="25"/>
      <c r="Y5" s="25"/>
      <c r="Z5" s="25"/>
      <c r="AA5" s="25"/>
      <c r="AB5" s="25"/>
      <c r="AC5" s="25"/>
      <c r="AD5" s="25"/>
      <c r="AE5" s="25"/>
      <c r="AF5" s="25"/>
      <c r="AG5" s="25"/>
      <c r="AH5" s="25"/>
      <c r="AI5" s="25"/>
      <c r="AJ5" s="25"/>
      <c r="AK5" s="25"/>
      <c r="AL5" s="25"/>
      <c r="AM5" s="25"/>
      <c r="AN5" s="25"/>
      <c r="AO5" s="25"/>
      <c r="AP5" s="25"/>
    </row>
    <row r="6" ht="12.75" customHeight="1">
      <c r="A6" s="22">
        <f t="shared" si="7"/>
        <v>4</v>
      </c>
      <c r="B6" s="26"/>
      <c r="C6" s="26">
        <f>VLOOKUP($A6,reporting!$A:$D,COLUMN(last_reporting_year),FALSE)</f>
        <v>2020</v>
      </c>
      <c r="D6" s="26">
        <f t="shared" si="1"/>
        <v>2019</v>
      </c>
      <c r="E6" s="27" t="b">
        <f t="shared" si="2"/>
        <v>1</v>
      </c>
      <c r="F6" s="27" t="b">
        <f t="array" ref="F6">IF(ISNUMBER(index(scope_1,MATCH("id"&amp;$A6&amp;"year"&amp;$C6,ghg!$AR:$AR,0))),TRUE,FALSE)</f>
        <v>1</v>
      </c>
      <c r="G6" s="26" t="b">
        <f t="array" ref="G6">IF(ISNUMBER(index(scope_2_loc,MATCH("id"&amp;$A6&amp;"year"&amp;$C6,ghg!$AR:$AR,0))),TRUE,FALSE)</f>
        <v>1</v>
      </c>
      <c r="H6" s="26" t="b">
        <f t="array" ref="H6">IF(ISNUMBER(index(scope_2_mkt,MATCH("id"&amp;$A6&amp;"year"&amp;$C6,ghg!$AR:$AR,0))),TRUE,FALSE)</f>
        <v>1</v>
      </c>
      <c r="I6" s="27" t="b">
        <f t="shared" si="3"/>
        <v>1</v>
      </c>
      <c r="J6" s="27" t="b">
        <f t="array" ref="J6">IF(ISNUMBER(index(scope_1,MATCH("id"&amp;$A6&amp;"year"&amp;$D6,ghg!$AR:$AR,0))),TRUE,FALSE)</f>
        <v>1</v>
      </c>
      <c r="K6" s="26" t="b">
        <f t="array" ref="K6">IF(ISNUMBER(index(scope_2_loc,MATCH("id"&amp;$A6&amp;"year"&amp;$D6,ghg!$AR:$AR,0))),TRUE,FALSE)</f>
        <v>0</v>
      </c>
      <c r="L6" s="26" t="b">
        <f t="array" ref="L6">IF(ISNUMBER(index(scope_2_mkt,MATCH("id"&amp;$A6&amp;"year"&amp;$D6,ghg!$AR:$AR,0))),TRUE,FALSE)</f>
        <v>1</v>
      </c>
      <c r="M6" s="27" t="b">
        <f t="shared" si="4"/>
        <v>1</v>
      </c>
      <c r="N6" s="26"/>
      <c r="O6" s="25"/>
      <c r="P6" s="28" t="b">
        <f t="shared" si="5"/>
        <v>1</v>
      </c>
      <c r="Q6" s="29">
        <f t="shared" si="6"/>
        <v>0.05</v>
      </c>
      <c r="R6" s="25"/>
      <c r="S6" s="25"/>
      <c r="T6" s="25"/>
      <c r="U6" s="25"/>
      <c r="V6" s="25"/>
      <c r="W6" s="25"/>
      <c r="X6" s="25"/>
      <c r="Y6" s="25"/>
      <c r="Z6" s="25"/>
      <c r="AA6" s="25"/>
      <c r="AB6" s="25"/>
      <c r="AC6" s="25"/>
      <c r="AD6" s="25"/>
      <c r="AE6" s="25"/>
      <c r="AF6" s="25"/>
      <c r="AG6" s="25"/>
      <c r="AH6" s="25"/>
      <c r="AI6" s="25"/>
      <c r="AJ6" s="25"/>
      <c r="AK6" s="25"/>
      <c r="AL6" s="25"/>
      <c r="AM6" s="25"/>
      <c r="AN6" s="25"/>
      <c r="AO6" s="25"/>
      <c r="AP6" s="25"/>
    </row>
    <row r="7" ht="12.75" customHeight="1">
      <c r="A7" s="22">
        <f t="shared" si="7"/>
        <v>5</v>
      </c>
      <c r="B7" s="26"/>
      <c r="C7" s="26">
        <f>VLOOKUP($A7,reporting!$A:$D,COLUMN(last_reporting_year),FALSE)</f>
        <v>2020</v>
      </c>
      <c r="D7" s="26">
        <f t="shared" si="1"/>
        <v>2019</v>
      </c>
      <c r="E7" s="27" t="b">
        <f t="shared" si="2"/>
        <v>1</v>
      </c>
      <c r="F7" s="27" t="b">
        <f t="array" ref="F7">IF(ISNUMBER(index(scope_1,MATCH("id"&amp;$A7&amp;"year"&amp;$C7,ghg!$AR:$AR,0))),TRUE,FALSE)</f>
        <v>1</v>
      </c>
      <c r="G7" s="26" t="b">
        <f t="array" ref="G7">IF(ISNUMBER(index(scope_2_loc,MATCH("id"&amp;$A7&amp;"year"&amp;$C7,ghg!$AR:$AR,0))),TRUE,FALSE)</f>
        <v>1</v>
      </c>
      <c r="H7" s="26" t="b">
        <f t="array" ref="H7">IF(ISNUMBER(index(scope_2_mkt,MATCH("id"&amp;$A7&amp;"year"&amp;$C7,ghg!$AR:$AR,0))),TRUE,FALSE)</f>
        <v>1</v>
      </c>
      <c r="I7" s="27" t="b">
        <f t="shared" si="3"/>
        <v>1</v>
      </c>
      <c r="J7" s="27" t="b">
        <f t="array" ref="J7">IF(ISNUMBER(index(scope_1,MATCH("id"&amp;$A7&amp;"year"&amp;$D7,ghg!$AR:$AR,0))),TRUE,FALSE)</f>
        <v>1</v>
      </c>
      <c r="K7" s="26" t="b">
        <f t="array" ref="K7">IF(ISNUMBER(index(scope_2_loc,MATCH("id"&amp;$A7&amp;"year"&amp;$D7,ghg!$AR:$AR,0))),TRUE,FALSE)</f>
        <v>1</v>
      </c>
      <c r="L7" s="26" t="b">
        <f t="array" ref="L7">IF(ISNUMBER(index(scope_2_mkt,MATCH("id"&amp;$A7&amp;"year"&amp;$D7,ghg!$AR:$AR,0))),TRUE,FALSE)</f>
        <v>1</v>
      </c>
      <c r="M7" s="27" t="b">
        <f t="shared" si="4"/>
        <v>1</v>
      </c>
      <c r="N7" s="26"/>
      <c r="O7" s="25"/>
      <c r="P7" s="28" t="b">
        <f t="shared" si="5"/>
        <v>1</v>
      </c>
      <c r="Q7" s="29">
        <f t="shared" si="6"/>
        <v>0.05</v>
      </c>
      <c r="R7" s="25"/>
      <c r="S7" s="25"/>
      <c r="T7" s="25"/>
      <c r="U7" s="25"/>
      <c r="V7" s="25"/>
      <c r="W7" s="25"/>
      <c r="X7" s="25"/>
      <c r="Y7" s="25"/>
      <c r="Z7" s="25"/>
      <c r="AA7" s="25"/>
      <c r="AB7" s="25"/>
      <c r="AC7" s="25"/>
      <c r="AD7" s="25"/>
      <c r="AE7" s="25"/>
      <c r="AF7" s="25"/>
      <c r="AG7" s="25"/>
      <c r="AH7" s="25"/>
      <c r="AI7" s="25"/>
      <c r="AJ7" s="25"/>
      <c r="AK7" s="25"/>
      <c r="AL7" s="25"/>
      <c r="AM7" s="25"/>
      <c r="AN7" s="25"/>
      <c r="AO7" s="25"/>
      <c r="AP7" s="25"/>
    </row>
    <row r="8" ht="12.75" customHeight="1">
      <c r="A8" s="22">
        <f t="shared" si="7"/>
        <v>6</v>
      </c>
      <c r="B8" s="26"/>
      <c r="C8" s="26">
        <f>VLOOKUP($A8,reporting!$A:$D,COLUMN(last_reporting_year),FALSE)</f>
        <v>2020</v>
      </c>
      <c r="D8" s="26">
        <f t="shared" si="1"/>
        <v>2019</v>
      </c>
      <c r="E8" s="27" t="b">
        <f t="shared" si="2"/>
        <v>1</v>
      </c>
      <c r="F8" s="27" t="b">
        <f t="array" ref="F8">IF(ISNUMBER(index(scope_1,MATCH("id"&amp;$A8&amp;"year"&amp;$C8,ghg!$AR:$AR,0))),TRUE,FALSE)</f>
        <v>1</v>
      </c>
      <c r="G8" s="26" t="b">
        <f t="array" ref="G8">IF(ISNUMBER(index(scope_2_loc,MATCH("id"&amp;$A8&amp;"year"&amp;$C8,ghg!$AR:$AR,0))),TRUE,FALSE)</f>
        <v>1</v>
      </c>
      <c r="H8" s="26" t="b">
        <f t="array" ref="H8">IF(ISNUMBER(index(scope_2_mkt,MATCH("id"&amp;$A8&amp;"year"&amp;$C8,ghg!$AR:$AR,0))),TRUE,FALSE)</f>
        <v>1</v>
      </c>
      <c r="I8" s="27" t="b">
        <f t="shared" si="3"/>
        <v>1</v>
      </c>
      <c r="J8" s="27" t="b">
        <f t="array" ref="J8">IF(ISNUMBER(index(scope_1,MATCH("id"&amp;$A8&amp;"year"&amp;$D8,ghg!$AR:$AR,0))),TRUE,FALSE)</f>
        <v>1</v>
      </c>
      <c r="K8" s="26" t="b">
        <f t="array" ref="K8">IF(ISNUMBER(index(scope_2_loc,MATCH("id"&amp;$A8&amp;"year"&amp;$D8,ghg!$AR:$AR,0))),TRUE,FALSE)</f>
        <v>1</v>
      </c>
      <c r="L8" s="26" t="b">
        <f t="array" ref="L8">IF(ISNUMBER(index(scope_2_mkt,MATCH("id"&amp;$A8&amp;"year"&amp;$D8,ghg!$AR:$AR,0))),TRUE,FALSE)</f>
        <v>1</v>
      </c>
      <c r="M8" s="27" t="b">
        <f t="shared" si="4"/>
        <v>1</v>
      </c>
      <c r="N8" s="26"/>
      <c r="O8" s="25"/>
      <c r="P8" s="28" t="b">
        <f t="shared" si="5"/>
        <v>1</v>
      </c>
      <c r="Q8" s="29">
        <f t="shared" si="6"/>
        <v>0.05</v>
      </c>
      <c r="R8" s="25"/>
      <c r="S8" s="25"/>
      <c r="T8" s="25"/>
      <c r="U8" s="25"/>
      <c r="V8" s="25"/>
      <c r="W8" s="25"/>
      <c r="X8" s="25"/>
      <c r="Y8" s="25"/>
      <c r="Z8" s="25"/>
      <c r="AA8" s="25"/>
      <c r="AB8" s="25"/>
      <c r="AC8" s="25"/>
      <c r="AD8" s="25"/>
      <c r="AE8" s="25"/>
      <c r="AF8" s="25"/>
      <c r="AG8" s="25"/>
      <c r="AH8" s="25"/>
      <c r="AI8" s="25"/>
      <c r="AJ8" s="25"/>
      <c r="AK8" s="25"/>
      <c r="AL8" s="25"/>
      <c r="AM8" s="25"/>
      <c r="AN8" s="25"/>
      <c r="AO8" s="25"/>
      <c r="AP8" s="25"/>
    </row>
    <row r="9" ht="12.75" customHeight="1">
      <c r="A9" s="22">
        <f t="shared" si="7"/>
        <v>7</v>
      </c>
      <c r="B9" s="26"/>
      <c r="C9" s="26">
        <f>VLOOKUP($A9,reporting!$A:$D,COLUMN(last_reporting_year),FALSE)</f>
        <v>2019</v>
      </c>
      <c r="D9" s="26">
        <f t="shared" si="1"/>
        <v>2018</v>
      </c>
      <c r="E9" s="27" t="b">
        <f t="shared" si="2"/>
        <v>1</v>
      </c>
      <c r="F9" s="27" t="b">
        <f t="array" ref="F9">IF(ISNUMBER(index(scope_1,MATCH("id"&amp;$A9&amp;"year"&amp;$C9,ghg!$AR:$AR,0))),TRUE,FALSE)</f>
        <v>1</v>
      </c>
      <c r="G9" s="26" t="b">
        <f t="array" ref="G9">IF(ISNUMBER(index(scope_2_loc,MATCH("id"&amp;$A9&amp;"year"&amp;$C9,ghg!$AR:$AR,0))),TRUE,FALSE)</f>
        <v>1</v>
      </c>
      <c r="H9" s="26" t="b">
        <f t="array" ref="H9">IF(ISNUMBER(index(scope_2_mkt,MATCH("id"&amp;$A9&amp;"year"&amp;$C9,ghg!$AR:$AR,0))),TRUE,FALSE)</f>
        <v>1</v>
      </c>
      <c r="I9" s="27" t="b">
        <f t="shared" si="3"/>
        <v>1</v>
      </c>
      <c r="J9" s="27" t="b">
        <f t="array" ref="J9">IF(ISNUMBER(index(scope_1,MATCH("id"&amp;$A9&amp;"year"&amp;$D9,ghg!$AR:$AR,0))),TRUE,FALSE)</f>
        <v>1</v>
      </c>
      <c r="K9" s="26" t="b">
        <f t="array" ref="K9">IF(ISNUMBER(index(scope_2_loc,MATCH("id"&amp;$A9&amp;"year"&amp;$D9,ghg!$AR:$AR,0))),TRUE,FALSE)</f>
        <v>1</v>
      </c>
      <c r="L9" s="26" t="b">
        <f t="array" ref="L9">IF(ISNUMBER(index(scope_2_mkt,MATCH("id"&amp;$A9&amp;"year"&amp;$D9,ghg!$AR:$AR,0))),TRUE,FALSE)</f>
        <v>1</v>
      </c>
      <c r="M9" s="27" t="b">
        <f t="shared" si="4"/>
        <v>1</v>
      </c>
      <c r="N9" s="26"/>
      <c r="O9" s="25"/>
      <c r="P9" s="28" t="b">
        <f t="shared" si="5"/>
        <v>1</v>
      </c>
      <c r="Q9" s="29">
        <f t="shared" si="6"/>
        <v>0.05</v>
      </c>
      <c r="R9" s="25"/>
      <c r="S9" s="25"/>
      <c r="T9" s="25"/>
      <c r="U9" s="25"/>
      <c r="V9" s="25"/>
      <c r="W9" s="25"/>
      <c r="X9" s="25"/>
      <c r="Y9" s="25"/>
      <c r="Z9" s="25"/>
      <c r="AA9" s="25"/>
      <c r="AB9" s="25"/>
      <c r="AC9" s="25"/>
      <c r="AD9" s="25"/>
      <c r="AE9" s="25"/>
      <c r="AF9" s="25"/>
      <c r="AG9" s="25"/>
      <c r="AH9" s="25"/>
      <c r="AI9" s="25"/>
      <c r="AJ9" s="25"/>
      <c r="AK9" s="25"/>
      <c r="AL9" s="25"/>
      <c r="AM9" s="25"/>
      <c r="AN9" s="25"/>
      <c r="AO9" s="25"/>
      <c r="AP9" s="25"/>
    </row>
    <row r="10" ht="12.75" customHeight="1">
      <c r="A10" s="22">
        <f t="shared" si="7"/>
        <v>8</v>
      </c>
      <c r="B10" s="26"/>
      <c r="C10" s="26">
        <f>VLOOKUP($A10,reporting!$A:$D,COLUMN(last_reporting_year),FALSE)</f>
        <v>2020</v>
      </c>
      <c r="D10" s="26">
        <f t="shared" si="1"/>
        <v>2019</v>
      </c>
      <c r="E10" s="27" t="b">
        <f t="shared" si="2"/>
        <v>1</v>
      </c>
      <c r="F10" s="27" t="b">
        <f t="array" ref="F10">IF(ISNUMBER(index(scope_1,MATCH("id"&amp;$A10&amp;"year"&amp;$C10,ghg!$AR:$AR,0))),TRUE,FALSE)</f>
        <v>1</v>
      </c>
      <c r="G10" s="26" t="b">
        <f t="array" ref="G10">IF(ISNUMBER(index(scope_2_loc,MATCH("id"&amp;$A10&amp;"year"&amp;$C10,ghg!$AR:$AR,0))),TRUE,FALSE)</f>
        <v>1</v>
      </c>
      <c r="H10" s="26" t="b">
        <f t="array" ref="H10">IF(ISNUMBER(index(scope_2_mkt,MATCH("id"&amp;$A10&amp;"year"&amp;$C10,ghg!$AR:$AR,0))),TRUE,FALSE)</f>
        <v>1</v>
      </c>
      <c r="I10" s="27" t="b">
        <f t="shared" si="3"/>
        <v>1</v>
      </c>
      <c r="J10" s="27" t="b">
        <f t="array" ref="J10">IF(ISNUMBER(index(scope_1,MATCH("id"&amp;$A10&amp;"year"&amp;$D10,ghg!$AR:$AR,0))),TRUE,FALSE)</f>
        <v>1</v>
      </c>
      <c r="K10" s="26" t="b">
        <f t="array" ref="K10">IF(ISNUMBER(index(scope_2_loc,MATCH("id"&amp;$A10&amp;"year"&amp;$D10,ghg!$AR:$AR,0))),TRUE,FALSE)</f>
        <v>1</v>
      </c>
      <c r="L10" s="26" t="b">
        <f t="array" ref="L10">IF(ISNUMBER(index(scope_2_mkt,MATCH("id"&amp;$A10&amp;"year"&amp;$D10,ghg!$AR:$AR,0))),TRUE,FALSE)</f>
        <v>1</v>
      </c>
      <c r="M10" s="27" t="b">
        <f t="shared" si="4"/>
        <v>1</v>
      </c>
      <c r="N10" s="26"/>
      <c r="O10" s="25"/>
      <c r="P10" s="28" t="b">
        <f t="shared" si="5"/>
        <v>1</v>
      </c>
      <c r="Q10" s="29">
        <f t="shared" si="6"/>
        <v>0.05</v>
      </c>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row>
    <row r="11" ht="12.75" customHeight="1">
      <c r="A11" s="22">
        <f t="shared" si="7"/>
        <v>9</v>
      </c>
      <c r="B11" s="26"/>
      <c r="C11" s="26">
        <f>VLOOKUP($A11,reporting!$A:$D,COLUMN(last_reporting_year),FALSE)</f>
        <v>2020</v>
      </c>
      <c r="D11" s="26">
        <f t="shared" si="1"/>
        <v>2019</v>
      </c>
      <c r="E11" s="27" t="b">
        <f t="shared" si="2"/>
        <v>1</v>
      </c>
      <c r="F11" s="27" t="b">
        <f t="array" ref="F11">IF(ISNUMBER(index(scope_1,MATCH("id"&amp;$A11&amp;"year"&amp;$C11,ghg!$AR:$AR,0))),TRUE,FALSE)</f>
        <v>1</v>
      </c>
      <c r="G11" s="26" t="b">
        <f t="array" ref="G11">IF(ISNUMBER(index(scope_2_loc,MATCH("id"&amp;$A11&amp;"year"&amp;$C11,ghg!$AR:$AR,0))),TRUE,FALSE)</f>
        <v>0</v>
      </c>
      <c r="H11" s="26" t="b">
        <f t="array" ref="H11">IF(ISNUMBER(index(scope_2_mkt,MATCH("id"&amp;$A11&amp;"year"&amp;$C11,ghg!$AR:$AR,0))),TRUE,FALSE)</f>
        <v>1</v>
      </c>
      <c r="I11" s="27" t="b">
        <f t="shared" si="3"/>
        <v>1</v>
      </c>
      <c r="J11" s="27" t="b">
        <f t="array" ref="J11">IF(ISNUMBER(index(scope_1,MATCH("id"&amp;$A11&amp;"year"&amp;$D11,ghg!$AR:$AR,0))),TRUE,FALSE)</f>
        <v>1</v>
      </c>
      <c r="K11" s="26" t="b">
        <f t="array" ref="K11">IF(ISNUMBER(index(scope_2_loc,MATCH("id"&amp;$A11&amp;"year"&amp;$D11,ghg!$AR:$AR,0))),TRUE,FALSE)</f>
        <v>0</v>
      </c>
      <c r="L11" s="26" t="b">
        <f t="array" ref="L11">IF(ISNUMBER(index(scope_2_mkt,MATCH("id"&amp;$A11&amp;"year"&amp;$D11,ghg!$AR:$AR,0))),TRUE,FALSE)</f>
        <v>1</v>
      </c>
      <c r="M11" s="27" t="b">
        <f t="shared" si="4"/>
        <v>1</v>
      </c>
      <c r="N11" s="26"/>
      <c r="O11" s="25"/>
      <c r="P11" s="28" t="b">
        <f t="shared" si="5"/>
        <v>1</v>
      </c>
      <c r="Q11" s="29">
        <f t="shared" si="6"/>
        <v>0.05</v>
      </c>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row>
    <row r="12" ht="12.75" customHeight="1">
      <c r="A12" s="22">
        <f t="shared" si="7"/>
        <v>10</v>
      </c>
      <c r="B12" s="26"/>
      <c r="C12" s="26">
        <f>VLOOKUP($A12,reporting!$A:$D,COLUMN(last_reporting_year),FALSE)</f>
        <v>2019</v>
      </c>
      <c r="D12" s="26">
        <f t="shared" si="1"/>
        <v>2018</v>
      </c>
      <c r="E12" s="27" t="b">
        <f t="shared" si="2"/>
        <v>1</v>
      </c>
      <c r="F12" s="27" t="b">
        <f t="array" ref="F12">IF(ISNUMBER(index(scope_1,MATCH("id"&amp;$A12&amp;"year"&amp;$C12,ghg!$AR:$AR,0))),TRUE,FALSE)</f>
        <v>1</v>
      </c>
      <c r="G12" s="26" t="b">
        <f t="array" ref="G12">IF(ISNUMBER(index(scope_2_loc,MATCH("id"&amp;$A12&amp;"year"&amp;$C12,ghg!$AR:$AR,0))),TRUE,FALSE)</f>
        <v>1</v>
      </c>
      <c r="H12" s="26" t="b">
        <f t="array" ref="H12">IF(ISNUMBER(index(scope_2_mkt,MATCH("id"&amp;$A12&amp;"year"&amp;$C12,ghg!$AR:$AR,0))),TRUE,FALSE)</f>
        <v>1</v>
      </c>
      <c r="I12" s="27" t="b">
        <f t="shared" si="3"/>
        <v>1</v>
      </c>
      <c r="J12" s="27" t="b">
        <f t="array" ref="J12">IF(ISNUMBER(index(scope_1,MATCH("id"&amp;$A12&amp;"year"&amp;$D12,ghg!$AR:$AR,0))),TRUE,FALSE)</f>
        <v>1</v>
      </c>
      <c r="K12" s="26" t="b">
        <f t="array" ref="K12">IF(ISNUMBER(index(scope_2_loc,MATCH("id"&amp;$A12&amp;"year"&amp;$D12,ghg!$AR:$AR,0))),TRUE,FALSE)</f>
        <v>1</v>
      </c>
      <c r="L12" s="26" t="b">
        <f t="array" ref="L12">IF(ISNUMBER(index(scope_2_mkt,MATCH("id"&amp;$A12&amp;"year"&amp;$D12,ghg!$AR:$AR,0))),TRUE,FALSE)</f>
        <v>1</v>
      </c>
      <c r="M12" s="27" t="b">
        <f t="shared" si="4"/>
        <v>1</v>
      </c>
      <c r="N12" s="26"/>
      <c r="O12" s="25"/>
      <c r="P12" s="28" t="b">
        <f t="shared" si="5"/>
        <v>1</v>
      </c>
      <c r="Q12" s="29">
        <f t="shared" si="6"/>
        <v>0.05</v>
      </c>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row>
    <row r="13" ht="12.75" customHeight="1">
      <c r="A13" s="22">
        <f t="shared" si="7"/>
        <v>11</v>
      </c>
      <c r="B13" s="26"/>
      <c r="C13" s="26">
        <f>VLOOKUP($A13,reporting!$A:$D,COLUMN(last_reporting_year),FALSE)</f>
        <v>2020</v>
      </c>
      <c r="D13" s="26">
        <f t="shared" si="1"/>
        <v>2019</v>
      </c>
      <c r="E13" s="27" t="b">
        <f t="shared" si="2"/>
        <v>1</v>
      </c>
      <c r="F13" s="27" t="b">
        <f t="array" ref="F13">IF(ISNUMBER(index(scope_1,MATCH("id"&amp;$A13&amp;"year"&amp;$C13,ghg!$AR:$AR,0))),TRUE,FALSE)</f>
        <v>1</v>
      </c>
      <c r="G13" s="26" t="b">
        <f t="array" ref="G13">IF(ISNUMBER(index(scope_2_loc,MATCH("id"&amp;$A13&amp;"year"&amp;$C13,ghg!$AR:$AR,0))),TRUE,FALSE)</f>
        <v>0</v>
      </c>
      <c r="H13" s="26" t="b">
        <f t="array" ref="H13">IF(ISNUMBER(index(scope_2_mkt,MATCH("id"&amp;$A13&amp;"year"&amp;$C13,ghg!$AR:$AR,0))),TRUE,FALSE)</f>
        <v>1</v>
      </c>
      <c r="I13" s="27" t="b">
        <f t="shared" si="3"/>
        <v>1</v>
      </c>
      <c r="J13" s="27" t="b">
        <f t="array" ref="J13">IF(ISNUMBER(index(scope_1,MATCH("id"&amp;$A13&amp;"year"&amp;$D13,ghg!$AR:$AR,0))),TRUE,FALSE)</f>
        <v>1</v>
      </c>
      <c r="K13" s="26" t="b">
        <f t="array" ref="K13">IF(ISNUMBER(index(scope_2_loc,MATCH("id"&amp;$A13&amp;"year"&amp;$D13,ghg!$AR:$AR,0))),TRUE,FALSE)</f>
        <v>0</v>
      </c>
      <c r="L13" s="26" t="b">
        <f t="array" ref="L13">IF(ISNUMBER(index(scope_2_mkt,MATCH("id"&amp;$A13&amp;"year"&amp;$D13,ghg!$AR:$AR,0))),TRUE,FALSE)</f>
        <v>1</v>
      </c>
      <c r="M13" s="27" t="b">
        <f t="shared" si="4"/>
        <v>1</v>
      </c>
      <c r="N13" s="26"/>
      <c r="O13" s="25"/>
      <c r="P13" s="28" t="b">
        <f t="shared" si="5"/>
        <v>1</v>
      </c>
      <c r="Q13" s="29">
        <f t="shared" si="6"/>
        <v>0.05</v>
      </c>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ht="12.75" customHeight="1">
      <c r="A14" s="22">
        <f t="shared" si="7"/>
        <v>12</v>
      </c>
      <c r="B14" s="26"/>
      <c r="C14" s="26">
        <f>VLOOKUP($A14,reporting!$A:$D,COLUMN(last_reporting_year),FALSE)</f>
        <v>2019</v>
      </c>
      <c r="D14" s="26">
        <f t="shared" si="1"/>
        <v>2018</v>
      </c>
      <c r="E14" s="27" t="b">
        <f t="shared" si="2"/>
        <v>1</v>
      </c>
      <c r="F14" s="27" t="b">
        <f t="array" ref="F14">IF(ISNUMBER(index(scope_1,MATCH("id"&amp;$A14&amp;"year"&amp;$C14,ghg!$AR:$AR,0))),TRUE,FALSE)</f>
        <v>1</v>
      </c>
      <c r="G14" s="26" t="b">
        <f t="array" ref="G14">IF(ISNUMBER(index(scope_2_loc,MATCH("id"&amp;$A14&amp;"year"&amp;$C14,ghg!$AR:$AR,0))),TRUE,FALSE)</f>
        <v>0</v>
      </c>
      <c r="H14" s="26" t="b">
        <f t="array" ref="H14">IF(ISNUMBER(index(scope_2_mkt,MATCH("id"&amp;$A14&amp;"year"&amp;$C14,ghg!$AR:$AR,0))),TRUE,FALSE)</f>
        <v>1</v>
      </c>
      <c r="I14" s="27" t="b">
        <f t="shared" si="3"/>
        <v>1</v>
      </c>
      <c r="J14" s="27" t="b">
        <f t="array" ref="J14">IF(ISNUMBER(index(scope_1,MATCH("id"&amp;$A14&amp;"year"&amp;$D14,ghg!$AR:$AR,0))),TRUE,FALSE)</f>
        <v>1</v>
      </c>
      <c r="K14" s="26" t="b">
        <f t="array" ref="K14">IF(ISNUMBER(index(scope_2_loc,MATCH("id"&amp;$A14&amp;"year"&amp;$D14,ghg!$AR:$AR,0))),TRUE,FALSE)</f>
        <v>0</v>
      </c>
      <c r="L14" s="26" t="b">
        <f t="array" ref="L14">IF(ISNUMBER(index(scope_2_mkt,MATCH("id"&amp;$A14&amp;"year"&amp;$D14,ghg!$AR:$AR,0))),TRUE,FALSE)</f>
        <v>1</v>
      </c>
      <c r="M14" s="27" t="b">
        <f t="shared" si="4"/>
        <v>1</v>
      </c>
      <c r="N14" s="26"/>
      <c r="O14" s="25"/>
      <c r="P14" s="28" t="b">
        <f t="shared" si="5"/>
        <v>1</v>
      </c>
      <c r="Q14" s="29">
        <f t="shared" si="6"/>
        <v>0.05</v>
      </c>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row>
    <row r="15" ht="12.75" customHeight="1">
      <c r="A15" s="22">
        <f t="shared" si="7"/>
        <v>13</v>
      </c>
      <c r="B15" s="26"/>
      <c r="C15" s="26">
        <f>VLOOKUP($A15,reporting!$A:$D,COLUMN(last_reporting_year),FALSE)</f>
        <v>2019</v>
      </c>
      <c r="D15" s="26">
        <f t="shared" si="1"/>
        <v>2018</v>
      </c>
      <c r="E15" s="27" t="b">
        <f t="shared" si="2"/>
        <v>1</v>
      </c>
      <c r="F15" s="27" t="b">
        <f t="array" ref="F15">IF(ISNUMBER(index(scope_1,MATCH("id"&amp;$A15&amp;"year"&amp;$C15,ghg!$AR:$AR,0))),TRUE,FALSE)</f>
        <v>1</v>
      </c>
      <c r="G15" s="26" t="b">
        <f t="array" ref="G15">IF(ISNUMBER(index(scope_2_loc,MATCH("id"&amp;$A15&amp;"year"&amp;$C15,ghg!$AR:$AR,0))),TRUE,FALSE)</f>
        <v>1</v>
      </c>
      <c r="H15" s="26" t="b">
        <f t="array" ref="H15">IF(ISNUMBER(index(scope_2_mkt,MATCH("id"&amp;$A15&amp;"year"&amp;$C15,ghg!$AR:$AR,0))),TRUE,FALSE)</f>
        <v>1</v>
      </c>
      <c r="I15" s="27" t="b">
        <f t="shared" si="3"/>
        <v>1</v>
      </c>
      <c r="J15" s="27" t="b">
        <f t="array" ref="J15">IF(ISNUMBER(index(scope_1,MATCH("id"&amp;$A15&amp;"year"&amp;$D15,ghg!$AR:$AR,0))),TRUE,FALSE)</f>
        <v>1</v>
      </c>
      <c r="K15" s="26" t="b">
        <f t="array" ref="K15">IF(ISNUMBER(index(scope_2_loc,MATCH("id"&amp;$A15&amp;"year"&amp;$D15,ghg!$AR:$AR,0))),TRUE,FALSE)</f>
        <v>0</v>
      </c>
      <c r="L15" s="26" t="b">
        <f t="array" ref="L15">IF(ISNUMBER(index(scope_2_mkt,MATCH("id"&amp;$A15&amp;"year"&amp;$D15,ghg!$AR:$AR,0))),TRUE,FALSE)</f>
        <v>1</v>
      </c>
      <c r="M15" s="27" t="b">
        <f t="shared" si="4"/>
        <v>1</v>
      </c>
      <c r="N15" s="26"/>
      <c r="O15" s="25"/>
      <c r="P15" s="28" t="b">
        <f t="shared" si="5"/>
        <v>1</v>
      </c>
      <c r="Q15" s="29">
        <f t="shared" si="6"/>
        <v>0.05</v>
      </c>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row>
    <row r="16" ht="12.75" customHeight="1">
      <c r="A16" s="22">
        <f t="shared" si="7"/>
        <v>14</v>
      </c>
      <c r="B16" s="26"/>
      <c r="C16" s="26">
        <f>VLOOKUP($A16,reporting!$A:$D,COLUMN(last_reporting_year),FALSE)</f>
        <v>2020</v>
      </c>
      <c r="D16" s="26">
        <f t="shared" si="1"/>
        <v>2019</v>
      </c>
      <c r="E16" s="27" t="b">
        <f t="shared" si="2"/>
        <v>1</v>
      </c>
      <c r="F16" s="27" t="b">
        <f t="array" ref="F16">IF(ISNUMBER(index(scope_1,MATCH("id"&amp;$A16&amp;"year"&amp;$C16,ghg!$AR:$AR,0))),TRUE,FALSE)</f>
        <v>1</v>
      </c>
      <c r="G16" s="26" t="b">
        <f t="array" ref="G16">IF(ISNUMBER(index(scope_2_loc,MATCH("id"&amp;$A16&amp;"year"&amp;$C16,ghg!$AR:$AR,0))),TRUE,FALSE)</f>
        <v>1</v>
      </c>
      <c r="H16" s="26" t="b">
        <f t="array" ref="H16">IF(ISNUMBER(index(scope_2_mkt,MATCH("id"&amp;$A16&amp;"year"&amp;$C16,ghg!$AR:$AR,0))),TRUE,FALSE)</f>
        <v>1</v>
      </c>
      <c r="I16" s="27" t="b">
        <f t="shared" si="3"/>
        <v>1</v>
      </c>
      <c r="J16" s="27" t="b">
        <f t="array" ref="J16">IF(ISNUMBER(index(scope_1,MATCH("id"&amp;$A16&amp;"year"&amp;$D16,ghg!$AR:$AR,0))),TRUE,FALSE)</f>
        <v>1</v>
      </c>
      <c r="K16" s="26" t="b">
        <f t="array" ref="K16">IF(ISNUMBER(index(scope_2_loc,MATCH("id"&amp;$A16&amp;"year"&amp;$D16,ghg!$AR:$AR,0))),TRUE,FALSE)</f>
        <v>0</v>
      </c>
      <c r="L16" s="26" t="b">
        <f t="array" ref="L16">IF(ISNUMBER(index(scope_2_mkt,MATCH("id"&amp;$A16&amp;"year"&amp;$D16,ghg!$AR:$AR,0))),TRUE,FALSE)</f>
        <v>1</v>
      </c>
      <c r="M16" s="27" t="b">
        <f t="shared" si="4"/>
        <v>1</v>
      </c>
      <c r="N16" s="26"/>
      <c r="O16" s="25"/>
      <c r="P16" s="28" t="b">
        <f t="shared" si="5"/>
        <v>1</v>
      </c>
      <c r="Q16" s="29">
        <f t="shared" si="6"/>
        <v>0.05</v>
      </c>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row>
    <row r="17" ht="12.75" customHeight="1">
      <c r="A17" s="22">
        <f t="shared" si="7"/>
        <v>15</v>
      </c>
      <c r="B17" s="26"/>
      <c r="C17" s="26">
        <f>VLOOKUP($A17,reporting!$A:$D,COLUMN(last_reporting_year),FALSE)</f>
        <v>2019</v>
      </c>
      <c r="D17" s="26">
        <f t="shared" si="1"/>
        <v>2018</v>
      </c>
      <c r="E17" s="27" t="b">
        <f t="shared" si="2"/>
        <v>1</v>
      </c>
      <c r="F17" s="27" t="b">
        <f t="array" ref="F17">IF(ISNUMBER(index(scope_1,MATCH("id"&amp;$A17&amp;"year"&amp;$C17,ghg!$AR:$AR,0))),TRUE,FALSE)</f>
        <v>1</v>
      </c>
      <c r="G17" s="26" t="b">
        <f t="array" ref="G17">IF(ISNUMBER(index(scope_2_loc,MATCH("id"&amp;$A17&amp;"year"&amp;$C17,ghg!$AR:$AR,0))),TRUE,FALSE)</f>
        <v>1</v>
      </c>
      <c r="H17" s="26" t="b">
        <f t="array" ref="H17">IF(ISNUMBER(index(scope_2_mkt,MATCH("id"&amp;$A17&amp;"year"&amp;$C17,ghg!$AR:$AR,0))),TRUE,FALSE)</f>
        <v>1</v>
      </c>
      <c r="I17" s="27" t="b">
        <f t="shared" si="3"/>
        <v>1</v>
      </c>
      <c r="J17" s="27" t="b">
        <f t="array" ref="J17">IF(ISNUMBER(index(scope_1,MATCH("id"&amp;$A17&amp;"year"&amp;$D17,ghg!$AR:$AR,0))),TRUE,FALSE)</f>
        <v>1</v>
      </c>
      <c r="K17" s="26" t="b">
        <f t="array" ref="K17">IF(ISNUMBER(index(scope_2_loc,MATCH("id"&amp;$A17&amp;"year"&amp;$D17,ghg!$AR:$AR,0))),TRUE,FALSE)</f>
        <v>1</v>
      </c>
      <c r="L17" s="26" t="b">
        <f t="array" ref="L17">IF(ISNUMBER(index(scope_2_mkt,MATCH("id"&amp;$A17&amp;"year"&amp;$D17,ghg!$AR:$AR,0))),TRUE,FALSE)</f>
        <v>1</v>
      </c>
      <c r="M17" s="27" t="b">
        <f t="shared" si="4"/>
        <v>1</v>
      </c>
      <c r="N17" s="26"/>
      <c r="O17" s="25"/>
      <c r="P17" s="28" t="b">
        <f t="shared" si="5"/>
        <v>1</v>
      </c>
      <c r="Q17" s="29">
        <f t="shared" si="6"/>
        <v>0.05</v>
      </c>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row>
    <row r="18" ht="12.75" customHeight="1">
      <c r="A18" s="22">
        <f t="shared" si="7"/>
        <v>16</v>
      </c>
      <c r="B18" s="26"/>
      <c r="C18" s="26">
        <f>VLOOKUP($A18,reporting!$A:$D,COLUMN(last_reporting_year),FALSE)</f>
        <v>2020</v>
      </c>
      <c r="D18" s="26">
        <f t="shared" si="1"/>
        <v>2019</v>
      </c>
      <c r="E18" s="27" t="b">
        <f t="shared" si="2"/>
        <v>1</v>
      </c>
      <c r="F18" s="27" t="b">
        <f t="array" ref="F18">IF(ISNUMBER(index(scope_1,MATCH("id"&amp;$A18&amp;"year"&amp;$C18,ghg!$AR:$AR,0))),TRUE,FALSE)</f>
        <v>1</v>
      </c>
      <c r="G18" s="26" t="b">
        <f t="array" ref="G18">IF(ISNUMBER(index(scope_2_loc,MATCH("id"&amp;$A18&amp;"year"&amp;$C18,ghg!$AR:$AR,0))),TRUE,FALSE)</f>
        <v>1</v>
      </c>
      <c r="H18" s="26" t="b">
        <f t="array" ref="H18">IF(ISNUMBER(index(scope_2_mkt,MATCH("id"&amp;$A18&amp;"year"&amp;$C18,ghg!$AR:$AR,0))),TRUE,FALSE)</f>
        <v>1</v>
      </c>
      <c r="I18" s="27" t="b">
        <f t="shared" si="3"/>
        <v>1</v>
      </c>
      <c r="J18" s="27" t="b">
        <f t="array" ref="J18">IF(ISNUMBER(index(scope_1,MATCH("id"&amp;$A18&amp;"year"&amp;$D18,ghg!$AR:$AR,0))),TRUE,FALSE)</f>
        <v>1</v>
      </c>
      <c r="K18" s="26" t="b">
        <f t="array" ref="K18">IF(ISNUMBER(index(scope_2_loc,MATCH("id"&amp;$A18&amp;"year"&amp;$D18,ghg!$AR:$AR,0))),TRUE,FALSE)</f>
        <v>1</v>
      </c>
      <c r="L18" s="26" t="b">
        <f t="array" ref="L18">IF(ISNUMBER(index(scope_2_mkt,MATCH("id"&amp;$A18&amp;"year"&amp;$D18,ghg!$AR:$AR,0))),TRUE,FALSE)</f>
        <v>1</v>
      </c>
      <c r="M18" s="27" t="b">
        <f t="shared" si="4"/>
        <v>1</v>
      </c>
      <c r="N18" s="26"/>
      <c r="O18" s="25"/>
      <c r="P18" s="28" t="b">
        <f t="shared" si="5"/>
        <v>1</v>
      </c>
      <c r="Q18" s="29">
        <f t="shared" si="6"/>
        <v>0.05</v>
      </c>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row>
    <row r="19" ht="12.75" customHeight="1">
      <c r="A19" s="22">
        <f t="shared" si="7"/>
        <v>17</v>
      </c>
      <c r="B19" s="26"/>
      <c r="C19" s="26" t="str">
        <f>VLOOKUP($A19,reporting!$A:$D,COLUMN(last_reporting_year),FALSE)</f>
        <v>NR</v>
      </c>
      <c r="D19" s="26" t="str">
        <f t="shared" si="1"/>
        <v>NR</v>
      </c>
      <c r="E19" s="27" t="b">
        <f t="shared" si="2"/>
        <v>0</v>
      </c>
      <c r="F19" s="27" t="b">
        <f t="array" ref="F19">IF(ISNUMBER(index(scope_1,MATCH("id"&amp;$A19&amp;"year"&amp;$C19,ghg!$AR:$AR,0))),TRUE,FALSE)</f>
        <v>0</v>
      </c>
      <c r="G19" s="26" t="b">
        <f t="array" ref="G19">IF(ISNUMBER(index(scope_2_loc,MATCH("id"&amp;$A19&amp;"year"&amp;$C19,ghg!$AR:$AR,0))),TRUE,FALSE)</f>
        <v>0</v>
      </c>
      <c r="H19" s="26" t="b">
        <f t="array" ref="H19">IF(ISNUMBER(index(scope_2_mkt,MATCH("id"&amp;$A19&amp;"year"&amp;$C19,ghg!$AR:$AR,0))),TRUE,FALSE)</f>
        <v>0</v>
      </c>
      <c r="I19" s="27" t="b">
        <f t="shared" si="3"/>
        <v>0</v>
      </c>
      <c r="J19" s="27" t="b">
        <f t="array" ref="J19">IF(ISNUMBER(index(scope_1,MATCH("id"&amp;$A19&amp;"year"&amp;$D19,ghg!$AR:$AR,0))),TRUE,FALSE)</f>
        <v>0</v>
      </c>
      <c r="K19" s="26" t="b">
        <f t="array" ref="K19">IF(ISNUMBER(index(scope_2_loc,MATCH("id"&amp;$A19&amp;"year"&amp;$D19,ghg!$AR:$AR,0))),TRUE,FALSE)</f>
        <v>0</v>
      </c>
      <c r="L19" s="26" t="b">
        <f t="array" ref="L19">IF(ISNUMBER(index(scope_2_mkt,MATCH("id"&amp;$A19&amp;"year"&amp;$D19,ghg!$AR:$AR,0))),TRUE,FALSE)</f>
        <v>0</v>
      </c>
      <c r="M19" s="27" t="b">
        <f t="shared" si="4"/>
        <v>0</v>
      </c>
      <c r="N19" s="26"/>
      <c r="O19" s="25"/>
      <c r="P19" s="28" t="b">
        <f t="shared" si="5"/>
        <v>0</v>
      </c>
      <c r="Q19" s="29">
        <f t="shared" si="6"/>
        <v>0</v>
      </c>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row>
    <row r="20" ht="12.75" customHeight="1">
      <c r="A20" s="22">
        <f t="shared" si="7"/>
        <v>18</v>
      </c>
      <c r="B20" s="26"/>
      <c r="C20" s="26">
        <f>VLOOKUP($A20,reporting!$A:$D,COLUMN(last_reporting_year),FALSE)</f>
        <v>2020</v>
      </c>
      <c r="D20" s="26">
        <f t="shared" si="1"/>
        <v>2019</v>
      </c>
      <c r="E20" s="27" t="b">
        <f t="shared" si="2"/>
        <v>1</v>
      </c>
      <c r="F20" s="27" t="b">
        <f t="array" ref="F20">IF(ISNUMBER(index(scope_1,MATCH("id"&amp;$A20&amp;"year"&amp;$C20,ghg!$AR:$AR,0))),TRUE,FALSE)</f>
        <v>1</v>
      </c>
      <c r="G20" s="26" t="b">
        <f t="array" ref="G20">IF(ISNUMBER(index(scope_2_loc,MATCH("id"&amp;$A20&amp;"year"&amp;$C20,ghg!$AR:$AR,0))),TRUE,FALSE)</f>
        <v>1</v>
      </c>
      <c r="H20" s="26" t="b">
        <f t="array" ref="H20">IF(ISNUMBER(index(scope_2_mkt,MATCH("id"&amp;$A20&amp;"year"&amp;$C20,ghg!$AR:$AR,0))),TRUE,FALSE)</f>
        <v>1</v>
      </c>
      <c r="I20" s="27" t="b">
        <f t="shared" si="3"/>
        <v>1</v>
      </c>
      <c r="J20" s="27" t="b">
        <f t="array" ref="J20">IF(ISNUMBER(index(scope_1,MATCH("id"&amp;$A20&amp;"year"&amp;$D20,ghg!$AR:$AR,0))),TRUE,FALSE)</f>
        <v>1</v>
      </c>
      <c r="K20" s="26" t="b">
        <f t="array" ref="K20">IF(ISNUMBER(index(scope_2_loc,MATCH("id"&amp;$A20&amp;"year"&amp;$D20,ghg!$AR:$AR,0))),TRUE,FALSE)</f>
        <v>1</v>
      </c>
      <c r="L20" s="26" t="b">
        <f t="array" ref="L20">IF(ISNUMBER(index(scope_2_mkt,MATCH("id"&amp;$A20&amp;"year"&amp;$D20,ghg!$AR:$AR,0))),TRUE,FALSE)</f>
        <v>1</v>
      </c>
      <c r="M20" s="27" t="b">
        <f t="shared" si="4"/>
        <v>1</v>
      </c>
      <c r="N20" s="26"/>
      <c r="O20" s="25"/>
      <c r="P20" s="28" t="b">
        <f t="shared" si="5"/>
        <v>1</v>
      </c>
      <c r="Q20" s="29">
        <f t="shared" si="6"/>
        <v>0.05</v>
      </c>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row>
    <row r="21" ht="12.75" customHeight="1">
      <c r="A21" s="22">
        <f t="shared" si="7"/>
        <v>19</v>
      </c>
      <c r="B21" s="26"/>
      <c r="C21" s="26">
        <f>VLOOKUP($A21,reporting!$A:$D,COLUMN(last_reporting_year),FALSE)</f>
        <v>2020</v>
      </c>
      <c r="D21" s="26">
        <f t="shared" si="1"/>
        <v>2019</v>
      </c>
      <c r="E21" s="27" t="b">
        <f t="shared" si="2"/>
        <v>1</v>
      </c>
      <c r="F21" s="27" t="b">
        <f t="array" ref="F21">IF(ISNUMBER(index(scope_1,MATCH("id"&amp;$A21&amp;"year"&amp;$C21,ghg!$AR:$AR,0))),TRUE,FALSE)</f>
        <v>1</v>
      </c>
      <c r="G21" s="26" t="b">
        <f t="array" ref="G21">IF(ISNUMBER(index(scope_2_loc,MATCH("id"&amp;$A21&amp;"year"&amp;$C21,ghg!$AR:$AR,0))),TRUE,FALSE)</f>
        <v>1</v>
      </c>
      <c r="H21" s="26" t="b">
        <f t="array" ref="H21">IF(ISNUMBER(index(scope_2_mkt,MATCH("id"&amp;$A21&amp;"year"&amp;$C21,ghg!$AR:$AR,0))),TRUE,FALSE)</f>
        <v>1</v>
      </c>
      <c r="I21" s="27" t="b">
        <f t="shared" si="3"/>
        <v>1</v>
      </c>
      <c r="J21" s="27" t="b">
        <f t="array" ref="J21">IF(ISNUMBER(index(scope_1,MATCH("id"&amp;$A21&amp;"year"&amp;$D21,ghg!$AR:$AR,0))),TRUE,FALSE)</f>
        <v>1</v>
      </c>
      <c r="K21" s="26" t="b">
        <f t="array" ref="K21">IF(ISNUMBER(index(scope_2_loc,MATCH("id"&amp;$A21&amp;"year"&amp;$D21,ghg!$AR:$AR,0))),TRUE,FALSE)</f>
        <v>1</v>
      </c>
      <c r="L21" s="26" t="b">
        <f t="array" ref="L21">IF(ISNUMBER(index(scope_2_mkt,MATCH("id"&amp;$A21&amp;"year"&amp;$D21,ghg!$AR:$AR,0))),TRUE,FALSE)</f>
        <v>1</v>
      </c>
      <c r="M21" s="27" t="b">
        <f t="shared" si="4"/>
        <v>1</v>
      </c>
      <c r="N21" s="26"/>
      <c r="O21" s="25"/>
      <c r="P21" s="28" t="b">
        <f t="shared" si="5"/>
        <v>1</v>
      </c>
      <c r="Q21" s="29">
        <f t="shared" si="6"/>
        <v>0.05</v>
      </c>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ht="12.75" customHeight="1">
      <c r="A22" s="30">
        <v>66.0</v>
      </c>
      <c r="B22" s="26"/>
      <c r="C22" s="26">
        <f>VLOOKUP($A22,reporting!$A:$D,COLUMN(last_reporting_year),FALSE)</f>
        <v>2020</v>
      </c>
      <c r="D22" s="26">
        <f t="shared" si="1"/>
        <v>2019</v>
      </c>
      <c r="E22" s="27" t="b">
        <f t="shared" si="2"/>
        <v>1</v>
      </c>
      <c r="F22" s="27" t="b">
        <f t="array" ref="F22">IF(ISNUMBER(index(scope_1,MATCH("id"&amp;$A22&amp;"year"&amp;$C22,ghg!$AR:$AR,0))),TRUE,FALSE)</f>
        <v>1</v>
      </c>
      <c r="G22" s="26" t="b">
        <f t="array" ref="G22">IF(ISNUMBER(index(scope_2_loc,MATCH("id"&amp;$A22&amp;"year"&amp;$C22,ghg!$AR:$AR,0))),TRUE,FALSE)</f>
        <v>1</v>
      </c>
      <c r="H22" s="26" t="b">
        <f t="array" ref="H22">IF(ISNUMBER(index(scope_2_mkt,MATCH("id"&amp;$A22&amp;"year"&amp;$C22,ghg!$AR:$AR,0))),TRUE,FALSE)</f>
        <v>1</v>
      </c>
      <c r="I22" s="27" t="b">
        <f t="shared" si="3"/>
        <v>1</v>
      </c>
      <c r="J22" s="27" t="b">
        <f t="array" ref="J22">IF(ISNUMBER(index(scope_1,MATCH("id"&amp;$A22&amp;"year"&amp;$D22,ghg!$AR:$AR,0))),TRUE,FALSE)</f>
        <v>1</v>
      </c>
      <c r="K22" s="26" t="b">
        <f t="array" ref="K22">IF(ISNUMBER(index(scope_2_loc,MATCH("id"&amp;$A22&amp;"year"&amp;$D22,ghg!$AR:$AR,0))),TRUE,FALSE)</f>
        <v>1</v>
      </c>
      <c r="L22" s="26" t="b">
        <f t="array" ref="L22">IF(ISNUMBER(index(scope_2_mkt,MATCH("id"&amp;$A22&amp;"year"&amp;$D22,ghg!$AR:$AR,0))),TRUE,FALSE)</f>
        <v>1</v>
      </c>
      <c r="M22" s="27" t="b">
        <f t="shared" si="4"/>
        <v>1</v>
      </c>
      <c r="N22" s="26"/>
      <c r="O22" s="25"/>
      <c r="P22" s="28" t="b">
        <f t="shared" si="5"/>
        <v>1</v>
      </c>
      <c r="Q22" s="29">
        <f t="shared" si="6"/>
        <v>0.05</v>
      </c>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6" t="s">
        <v>2</v>
      </c>
      <c r="B1" s="17"/>
      <c r="C1" s="18" t="s">
        <v>537</v>
      </c>
      <c r="D1" s="18" t="s">
        <v>538</v>
      </c>
      <c r="E1" s="19" t="s">
        <v>549</v>
      </c>
      <c r="F1" s="18" t="s">
        <v>557</v>
      </c>
      <c r="G1" s="18" t="s">
        <v>558</v>
      </c>
      <c r="H1" s="18" t="s">
        <v>559</v>
      </c>
      <c r="I1" s="18" t="s">
        <v>560</v>
      </c>
      <c r="J1" s="18" t="s">
        <v>561</v>
      </c>
      <c r="K1" s="18" t="s">
        <v>562</v>
      </c>
      <c r="L1" s="18" t="s">
        <v>563</v>
      </c>
      <c r="M1" s="18" t="s">
        <v>564</v>
      </c>
      <c r="N1" s="18"/>
      <c r="O1" s="18" t="s">
        <v>565</v>
      </c>
      <c r="P1" s="18" t="s">
        <v>566</v>
      </c>
      <c r="Q1" s="18" t="s">
        <v>567</v>
      </c>
      <c r="R1" s="18" t="s">
        <v>568</v>
      </c>
      <c r="S1" s="20" t="s">
        <v>548</v>
      </c>
      <c r="T1" s="21" t="s">
        <v>569</v>
      </c>
      <c r="U1" s="19" t="s">
        <v>570</v>
      </c>
    </row>
    <row r="2">
      <c r="A2" s="22"/>
      <c r="B2" s="23"/>
      <c r="C2" s="23"/>
      <c r="D2" s="23"/>
      <c r="E2" s="23"/>
      <c r="F2" s="23" t="s">
        <v>571</v>
      </c>
      <c r="G2" s="23" t="s">
        <v>572</v>
      </c>
      <c r="H2" s="23" t="s">
        <v>573</v>
      </c>
      <c r="I2" s="31" t="s">
        <v>574</v>
      </c>
      <c r="J2" s="23" t="s">
        <v>571</v>
      </c>
      <c r="K2" s="23" t="s">
        <v>572</v>
      </c>
      <c r="L2" s="23" t="s">
        <v>573</v>
      </c>
      <c r="M2" s="31" t="s">
        <v>574</v>
      </c>
      <c r="N2" s="18"/>
      <c r="O2" s="32">
        <v>0.95</v>
      </c>
      <c r="P2" s="32">
        <v>0.95</v>
      </c>
      <c r="Q2" s="32">
        <v>0.95</v>
      </c>
      <c r="R2" s="32">
        <v>0.95</v>
      </c>
      <c r="S2" s="24">
        <v>0.05</v>
      </c>
      <c r="T2" s="23"/>
      <c r="U2" s="23"/>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ht="12.75" customHeight="1">
      <c r="A3" s="22">
        <v>1.0</v>
      </c>
      <c r="B3" s="26"/>
      <c r="C3" s="26">
        <f>VLOOKUP($A3,reporting!$A:$D,COLUMN(last_reporting_year),FALSE)</f>
        <v>2020</v>
      </c>
      <c r="D3" s="26">
        <f t="shared" ref="D3:D22" si="2">IF(ISNUMBER(C3),C3-1,"NR")</f>
        <v>2019</v>
      </c>
      <c r="E3" s="27" t="b">
        <f>VLOOKUP($A3,test1_1!$A:$Q,COLUMN(test1_1!P:P),FALSE)</f>
        <v>1</v>
      </c>
      <c r="F3" s="33">
        <f t="array" ref="F3">IF($E3,index(scope_1_verif,MATCH("id"&amp;$A3&amp;"year"&amp;$C3,ghg!$AR:$AR,0)),0)</f>
        <v>1</v>
      </c>
      <c r="G3" s="33">
        <f t="array" ref="G3">IF($E3,index(scope_2_loc_verif,MATCH("id"&amp;$A3&amp;"year"&amp;$C3,ghg!$AR:$AR,0)),0)</f>
        <v>1</v>
      </c>
      <c r="H3" s="33">
        <f t="array" ref="H3">IF($E3,index(scope_2_mkt_verif,MATCH("id"&amp;$A3&amp;"year"&amp;$C3,ghg!$AR:$AR,0)),0)</f>
        <v>1</v>
      </c>
      <c r="I3" s="34">
        <f t="shared" ref="I3:I22" si="3">max(G3,H3)</f>
        <v>1</v>
      </c>
      <c r="J3" s="33">
        <f t="array" ref="J3">IF($E3,index(scope_1_verif,MATCH("id"&amp;$A3&amp;"year"&amp;$D3,ghg!$AR:$AR,0)),0)</f>
        <v>1</v>
      </c>
      <c r="K3" s="33">
        <f t="array" ref="K3">IF($E3,index(scope_2_loc_verif,MATCH("id"&amp;$A3&amp;"year"&amp;$D3,ghg!$AR:$AR,0)),0)</f>
        <v>1</v>
      </c>
      <c r="L3" s="33">
        <f t="array" ref="L3">IF($E3,index(scope_2_mkt_verif,MATCH("id"&amp;$A3&amp;"year"&amp;$D3,ghg!$AR:$AR,0)),0)</f>
        <v>1</v>
      </c>
      <c r="M3" s="34">
        <f t="shared" ref="M3:M22" si="4">max(K3,L3)</f>
        <v>1</v>
      </c>
      <c r="N3" s="26"/>
      <c r="O3" s="25" t="b">
        <f t="shared" ref="O3:R3" si="1">(F3&gt;=O$2)</f>
        <v>1</v>
      </c>
      <c r="P3" s="25" t="b">
        <f t="shared" si="1"/>
        <v>1</v>
      </c>
      <c r="Q3" s="25" t="b">
        <f t="shared" si="1"/>
        <v>1</v>
      </c>
      <c r="R3" s="25" t="b">
        <f t="shared" si="1"/>
        <v>1</v>
      </c>
      <c r="S3" s="25"/>
      <c r="T3" s="28" t="b">
        <f t="shared" ref="T3:T22" si="6">AND(O3,P3,Q3,R3)</f>
        <v>1</v>
      </c>
      <c r="U3" s="29">
        <f t="shared" ref="U3:U22" si="7">T3*S$2</f>
        <v>0.05</v>
      </c>
      <c r="V3" s="25"/>
      <c r="W3" s="25"/>
      <c r="X3" s="25"/>
      <c r="Y3" s="25"/>
      <c r="Z3" s="25"/>
      <c r="AA3" s="25"/>
      <c r="AB3" s="25"/>
      <c r="AC3" s="25"/>
      <c r="AD3" s="25"/>
      <c r="AE3" s="25"/>
      <c r="AF3" s="25"/>
      <c r="AG3" s="25"/>
      <c r="AH3" s="25"/>
      <c r="AI3" s="25"/>
      <c r="AJ3" s="25"/>
      <c r="AK3" s="25"/>
      <c r="AL3" s="25"/>
      <c r="AM3" s="25"/>
      <c r="AN3" s="25"/>
      <c r="AO3" s="25"/>
      <c r="AP3" s="25"/>
      <c r="AQ3" s="25"/>
      <c r="AR3" s="25"/>
      <c r="AS3" s="25"/>
      <c r="AT3" s="25"/>
    </row>
    <row r="4" ht="12.75" customHeight="1">
      <c r="A4" s="22">
        <f t="shared" ref="A4:A21" si="8">A3+1</f>
        <v>2</v>
      </c>
      <c r="B4" s="26"/>
      <c r="C4" s="26">
        <f>VLOOKUP($A4,reporting!$A:$D,COLUMN(last_reporting_year),FALSE)</f>
        <v>2020</v>
      </c>
      <c r="D4" s="26">
        <f t="shared" si="2"/>
        <v>2019</v>
      </c>
      <c r="E4" s="27" t="b">
        <f>VLOOKUP($A4,test1_1!$A:$Q,COLUMN(test1_1!P:P),FALSE)</f>
        <v>1</v>
      </c>
      <c r="F4" s="33" t="str">
        <f t="array" ref="F4">IF($E4,index(scope_1_verif,MATCH("id"&amp;$A4&amp;"year"&amp;$C4,ghg!$AR:$AR,0)),0)</f>
        <v/>
      </c>
      <c r="G4" s="33" t="str">
        <f t="array" ref="G4">IF($E4,index(scope_2_loc_verif,MATCH("id"&amp;$A4&amp;"year"&amp;$C4,ghg!$AR:$AR,0)),0)</f>
        <v/>
      </c>
      <c r="H4" s="33" t="str">
        <f t="array" ref="H4">IF($E4,index(scope_2_mkt_verif,MATCH("id"&amp;$A4&amp;"year"&amp;$C4,ghg!$AR:$AR,0)),0)</f>
        <v/>
      </c>
      <c r="I4" s="34">
        <f t="shared" si="3"/>
        <v>0</v>
      </c>
      <c r="J4" s="33" t="str">
        <f t="array" ref="J4">IF($E4,index(scope_1_verif,MATCH("id"&amp;$A4&amp;"year"&amp;$D4,ghg!$AR:$AR,0)),0)</f>
        <v/>
      </c>
      <c r="K4" s="33" t="str">
        <f t="array" ref="K4">IF($E4,index(scope_2_loc_verif,MATCH("id"&amp;$A4&amp;"year"&amp;$D4,ghg!$AR:$AR,0)),0)</f>
        <v/>
      </c>
      <c r="L4" s="33" t="str">
        <f t="array" ref="L4">IF($E4,index(scope_2_mkt_verif,MATCH("id"&amp;$A4&amp;"year"&amp;$D4,ghg!$AR:$AR,0)),0)</f>
        <v/>
      </c>
      <c r="M4" s="34">
        <f t="shared" si="4"/>
        <v>0</v>
      </c>
      <c r="N4" s="26"/>
      <c r="O4" s="25" t="b">
        <f t="shared" ref="O4:R4" si="5">(F4&gt;=O$2)</f>
        <v>0</v>
      </c>
      <c r="P4" s="25" t="b">
        <f t="shared" si="5"/>
        <v>0</v>
      </c>
      <c r="Q4" s="25" t="b">
        <f t="shared" si="5"/>
        <v>0</v>
      </c>
      <c r="R4" s="25" t="b">
        <f t="shared" si="5"/>
        <v>0</v>
      </c>
      <c r="S4" s="25"/>
      <c r="T4" s="28" t="b">
        <f t="shared" si="6"/>
        <v>0</v>
      </c>
      <c r="U4" s="29">
        <f t="shared" si="7"/>
        <v>0</v>
      </c>
      <c r="V4" s="25"/>
      <c r="W4" s="25"/>
      <c r="X4" s="25"/>
      <c r="Y4" s="25"/>
      <c r="Z4" s="25"/>
      <c r="AA4" s="25"/>
      <c r="AB4" s="25"/>
      <c r="AC4" s="25"/>
      <c r="AD4" s="25"/>
      <c r="AE4" s="25"/>
      <c r="AF4" s="25"/>
      <c r="AG4" s="25"/>
      <c r="AH4" s="25"/>
      <c r="AI4" s="25"/>
      <c r="AJ4" s="25"/>
      <c r="AK4" s="25"/>
      <c r="AL4" s="25"/>
      <c r="AM4" s="25"/>
      <c r="AN4" s="25"/>
      <c r="AO4" s="25"/>
      <c r="AP4" s="25"/>
      <c r="AQ4" s="25"/>
      <c r="AR4" s="25"/>
      <c r="AS4" s="25"/>
      <c r="AT4" s="25"/>
    </row>
    <row r="5" ht="12.75" customHeight="1">
      <c r="A5" s="22">
        <f t="shared" si="8"/>
        <v>3</v>
      </c>
      <c r="B5" s="26"/>
      <c r="C5" s="26">
        <f>VLOOKUP($A5,reporting!$A:$D,COLUMN(last_reporting_year),FALSE)</f>
        <v>2020</v>
      </c>
      <c r="D5" s="26">
        <f t="shared" si="2"/>
        <v>2019</v>
      </c>
      <c r="E5" s="27" t="b">
        <f>VLOOKUP($A5,test1_1!$A:$Q,COLUMN(test1_1!P:P),FALSE)</f>
        <v>1</v>
      </c>
      <c r="F5" s="33" t="str">
        <f t="array" ref="F5">IF($E5,index(scope_1_verif,MATCH("id"&amp;$A5&amp;"year"&amp;$C5,ghg!$AR:$AR,0)),0)</f>
        <v/>
      </c>
      <c r="G5" s="33" t="str">
        <f t="array" ref="G5">IF($E5,index(scope_2_loc_verif,MATCH("id"&amp;$A5&amp;"year"&amp;$C5,ghg!$AR:$AR,0)),0)</f>
        <v/>
      </c>
      <c r="H5" s="33" t="str">
        <f t="array" ref="H5">IF($E5,index(scope_2_mkt_verif,MATCH("id"&amp;$A5&amp;"year"&amp;$C5,ghg!$AR:$AR,0)),0)</f>
        <v/>
      </c>
      <c r="I5" s="34">
        <f t="shared" si="3"/>
        <v>0</v>
      </c>
      <c r="J5" s="33" t="str">
        <f t="array" ref="J5">IF($E5,index(scope_1_verif,MATCH("id"&amp;$A5&amp;"year"&amp;$D5,ghg!$AR:$AR,0)),0)</f>
        <v/>
      </c>
      <c r="K5" s="33" t="str">
        <f t="array" ref="K5">IF($E5,index(scope_2_loc_verif,MATCH("id"&amp;$A5&amp;"year"&amp;$D5,ghg!$AR:$AR,0)),0)</f>
        <v/>
      </c>
      <c r="L5" s="33" t="str">
        <f t="array" ref="L5">IF($E5,index(scope_2_mkt_verif,MATCH("id"&amp;$A5&amp;"year"&amp;$D5,ghg!$AR:$AR,0)),0)</f>
        <v/>
      </c>
      <c r="M5" s="34">
        <f t="shared" si="4"/>
        <v>0</v>
      </c>
      <c r="N5" s="26"/>
      <c r="O5" s="25" t="b">
        <f t="shared" ref="O5:R5" si="9">(F5&gt;=O$2)</f>
        <v>0</v>
      </c>
      <c r="P5" s="25" t="b">
        <f t="shared" si="9"/>
        <v>0</v>
      </c>
      <c r="Q5" s="25" t="b">
        <f t="shared" si="9"/>
        <v>0</v>
      </c>
      <c r="R5" s="25" t="b">
        <f t="shared" si="9"/>
        <v>0</v>
      </c>
      <c r="S5" s="25"/>
      <c r="T5" s="28" t="b">
        <f t="shared" si="6"/>
        <v>0</v>
      </c>
      <c r="U5" s="29">
        <f t="shared" si="7"/>
        <v>0</v>
      </c>
      <c r="V5" s="25"/>
      <c r="W5" s="25"/>
      <c r="X5" s="25"/>
      <c r="Y5" s="25"/>
      <c r="Z5" s="25"/>
      <c r="AA5" s="25"/>
      <c r="AB5" s="25"/>
      <c r="AC5" s="25"/>
      <c r="AD5" s="25"/>
      <c r="AE5" s="25"/>
      <c r="AF5" s="25"/>
      <c r="AG5" s="25"/>
      <c r="AH5" s="25"/>
      <c r="AI5" s="25"/>
      <c r="AJ5" s="25"/>
      <c r="AK5" s="25"/>
      <c r="AL5" s="25"/>
      <c r="AM5" s="25"/>
      <c r="AN5" s="25"/>
      <c r="AO5" s="25"/>
      <c r="AP5" s="25"/>
      <c r="AQ5" s="25"/>
      <c r="AR5" s="25"/>
      <c r="AS5" s="25"/>
      <c r="AT5" s="25"/>
    </row>
    <row r="6" ht="12.75" customHeight="1">
      <c r="A6" s="22">
        <f t="shared" si="8"/>
        <v>4</v>
      </c>
      <c r="B6" s="26"/>
      <c r="C6" s="26">
        <f>VLOOKUP($A6,reporting!$A:$D,COLUMN(last_reporting_year),FALSE)</f>
        <v>2020</v>
      </c>
      <c r="D6" s="26">
        <f t="shared" si="2"/>
        <v>2019</v>
      </c>
      <c r="E6" s="27" t="b">
        <f>VLOOKUP($A6,test1_1!$A:$Q,COLUMN(test1_1!P:P),FALSE)</f>
        <v>1</v>
      </c>
      <c r="F6" s="33">
        <f t="array" ref="F6">IF($E6,index(scope_1_verif,MATCH("id"&amp;$A6&amp;"year"&amp;$C6,ghg!$AR:$AR,0)),0)</f>
        <v>1</v>
      </c>
      <c r="G6" s="33">
        <f t="array" ref="G6">IF($E6,index(scope_2_loc_verif,MATCH("id"&amp;$A6&amp;"year"&amp;$C6,ghg!$AR:$AR,0)),0)</f>
        <v>1</v>
      </c>
      <c r="H6" s="33">
        <f t="array" ref="H6">IF($E6,index(scope_2_mkt_verif,MATCH("id"&amp;$A6&amp;"year"&amp;$C6,ghg!$AR:$AR,0)),0)</f>
        <v>1</v>
      </c>
      <c r="I6" s="34">
        <f t="shared" si="3"/>
        <v>1</v>
      </c>
      <c r="J6" s="33">
        <f t="array" ref="J6">IF($E6,index(scope_1_verif,MATCH("id"&amp;$A6&amp;"year"&amp;$D6,ghg!$AR:$AR,0)),0)</f>
        <v>1</v>
      </c>
      <c r="K6" s="33">
        <f t="array" ref="K6">IF($E6,index(scope_2_loc_verif,MATCH("id"&amp;$A6&amp;"year"&amp;$D6,ghg!$AR:$AR,0)),0)</f>
        <v>1</v>
      </c>
      <c r="L6" s="33">
        <f t="array" ref="L6">IF($E6,index(scope_2_mkt_verif,MATCH("id"&amp;$A6&amp;"year"&amp;$D6,ghg!$AR:$AR,0)),0)</f>
        <v>1</v>
      </c>
      <c r="M6" s="34">
        <f t="shared" si="4"/>
        <v>1</v>
      </c>
      <c r="N6" s="26"/>
      <c r="O6" s="25" t="b">
        <f t="shared" ref="O6:R6" si="10">(F6&gt;=O$2)</f>
        <v>1</v>
      </c>
      <c r="P6" s="25" t="b">
        <f t="shared" si="10"/>
        <v>1</v>
      </c>
      <c r="Q6" s="25" t="b">
        <f t="shared" si="10"/>
        <v>1</v>
      </c>
      <c r="R6" s="25" t="b">
        <f t="shared" si="10"/>
        <v>1</v>
      </c>
      <c r="S6" s="25"/>
      <c r="T6" s="28" t="b">
        <f t="shared" si="6"/>
        <v>1</v>
      </c>
      <c r="U6" s="29">
        <f t="shared" si="7"/>
        <v>0.05</v>
      </c>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ht="12.75" customHeight="1">
      <c r="A7" s="22">
        <f t="shared" si="8"/>
        <v>5</v>
      </c>
      <c r="B7" s="26"/>
      <c r="C7" s="26">
        <f>VLOOKUP($A7,reporting!$A:$D,COLUMN(last_reporting_year),FALSE)</f>
        <v>2020</v>
      </c>
      <c r="D7" s="26">
        <f t="shared" si="2"/>
        <v>2019</v>
      </c>
      <c r="E7" s="27" t="b">
        <f>VLOOKUP($A7,test1_1!$A:$Q,COLUMN(test1_1!P:P),FALSE)</f>
        <v>1</v>
      </c>
      <c r="F7" s="33">
        <f t="array" ref="F7">IF($E7,index(scope_1_verif,MATCH("id"&amp;$A7&amp;"year"&amp;$C7,ghg!$AR:$AR,0)),0)</f>
        <v>1</v>
      </c>
      <c r="G7" s="33">
        <f t="array" ref="G7">IF($E7,index(scope_2_loc_verif,MATCH("id"&amp;$A7&amp;"year"&amp;$C7,ghg!$AR:$AR,0)),0)</f>
        <v>1</v>
      </c>
      <c r="H7" s="33">
        <f t="array" ref="H7">IF($E7,index(scope_2_mkt_verif,MATCH("id"&amp;$A7&amp;"year"&amp;$C7,ghg!$AR:$AR,0)),0)</f>
        <v>1</v>
      </c>
      <c r="I7" s="34">
        <f t="shared" si="3"/>
        <v>1</v>
      </c>
      <c r="J7" s="33">
        <f t="array" ref="J7">IF($E7,index(scope_1_verif,MATCH("id"&amp;$A7&amp;"year"&amp;$D7,ghg!$AR:$AR,0)),0)</f>
        <v>1</v>
      </c>
      <c r="K7" s="33">
        <f t="array" ref="K7">IF($E7,index(scope_2_loc_verif,MATCH("id"&amp;$A7&amp;"year"&amp;$D7,ghg!$AR:$AR,0)),0)</f>
        <v>1</v>
      </c>
      <c r="L7" s="33">
        <f t="array" ref="L7">IF($E7,index(scope_2_mkt_verif,MATCH("id"&amp;$A7&amp;"year"&amp;$D7,ghg!$AR:$AR,0)),0)</f>
        <v>1</v>
      </c>
      <c r="M7" s="34">
        <f t="shared" si="4"/>
        <v>1</v>
      </c>
      <c r="N7" s="26"/>
      <c r="O7" s="25" t="b">
        <f t="shared" ref="O7:R7" si="11">(F7&gt;=O$2)</f>
        <v>1</v>
      </c>
      <c r="P7" s="25" t="b">
        <f t="shared" si="11"/>
        <v>1</v>
      </c>
      <c r="Q7" s="25" t="b">
        <f t="shared" si="11"/>
        <v>1</v>
      </c>
      <c r="R7" s="25" t="b">
        <f t="shared" si="11"/>
        <v>1</v>
      </c>
      <c r="S7" s="25"/>
      <c r="T7" s="28" t="b">
        <f t="shared" si="6"/>
        <v>1</v>
      </c>
      <c r="U7" s="29">
        <f t="shared" si="7"/>
        <v>0.05</v>
      </c>
      <c r="V7" s="25"/>
      <c r="W7" s="25"/>
      <c r="X7" s="25"/>
      <c r="Y7" s="25"/>
      <c r="Z7" s="25"/>
      <c r="AA7" s="25"/>
      <c r="AB7" s="25"/>
      <c r="AC7" s="25"/>
      <c r="AD7" s="25"/>
      <c r="AE7" s="25"/>
      <c r="AF7" s="25"/>
      <c r="AG7" s="25"/>
      <c r="AH7" s="25"/>
      <c r="AI7" s="25"/>
      <c r="AJ7" s="25"/>
      <c r="AK7" s="25"/>
      <c r="AL7" s="25"/>
      <c r="AM7" s="25"/>
      <c r="AN7" s="25"/>
      <c r="AO7" s="25"/>
      <c r="AP7" s="25"/>
      <c r="AQ7" s="25"/>
      <c r="AR7" s="25"/>
      <c r="AS7" s="25"/>
      <c r="AT7" s="25"/>
    </row>
    <row r="8" ht="12.75" customHeight="1">
      <c r="A8" s="22">
        <f t="shared" si="8"/>
        <v>6</v>
      </c>
      <c r="B8" s="26"/>
      <c r="C8" s="26">
        <f>VLOOKUP($A8,reporting!$A:$D,COLUMN(last_reporting_year),FALSE)</f>
        <v>2020</v>
      </c>
      <c r="D8" s="26">
        <f t="shared" si="2"/>
        <v>2019</v>
      </c>
      <c r="E8" s="27" t="b">
        <f>VLOOKUP($A8,test1_1!$A:$Q,COLUMN(test1_1!P:P),FALSE)</f>
        <v>1</v>
      </c>
      <c r="F8" s="33">
        <f t="array" ref="F8">IF($E8,index(scope_1_verif,MATCH("id"&amp;$A8&amp;"year"&amp;$C8,ghg!$AR:$AR,0)),0)</f>
        <v>1</v>
      </c>
      <c r="G8" s="33">
        <f t="array" ref="G8">IF($E8,index(scope_2_loc_verif,MATCH("id"&amp;$A8&amp;"year"&amp;$C8,ghg!$AR:$AR,0)),0)</f>
        <v>1</v>
      </c>
      <c r="H8" s="33">
        <f t="array" ref="H8">IF($E8,index(scope_2_mkt_verif,MATCH("id"&amp;$A8&amp;"year"&amp;$C8,ghg!$AR:$AR,0)),0)</f>
        <v>1</v>
      </c>
      <c r="I8" s="34">
        <f t="shared" si="3"/>
        <v>1</v>
      </c>
      <c r="J8" s="33">
        <f t="array" ref="J8">IF($E8,index(scope_1_verif,MATCH("id"&amp;$A8&amp;"year"&amp;$D8,ghg!$AR:$AR,0)),0)</f>
        <v>1</v>
      </c>
      <c r="K8" s="33">
        <f t="array" ref="K8">IF($E8,index(scope_2_loc_verif,MATCH("id"&amp;$A8&amp;"year"&amp;$D8,ghg!$AR:$AR,0)),0)</f>
        <v>1</v>
      </c>
      <c r="L8" s="33">
        <f t="array" ref="L8">IF($E8,index(scope_2_mkt_verif,MATCH("id"&amp;$A8&amp;"year"&amp;$D8,ghg!$AR:$AR,0)),0)</f>
        <v>1</v>
      </c>
      <c r="M8" s="34">
        <f t="shared" si="4"/>
        <v>1</v>
      </c>
      <c r="N8" s="26"/>
      <c r="O8" s="25" t="b">
        <f t="shared" ref="O8:R8" si="12">(F8&gt;=O$2)</f>
        <v>1</v>
      </c>
      <c r="P8" s="25" t="b">
        <f t="shared" si="12"/>
        <v>1</v>
      </c>
      <c r="Q8" s="25" t="b">
        <f t="shared" si="12"/>
        <v>1</v>
      </c>
      <c r="R8" s="25" t="b">
        <f t="shared" si="12"/>
        <v>1</v>
      </c>
      <c r="S8" s="25"/>
      <c r="T8" s="28" t="b">
        <f t="shared" si="6"/>
        <v>1</v>
      </c>
      <c r="U8" s="29">
        <f t="shared" si="7"/>
        <v>0.05</v>
      </c>
      <c r="V8" s="25"/>
      <c r="W8" s="25"/>
      <c r="X8" s="25"/>
      <c r="Y8" s="25"/>
      <c r="Z8" s="25"/>
      <c r="AA8" s="25"/>
      <c r="AB8" s="25"/>
      <c r="AC8" s="25"/>
      <c r="AD8" s="25"/>
      <c r="AE8" s="25"/>
      <c r="AF8" s="25"/>
      <c r="AG8" s="25"/>
      <c r="AH8" s="25"/>
      <c r="AI8" s="25"/>
      <c r="AJ8" s="25"/>
      <c r="AK8" s="25"/>
      <c r="AL8" s="25"/>
      <c r="AM8" s="25"/>
      <c r="AN8" s="25"/>
      <c r="AO8" s="25"/>
      <c r="AP8" s="25"/>
      <c r="AQ8" s="25"/>
      <c r="AR8" s="25"/>
      <c r="AS8" s="25"/>
      <c r="AT8" s="25"/>
    </row>
    <row r="9" ht="12.75" customHeight="1">
      <c r="A9" s="22">
        <f t="shared" si="8"/>
        <v>7</v>
      </c>
      <c r="B9" s="26"/>
      <c r="C9" s="26">
        <f>VLOOKUP($A9,reporting!$A:$D,COLUMN(last_reporting_year),FALSE)</f>
        <v>2019</v>
      </c>
      <c r="D9" s="26">
        <f t="shared" si="2"/>
        <v>2018</v>
      </c>
      <c r="E9" s="27" t="b">
        <f>VLOOKUP($A9,test1_1!$A:$Q,COLUMN(test1_1!P:P),FALSE)</f>
        <v>1</v>
      </c>
      <c r="F9" s="33">
        <f t="array" ref="F9">IF($E9,index(scope_1_verif,MATCH("id"&amp;$A9&amp;"year"&amp;$C9,ghg!$AR:$AR,0)),0)</f>
        <v>1</v>
      </c>
      <c r="G9" s="33">
        <f t="array" ref="G9">IF($E9,index(scope_2_loc_verif,MATCH("id"&amp;$A9&amp;"year"&amp;$C9,ghg!$AR:$AR,0)),0)</f>
        <v>1</v>
      </c>
      <c r="H9" s="33">
        <f t="array" ref="H9">IF($E9,index(scope_2_mkt_verif,MATCH("id"&amp;$A9&amp;"year"&amp;$C9,ghg!$AR:$AR,0)),0)</f>
        <v>1</v>
      </c>
      <c r="I9" s="34">
        <f t="shared" si="3"/>
        <v>1</v>
      </c>
      <c r="J9" s="33">
        <f t="array" ref="J9">IF($E9,index(scope_1_verif,MATCH("id"&amp;$A9&amp;"year"&amp;$D9,ghg!$AR:$AR,0)),0)</f>
        <v>1</v>
      </c>
      <c r="K9" s="33">
        <f t="array" ref="K9">IF($E9,index(scope_2_loc_verif,MATCH("id"&amp;$A9&amp;"year"&amp;$D9,ghg!$AR:$AR,0)),0)</f>
        <v>1</v>
      </c>
      <c r="L9" s="33">
        <f t="array" ref="L9">IF($E9,index(scope_2_mkt_verif,MATCH("id"&amp;$A9&amp;"year"&amp;$D9,ghg!$AR:$AR,0)),0)</f>
        <v>1</v>
      </c>
      <c r="M9" s="34">
        <f t="shared" si="4"/>
        <v>1</v>
      </c>
      <c r="N9" s="26"/>
      <c r="O9" s="25" t="b">
        <f t="shared" ref="O9:R9" si="13">(F9&gt;=O$2)</f>
        <v>1</v>
      </c>
      <c r="P9" s="25" t="b">
        <f t="shared" si="13"/>
        <v>1</v>
      </c>
      <c r="Q9" s="25" t="b">
        <f t="shared" si="13"/>
        <v>1</v>
      </c>
      <c r="R9" s="25" t="b">
        <f t="shared" si="13"/>
        <v>1</v>
      </c>
      <c r="S9" s="25"/>
      <c r="T9" s="28" t="b">
        <f t="shared" si="6"/>
        <v>1</v>
      </c>
      <c r="U9" s="29">
        <f t="shared" si="7"/>
        <v>0.05</v>
      </c>
      <c r="V9" s="25"/>
      <c r="W9" s="25"/>
      <c r="X9" s="25"/>
      <c r="Y9" s="25"/>
      <c r="Z9" s="25"/>
      <c r="AA9" s="25"/>
      <c r="AB9" s="25"/>
      <c r="AC9" s="25"/>
      <c r="AD9" s="25"/>
      <c r="AE9" s="25"/>
      <c r="AF9" s="25"/>
      <c r="AG9" s="25"/>
      <c r="AH9" s="25"/>
      <c r="AI9" s="25"/>
      <c r="AJ9" s="25"/>
      <c r="AK9" s="25"/>
      <c r="AL9" s="25"/>
      <c r="AM9" s="25"/>
      <c r="AN9" s="25"/>
      <c r="AO9" s="25"/>
      <c r="AP9" s="25"/>
      <c r="AQ9" s="25"/>
      <c r="AR9" s="25"/>
      <c r="AS9" s="25"/>
      <c r="AT9" s="25"/>
    </row>
    <row r="10" ht="12.75" customHeight="1">
      <c r="A10" s="22">
        <f t="shared" si="8"/>
        <v>8</v>
      </c>
      <c r="B10" s="26"/>
      <c r="C10" s="26">
        <f>VLOOKUP($A10,reporting!$A:$D,COLUMN(last_reporting_year),FALSE)</f>
        <v>2020</v>
      </c>
      <c r="D10" s="26">
        <f t="shared" si="2"/>
        <v>2019</v>
      </c>
      <c r="E10" s="27" t="b">
        <f>VLOOKUP($A10,test1_1!$A:$Q,COLUMN(test1_1!P:P),FALSE)</f>
        <v>1</v>
      </c>
      <c r="F10" s="33">
        <f t="array" ref="F10">IF($E10,index(scope_1_verif,MATCH("id"&amp;$A10&amp;"year"&amp;$C10,ghg!$AR:$AR,0)),0)</f>
        <v>1</v>
      </c>
      <c r="G10" s="33">
        <f t="array" ref="G10">IF($E10,index(scope_2_loc_verif,MATCH("id"&amp;$A10&amp;"year"&amp;$C10,ghg!$AR:$AR,0)),0)</f>
        <v>1</v>
      </c>
      <c r="H10" s="33">
        <f t="array" ref="H10">IF($E10,index(scope_2_mkt_verif,MATCH("id"&amp;$A10&amp;"year"&amp;$C10,ghg!$AR:$AR,0)),0)</f>
        <v>1</v>
      </c>
      <c r="I10" s="34">
        <f t="shared" si="3"/>
        <v>1</v>
      </c>
      <c r="J10" s="33">
        <f t="array" ref="J10">IF($E10,index(scope_1_verif,MATCH("id"&amp;$A10&amp;"year"&amp;$D10,ghg!$AR:$AR,0)),0)</f>
        <v>1</v>
      </c>
      <c r="K10" s="33">
        <f t="array" ref="K10">IF($E10,index(scope_2_loc_verif,MATCH("id"&amp;$A10&amp;"year"&amp;$D10,ghg!$AR:$AR,0)),0)</f>
        <v>1</v>
      </c>
      <c r="L10" s="33">
        <f t="array" ref="L10">IF($E10,index(scope_2_mkt_verif,MATCH("id"&amp;$A10&amp;"year"&amp;$D10,ghg!$AR:$AR,0)),0)</f>
        <v>1</v>
      </c>
      <c r="M10" s="34">
        <f t="shared" si="4"/>
        <v>1</v>
      </c>
      <c r="N10" s="26"/>
      <c r="O10" s="25" t="b">
        <f t="shared" ref="O10:R10" si="14">(F10&gt;=O$2)</f>
        <v>1</v>
      </c>
      <c r="P10" s="25" t="b">
        <f t="shared" si="14"/>
        <v>1</v>
      </c>
      <c r="Q10" s="25" t="b">
        <f t="shared" si="14"/>
        <v>1</v>
      </c>
      <c r="R10" s="25" t="b">
        <f t="shared" si="14"/>
        <v>1</v>
      </c>
      <c r="S10" s="25"/>
      <c r="T10" s="28" t="b">
        <f t="shared" si="6"/>
        <v>1</v>
      </c>
      <c r="U10" s="29">
        <f t="shared" si="7"/>
        <v>0.05</v>
      </c>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row>
    <row r="11" ht="12.75" customHeight="1">
      <c r="A11" s="22">
        <f t="shared" si="8"/>
        <v>9</v>
      </c>
      <c r="B11" s="26"/>
      <c r="C11" s="26">
        <f>VLOOKUP($A11,reporting!$A:$D,COLUMN(last_reporting_year),FALSE)</f>
        <v>2020</v>
      </c>
      <c r="D11" s="26">
        <f t="shared" si="2"/>
        <v>2019</v>
      </c>
      <c r="E11" s="27" t="b">
        <f>VLOOKUP($A11,test1_1!$A:$Q,COLUMN(test1_1!P:P),FALSE)</f>
        <v>1</v>
      </c>
      <c r="F11" s="33">
        <f t="array" ref="F11">IF($E11,index(scope_1_verif,MATCH("id"&amp;$A11&amp;"year"&amp;$C11,ghg!$AR:$AR,0)),0)</f>
        <v>1</v>
      </c>
      <c r="G11" s="33">
        <f t="array" ref="G11">IF($E11,index(scope_2_loc_verif,MATCH("id"&amp;$A11&amp;"year"&amp;$C11,ghg!$AR:$AR,0)),0)</f>
        <v>1</v>
      </c>
      <c r="H11" s="33">
        <f t="array" ref="H11">IF($E11,index(scope_2_mkt_verif,MATCH("id"&amp;$A11&amp;"year"&amp;$C11,ghg!$AR:$AR,0)),0)</f>
        <v>1</v>
      </c>
      <c r="I11" s="34">
        <f t="shared" si="3"/>
        <v>1</v>
      </c>
      <c r="J11" s="33">
        <f t="array" ref="J11">IF($E11,index(scope_1_verif,MATCH("id"&amp;$A11&amp;"year"&amp;$D11,ghg!$AR:$AR,0)),0)</f>
        <v>1</v>
      </c>
      <c r="K11" s="33">
        <f t="array" ref="K11">IF($E11,index(scope_2_loc_verif,MATCH("id"&amp;$A11&amp;"year"&amp;$D11,ghg!$AR:$AR,0)),0)</f>
        <v>1</v>
      </c>
      <c r="L11" s="33">
        <f t="array" ref="L11">IF($E11,index(scope_2_mkt_verif,MATCH("id"&amp;$A11&amp;"year"&amp;$D11,ghg!$AR:$AR,0)),0)</f>
        <v>1</v>
      </c>
      <c r="M11" s="34">
        <f t="shared" si="4"/>
        <v>1</v>
      </c>
      <c r="N11" s="26"/>
      <c r="O11" s="25" t="b">
        <f t="shared" ref="O11:R11" si="15">(F11&gt;=O$2)</f>
        <v>1</v>
      </c>
      <c r="P11" s="25" t="b">
        <f t="shared" si="15"/>
        <v>1</v>
      </c>
      <c r="Q11" s="25" t="b">
        <f t="shared" si="15"/>
        <v>1</v>
      </c>
      <c r="R11" s="25" t="b">
        <f t="shared" si="15"/>
        <v>1</v>
      </c>
      <c r="S11" s="25"/>
      <c r="T11" s="28" t="b">
        <f t="shared" si="6"/>
        <v>1</v>
      </c>
      <c r="U11" s="29">
        <f t="shared" si="7"/>
        <v>0.05</v>
      </c>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ht="12.75" customHeight="1">
      <c r="A12" s="22">
        <f t="shared" si="8"/>
        <v>10</v>
      </c>
      <c r="B12" s="26"/>
      <c r="C12" s="26">
        <f>VLOOKUP($A12,reporting!$A:$D,COLUMN(last_reporting_year),FALSE)</f>
        <v>2019</v>
      </c>
      <c r="D12" s="26">
        <f t="shared" si="2"/>
        <v>2018</v>
      </c>
      <c r="E12" s="27" t="b">
        <f>VLOOKUP($A12,test1_1!$A:$Q,COLUMN(test1_1!P:P),FALSE)</f>
        <v>1</v>
      </c>
      <c r="F12" s="33">
        <f t="array" ref="F12">IF($E12,index(scope_1_verif,MATCH("id"&amp;$A12&amp;"year"&amp;$C12,ghg!$AR:$AR,0)),0)</f>
        <v>1</v>
      </c>
      <c r="G12" s="33">
        <f t="array" ref="G12">IF($E12,index(scope_2_loc_verif,MATCH("id"&amp;$A12&amp;"year"&amp;$C12,ghg!$AR:$AR,0)),0)</f>
        <v>1</v>
      </c>
      <c r="H12" s="33">
        <f t="array" ref="H12">IF($E12,index(scope_2_mkt_verif,MATCH("id"&amp;$A12&amp;"year"&amp;$C12,ghg!$AR:$AR,0)),0)</f>
        <v>1</v>
      </c>
      <c r="I12" s="34">
        <f t="shared" si="3"/>
        <v>1</v>
      </c>
      <c r="J12" s="33">
        <f t="array" ref="J12">IF($E12,index(scope_1_verif,MATCH("id"&amp;$A12&amp;"year"&amp;$D12,ghg!$AR:$AR,0)),0)</f>
        <v>1</v>
      </c>
      <c r="K12" s="33">
        <f t="array" ref="K12">IF($E12,index(scope_2_loc_verif,MATCH("id"&amp;$A12&amp;"year"&amp;$D12,ghg!$AR:$AR,0)),0)</f>
        <v>1</v>
      </c>
      <c r="L12" s="33">
        <f t="array" ref="L12">IF($E12,index(scope_2_mkt_verif,MATCH("id"&amp;$A12&amp;"year"&amp;$D12,ghg!$AR:$AR,0)),0)</f>
        <v>1</v>
      </c>
      <c r="M12" s="34">
        <f t="shared" si="4"/>
        <v>1</v>
      </c>
      <c r="N12" s="26"/>
      <c r="O12" s="25" t="b">
        <f t="shared" ref="O12:R12" si="16">(F12&gt;=O$2)</f>
        <v>1</v>
      </c>
      <c r="P12" s="25" t="b">
        <f t="shared" si="16"/>
        <v>1</v>
      </c>
      <c r="Q12" s="25" t="b">
        <f t="shared" si="16"/>
        <v>1</v>
      </c>
      <c r="R12" s="25" t="b">
        <f t="shared" si="16"/>
        <v>1</v>
      </c>
      <c r="S12" s="25"/>
      <c r="T12" s="28" t="b">
        <f t="shared" si="6"/>
        <v>1</v>
      </c>
      <c r="U12" s="29">
        <f t="shared" si="7"/>
        <v>0.05</v>
      </c>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row>
    <row r="13" ht="12.75" customHeight="1">
      <c r="A13" s="22">
        <f t="shared" si="8"/>
        <v>11</v>
      </c>
      <c r="B13" s="26"/>
      <c r="C13" s="26">
        <f>VLOOKUP($A13,reporting!$A:$D,COLUMN(last_reporting_year),FALSE)</f>
        <v>2020</v>
      </c>
      <c r="D13" s="26">
        <f t="shared" si="2"/>
        <v>2019</v>
      </c>
      <c r="E13" s="27" t="b">
        <f>VLOOKUP($A13,test1_1!$A:$Q,COLUMN(test1_1!P:P),FALSE)</f>
        <v>1</v>
      </c>
      <c r="F13" s="33">
        <f t="array" ref="F13">IF($E13,index(scope_1_verif,MATCH("id"&amp;$A13&amp;"year"&amp;$C13,ghg!$AR:$AR,0)),0)</f>
        <v>0</v>
      </c>
      <c r="G13" s="33">
        <f t="array" ref="G13">IF($E13,index(scope_2_loc_verif,MATCH("id"&amp;$A13&amp;"year"&amp;$C13,ghg!$AR:$AR,0)),0)</f>
        <v>0</v>
      </c>
      <c r="H13" s="33">
        <f t="array" ref="H13">IF($E13,index(scope_2_mkt_verif,MATCH("id"&amp;$A13&amp;"year"&amp;$C13,ghg!$AR:$AR,0)),0)</f>
        <v>0</v>
      </c>
      <c r="I13" s="34">
        <f t="shared" si="3"/>
        <v>0</v>
      </c>
      <c r="J13" s="33">
        <f t="array" ref="J13">IF($E13,index(scope_1_verif,MATCH("id"&amp;$A13&amp;"year"&amp;$D13,ghg!$AR:$AR,0)),0)</f>
        <v>0</v>
      </c>
      <c r="K13" s="33">
        <f t="array" ref="K13">IF($E13,index(scope_2_loc_verif,MATCH("id"&amp;$A13&amp;"year"&amp;$D13,ghg!$AR:$AR,0)),0)</f>
        <v>0</v>
      </c>
      <c r="L13" s="33">
        <f t="array" ref="L13">IF($E13,index(scope_2_mkt_verif,MATCH("id"&amp;$A13&amp;"year"&amp;$D13,ghg!$AR:$AR,0)),0)</f>
        <v>0</v>
      </c>
      <c r="M13" s="34">
        <f t="shared" si="4"/>
        <v>0</v>
      </c>
      <c r="N13" s="26"/>
      <c r="O13" s="25" t="b">
        <f t="shared" ref="O13:R13" si="17">(F13&gt;=O$2)</f>
        <v>0</v>
      </c>
      <c r="P13" s="25" t="b">
        <f t="shared" si="17"/>
        <v>0</v>
      </c>
      <c r="Q13" s="25" t="b">
        <f t="shared" si="17"/>
        <v>0</v>
      </c>
      <c r="R13" s="25" t="b">
        <f t="shared" si="17"/>
        <v>0</v>
      </c>
      <c r="S13" s="25"/>
      <c r="T13" s="28" t="b">
        <f t="shared" si="6"/>
        <v>0</v>
      </c>
      <c r="U13" s="29">
        <f t="shared" si="7"/>
        <v>0</v>
      </c>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row>
    <row r="14" ht="12.75" customHeight="1">
      <c r="A14" s="22">
        <f t="shared" si="8"/>
        <v>12</v>
      </c>
      <c r="B14" s="26"/>
      <c r="C14" s="26">
        <f>VLOOKUP($A14,reporting!$A:$D,COLUMN(last_reporting_year),FALSE)</f>
        <v>2019</v>
      </c>
      <c r="D14" s="26">
        <f t="shared" si="2"/>
        <v>2018</v>
      </c>
      <c r="E14" s="27" t="b">
        <f>VLOOKUP($A14,test1_1!$A:$Q,COLUMN(test1_1!P:P),FALSE)</f>
        <v>1</v>
      </c>
      <c r="F14" s="33">
        <f t="array" ref="F14">IF($E14,index(scope_1_verif,MATCH("id"&amp;$A14&amp;"year"&amp;$C14,ghg!$AR:$AR,0)),0)</f>
        <v>0</v>
      </c>
      <c r="G14" s="33">
        <f t="array" ref="G14">IF($E14,index(scope_2_loc_verif,MATCH("id"&amp;$A14&amp;"year"&amp;$C14,ghg!$AR:$AR,0)),0)</f>
        <v>0</v>
      </c>
      <c r="H14" s="33">
        <f t="array" ref="H14">IF($E14,index(scope_2_mkt_verif,MATCH("id"&amp;$A14&amp;"year"&amp;$C14,ghg!$AR:$AR,0)),0)</f>
        <v>0</v>
      </c>
      <c r="I14" s="34">
        <f t="shared" si="3"/>
        <v>0</v>
      </c>
      <c r="J14" s="33">
        <f t="array" ref="J14">IF($E14,index(scope_1_verif,MATCH("id"&amp;$A14&amp;"year"&amp;$D14,ghg!$AR:$AR,0)),0)</f>
        <v>0</v>
      </c>
      <c r="K14" s="33">
        <f t="array" ref="K14">IF($E14,index(scope_2_loc_verif,MATCH("id"&amp;$A14&amp;"year"&amp;$D14,ghg!$AR:$AR,0)),0)</f>
        <v>0</v>
      </c>
      <c r="L14" s="33">
        <f t="array" ref="L14">IF($E14,index(scope_2_mkt_verif,MATCH("id"&amp;$A14&amp;"year"&amp;$D14,ghg!$AR:$AR,0)),0)</f>
        <v>0</v>
      </c>
      <c r="M14" s="34">
        <f t="shared" si="4"/>
        <v>0</v>
      </c>
      <c r="N14" s="26"/>
      <c r="O14" s="25" t="b">
        <f t="shared" ref="O14:R14" si="18">(F14&gt;=O$2)</f>
        <v>0</v>
      </c>
      <c r="P14" s="25" t="b">
        <f t="shared" si="18"/>
        <v>0</v>
      </c>
      <c r="Q14" s="25" t="b">
        <f t="shared" si="18"/>
        <v>0</v>
      </c>
      <c r="R14" s="25" t="b">
        <f t="shared" si="18"/>
        <v>0</v>
      </c>
      <c r="S14" s="25"/>
      <c r="T14" s="28" t="b">
        <f t="shared" si="6"/>
        <v>0</v>
      </c>
      <c r="U14" s="29">
        <f t="shared" si="7"/>
        <v>0</v>
      </c>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row>
    <row r="15" ht="12.75" customHeight="1">
      <c r="A15" s="22">
        <f t="shared" si="8"/>
        <v>13</v>
      </c>
      <c r="B15" s="26"/>
      <c r="C15" s="26">
        <f>VLOOKUP($A15,reporting!$A:$D,COLUMN(last_reporting_year),FALSE)</f>
        <v>2019</v>
      </c>
      <c r="D15" s="26">
        <f t="shared" si="2"/>
        <v>2018</v>
      </c>
      <c r="E15" s="27" t="b">
        <f>VLOOKUP($A15,test1_1!$A:$Q,COLUMN(test1_1!P:P),FALSE)</f>
        <v>1</v>
      </c>
      <c r="F15" s="33">
        <f t="array" ref="F15">IF($E15,index(scope_1_verif,MATCH("id"&amp;$A15&amp;"year"&amp;$C15,ghg!$AR:$AR,0)),0)</f>
        <v>1</v>
      </c>
      <c r="G15" s="33">
        <f t="array" ref="G15">IF($E15,index(scope_2_loc_verif,MATCH("id"&amp;$A15&amp;"year"&amp;$C15,ghg!$AR:$AR,0)),0)</f>
        <v>1</v>
      </c>
      <c r="H15" s="33">
        <f t="array" ref="H15">IF($E15,index(scope_2_mkt_verif,MATCH("id"&amp;$A15&amp;"year"&amp;$C15,ghg!$AR:$AR,0)),0)</f>
        <v>1</v>
      </c>
      <c r="I15" s="34">
        <f t="shared" si="3"/>
        <v>1</v>
      </c>
      <c r="J15" s="33">
        <f t="array" ref="J15">IF($E15,index(scope_1_verif,MATCH("id"&amp;$A15&amp;"year"&amp;$D15,ghg!$AR:$AR,0)),0)</f>
        <v>1</v>
      </c>
      <c r="K15" s="33">
        <f t="array" ref="K15">IF($E15,index(scope_2_loc_verif,MATCH("id"&amp;$A15&amp;"year"&amp;$D15,ghg!$AR:$AR,0)),0)</f>
        <v>1</v>
      </c>
      <c r="L15" s="33">
        <f t="array" ref="L15">IF($E15,index(scope_2_mkt_verif,MATCH("id"&amp;$A15&amp;"year"&amp;$D15,ghg!$AR:$AR,0)),0)</f>
        <v>1</v>
      </c>
      <c r="M15" s="34">
        <f t="shared" si="4"/>
        <v>1</v>
      </c>
      <c r="N15" s="26"/>
      <c r="O15" s="25" t="b">
        <f t="shared" ref="O15:R15" si="19">(F15&gt;=O$2)</f>
        <v>1</v>
      </c>
      <c r="P15" s="25" t="b">
        <f t="shared" si="19"/>
        <v>1</v>
      </c>
      <c r="Q15" s="25" t="b">
        <f t="shared" si="19"/>
        <v>1</v>
      </c>
      <c r="R15" s="25" t="b">
        <f t="shared" si="19"/>
        <v>1</v>
      </c>
      <c r="S15" s="25"/>
      <c r="T15" s="28" t="b">
        <f t="shared" si="6"/>
        <v>1</v>
      </c>
      <c r="U15" s="29">
        <f t="shared" si="7"/>
        <v>0.05</v>
      </c>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row>
    <row r="16" ht="12.75" customHeight="1">
      <c r="A16" s="22">
        <f t="shared" si="8"/>
        <v>14</v>
      </c>
      <c r="B16" s="26"/>
      <c r="C16" s="26">
        <f>VLOOKUP($A16,reporting!$A:$D,COLUMN(last_reporting_year),FALSE)</f>
        <v>2020</v>
      </c>
      <c r="D16" s="26">
        <f t="shared" si="2"/>
        <v>2019</v>
      </c>
      <c r="E16" s="27" t="b">
        <f>VLOOKUP($A16,test1_1!$A:$Q,COLUMN(test1_1!P:P),FALSE)</f>
        <v>1</v>
      </c>
      <c r="F16" s="33">
        <f t="array" ref="F16">IF($E16,index(scope_1_verif,MATCH("id"&amp;$A16&amp;"year"&amp;$C16,ghg!$AR:$AR,0)),0)</f>
        <v>1</v>
      </c>
      <c r="G16" s="33">
        <f t="array" ref="G16">IF($E16,index(scope_2_loc_verif,MATCH("id"&amp;$A16&amp;"year"&amp;$C16,ghg!$AR:$AR,0)),0)</f>
        <v>1</v>
      </c>
      <c r="H16" s="33">
        <f t="array" ref="H16">IF($E16,index(scope_2_mkt_verif,MATCH("id"&amp;$A16&amp;"year"&amp;$C16,ghg!$AR:$AR,0)),0)</f>
        <v>1</v>
      </c>
      <c r="I16" s="34">
        <f t="shared" si="3"/>
        <v>1</v>
      </c>
      <c r="J16" s="33">
        <f t="array" ref="J16">IF($E16,index(scope_1_verif,MATCH("id"&amp;$A16&amp;"year"&amp;$D16,ghg!$AR:$AR,0)),0)</f>
        <v>1</v>
      </c>
      <c r="K16" s="33">
        <f t="array" ref="K16">IF($E16,index(scope_2_loc_verif,MATCH("id"&amp;$A16&amp;"year"&amp;$D16,ghg!$AR:$AR,0)),0)</f>
        <v>1</v>
      </c>
      <c r="L16" s="33">
        <f t="array" ref="L16">IF($E16,index(scope_2_mkt_verif,MATCH("id"&amp;$A16&amp;"year"&amp;$D16,ghg!$AR:$AR,0)),0)</f>
        <v>1</v>
      </c>
      <c r="M16" s="34">
        <f t="shared" si="4"/>
        <v>1</v>
      </c>
      <c r="N16" s="26"/>
      <c r="O16" s="25" t="b">
        <f t="shared" ref="O16:R16" si="20">(F16&gt;=O$2)</f>
        <v>1</v>
      </c>
      <c r="P16" s="25" t="b">
        <f t="shared" si="20"/>
        <v>1</v>
      </c>
      <c r="Q16" s="25" t="b">
        <f t="shared" si="20"/>
        <v>1</v>
      </c>
      <c r="R16" s="25" t="b">
        <f t="shared" si="20"/>
        <v>1</v>
      </c>
      <c r="S16" s="25"/>
      <c r="T16" s="28" t="b">
        <f t="shared" si="6"/>
        <v>1</v>
      </c>
      <c r="U16" s="29">
        <f t="shared" si="7"/>
        <v>0.05</v>
      </c>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ht="12.75" customHeight="1">
      <c r="A17" s="22">
        <f t="shared" si="8"/>
        <v>15</v>
      </c>
      <c r="B17" s="26"/>
      <c r="C17" s="26">
        <f>VLOOKUP($A17,reporting!$A:$D,COLUMN(last_reporting_year),FALSE)</f>
        <v>2019</v>
      </c>
      <c r="D17" s="26">
        <f t="shared" si="2"/>
        <v>2018</v>
      </c>
      <c r="E17" s="27" t="b">
        <f>VLOOKUP($A17,test1_1!$A:$Q,COLUMN(test1_1!P:P),FALSE)</f>
        <v>1</v>
      </c>
      <c r="F17" s="33">
        <f t="array" ref="F17">IF($E17,index(scope_1_verif,MATCH("id"&amp;$A17&amp;"year"&amp;$C17,ghg!$AR:$AR,0)),0)</f>
        <v>1</v>
      </c>
      <c r="G17" s="33">
        <f t="array" ref="G17">IF($E17,index(scope_2_loc_verif,MATCH("id"&amp;$A17&amp;"year"&amp;$C17,ghg!$AR:$AR,0)),0)</f>
        <v>1</v>
      </c>
      <c r="H17" s="33">
        <f t="array" ref="H17">IF($E17,index(scope_2_mkt_verif,MATCH("id"&amp;$A17&amp;"year"&amp;$C17,ghg!$AR:$AR,0)),0)</f>
        <v>1</v>
      </c>
      <c r="I17" s="34">
        <f t="shared" si="3"/>
        <v>1</v>
      </c>
      <c r="J17" s="33">
        <f t="array" ref="J17">IF($E17,index(scope_1_verif,MATCH("id"&amp;$A17&amp;"year"&amp;$D17,ghg!$AR:$AR,0)),0)</f>
        <v>1</v>
      </c>
      <c r="K17" s="33">
        <f t="array" ref="K17">IF($E17,index(scope_2_loc_verif,MATCH("id"&amp;$A17&amp;"year"&amp;$D17,ghg!$AR:$AR,0)),0)</f>
        <v>1</v>
      </c>
      <c r="L17" s="33">
        <f t="array" ref="L17">IF($E17,index(scope_2_mkt_verif,MATCH("id"&amp;$A17&amp;"year"&amp;$D17,ghg!$AR:$AR,0)),0)</f>
        <v>1</v>
      </c>
      <c r="M17" s="34">
        <f t="shared" si="4"/>
        <v>1</v>
      </c>
      <c r="N17" s="26"/>
      <c r="O17" s="25" t="b">
        <f t="shared" ref="O17:R17" si="21">(F17&gt;=O$2)</f>
        <v>1</v>
      </c>
      <c r="P17" s="25" t="b">
        <f t="shared" si="21"/>
        <v>1</v>
      </c>
      <c r="Q17" s="25" t="b">
        <f t="shared" si="21"/>
        <v>1</v>
      </c>
      <c r="R17" s="25" t="b">
        <f t="shared" si="21"/>
        <v>1</v>
      </c>
      <c r="S17" s="25"/>
      <c r="T17" s="28" t="b">
        <f t="shared" si="6"/>
        <v>1</v>
      </c>
      <c r="U17" s="29">
        <f t="shared" si="7"/>
        <v>0.05</v>
      </c>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ht="12.75" customHeight="1">
      <c r="A18" s="22">
        <f t="shared" si="8"/>
        <v>16</v>
      </c>
      <c r="B18" s="26"/>
      <c r="C18" s="26">
        <f>VLOOKUP($A18,reporting!$A:$D,COLUMN(last_reporting_year),FALSE)</f>
        <v>2020</v>
      </c>
      <c r="D18" s="26">
        <f t="shared" si="2"/>
        <v>2019</v>
      </c>
      <c r="E18" s="27" t="b">
        <f>VLOOKUP($A18,test1_1!$A:$Q,COLUMN(test1_1!P:P),FALSE)</f>
        <v>1</v>
      </c>
      <c r="F18" s="33" t="str">
        <f t="array" ref="F18">IF($E18,index(scope_1_verif,MATCH("id"&amp;$A18&amp;"year"&amp;$C18,ghg!$AR:$AR,0)),0)</f>
        <v/>
      </c>
      <c r="G18" s="33" t="str">
        <f t="array" ref="G18">IF($E18,index(scope_2_loc_verif,MATCH("id"&amp;$A18&amp;"year"&amp;$C18,ghg!$AR:$AR,0)),0)</f>
        <v/>
      </c>
      <c r="H18" s="33" t="str">
        <f t="array" ref="H18">IF($E18,index(scope_2_mkt_verif,MATCH("id"&amp;$A18&amp;"year"&amp;$C18,ghg!$AR:$AR,0)),0)</f>
        <v/>
      </c>
      <c r="I18" s="34">
        <f t="shared" si="3"/>
        <v>0</v>
      </c>
      <c r="J18" s="33">
        <f t="array" ref="J18">IF($E18,index(scope_1_verif,MATCH("id"&amp;$A18&amp;"year"&amp;$D18,ghg!$AR:$AR,0)),0)</f>
        <v>1</v>
      </c>
      <c r="K18" s="33">
        <f t="array" ref="K18">IF($E18,index(scope_2_loc_verif,MATCH("id"&amp;$A18&amp;"year"&amp;$D18,ghg!$AR:$AR,0)),0)</f>
        <v>1</v>
      </c>
      <c r="L18" s="33">
        <f t="array" ref="L18">IF($E18,index(scope_2_mkt_verif,MATCH("id"&amp;$A18&amp;"year"&amp;$D18,ghg!$AR:$AR,0)),0)</f>
        <v>1</v>
      </c>
      <c r="M18" s="34">
        <f t="shared" si="4"/>
        <v>1</v>
      </c>
      <c r="N18" s="26"/>
      <c r="O18" s="25" t="b">
        <f t="shared" ref="O18:R18" si="22">(F18&gt;=O$2)</f>
        <v>0</v>
      </c>
      <c r="P18" s="25" t="b">
        <f t="shared" si="22"/>
        <v>0</v>
      </c>
      <c r="Q18" s="25" t="b">
        <f t="shared" si="22"/>
        <v>0</v>
      </c>
      <c r="R18" s="25" t="b">
        <f t="shared" si="22"/>
        <v>0</v>
      </c>
      <c r="S18" s="25"/>
      <c r="T18" s="28" t="b">
        <f t="shared" si="6"/>
        <v>0</v>
      </c>
      <c r="U18" s="29">
        <f t="shared" si="7"/>
        <v>0</v>
      </c>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row>
    <row r="19" ht="12.75" customHeight="1">
      <c r="A19" s="22">
        <f t="shared" si="8"/>
        <v>17</v>
      </c>
      <c r="B19" s="26"/>
      <c r="C19" s="26" t="str">
        <f>VLOOKUP($A19,reporting!$A:$D,COLUMN(last_reporting_year),FALSE)</f>
        <v>NR</v>
      </c>
      <c r="D19" s="26" t="str">
        <f t="shared" si="2"/>
        <v>NR</v>
      </c>
      <c r="E19" s="27" t="b">
        <f>VLOOKUP($A19,test1_1!$A:$Q,COLUMN(test1_1!P:P),FALSE)</f>
        <v>0</v>
      </c>
      <c r="F19" s="33">
        <f t="array" ref="F19">IF($E19,index(scope_1_verif,MATCH("id"&amp;$A19&amp;"year"&amp;$C19,ghg!$AR:$AR,0)),0)</f>
        <v>0</v>
      </c>
      <c r="G19" s="33">
        <f t="array" ref="G19">IF($E19,index(scope_2_loc_verif,MATCH("id"&amp;$A19&amp;"year"&amp;$C19,ghg!$AR:$AR,0)),0)</f>
        <v>0</v>
      </c>
      <c r="H19" s="33">
        <f t="array" ref="H19">IF($E19,index(scope_2_mkt_verif,MATCH("id"&amp;$A19&amp;"year"&amp;$C19,ghg!$AR:$AR,0)),0)</f>
        <v>0</v>
      </c>
      <c r="I19" s="34">
        <f t="shared" si="3"/>
        <v>0</v>
      </c>
      <c r="J19" s="33">
        <f t="array" ref="J19">IF($E19,index(scope_1_verif,MATCH("id"&amp;$A19&amp;"year"&amp;$D19,ghg!$AR:$AR,0)),0)</f>
        <v>0</v>
      </c>
      <c r="K19" s="33">
        <f t="array" ref="K19">IF($E19,index(scope_2_loc_verif,MATCH("id"&amp;$A19&amp;"year"&amp;$D19,ghg!$AR:$AR,0)),0)</f>
        <v>0</v>
      </c>
      <c r="L19" s="33">
        <f t="array" ref="L19">IF($E19,index(scope_2_mkt_verif,MATCH("id"&amp;$A19&amp;"year"&amp;$D19,ghg!$AR:$AR,0)),0)</f>
        <v>0</v>
      </c>
      <c r="M19" s="34">
        <f t="shared" si="4"/>
        <v>0</v>
      </c>
      <c r="N19" s="26"/>
      <c r="O19" s="25" t="b">
        <f t="shared" ref="O19:R19" si="23">(F19&gt;=O$2)</f>
        <v>0</v>
      </c>
      <c r="P19" s="25" t="b">
        <f t="shared" si="23"/>
        <v>0</v>
      </c>
      <c r="Q19" s="25" t="b">
        <f t="shared" si="23"/>
        <v>0</v>
      </c>
      <c r="R19" s="25" t="b">
        <f t="shared" si="23"/>
        <v>0</v>
      </c>
      <c r="S19" s="25"/>
      <c r="T19" s="28" t="b">
        <f t="shared" si="6"/>
        <v>0</v>
      </c>
      <c r="U19" s="29">
        <f t="shared" si="7"/>
        <v>0</v>
      </c>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row>
    <row r="20" ht="12.75" customHeight="1">
      <c r="A20" s="22">
        <f t="shared" si="8"/>
        <v>18</v>
      </c>
      <c r="B20" s="26"/>
      <c r="C20" s="26">
        <f>VLOOKUP($A20,reporting!$A:$D,COLUMN(last_reporting_year),FALSE)</f>
        <v>2020</v>
      </c>
      <c r="D20" s="26">
        <f t="shared" si="2"/>
        <v>2019</v>
      </c>
      <c r="E20" s="27" t="b">
        <f>VLOOKUP($A20,test1_1!$A:$Q,COLUMN(test1_1!P:P),FALSE)</f>
        <v>1</v>
      </c>
      <c r="F20" s="33">
        <f t="array" ref="F20">IF($E20,index(scope_1_verif,MATCH("id"&amp;$A20&amp;"year"&amp;$C20,ghg!$AR:$AR,0)),0)</f>
        <v>1</v>
      </c>
      <c r="G20" s="33">
        <f t="array" ref="G20">IF($E20,index(scope_2_loc_verif,MATCH("id"&amp;$A20&amp;"year"&amp;$C20,ghg!$AR:$AR,0)),0)</f>
        <v>1</v>
      </c>
      <c r="H20" s="33">
        <f t="array" ref="H20">IF($E20,index(scope_2_mkt_verif,MATCH("id"&amp;$A20&amp;"year"&amp;$C20,ghg!$AR:$AR,0)),0)</f>
        <v>1</v>
      </c>
      <c r="I20" s="34">
        <f t="shared" si="3"/>
        <v>1</v>
      </c>
      <c r="J20" s="33">
        <f t="array" ref="J20">IF($E20,index(scope_1_verif,MATCH("id"&amp;$A20&amp;"year"&amp;$D20,ghg!$AR:$AR,0)),0)</f>
        <v>1</v>
      </c>
      <c r="K20" s="33">
        <f t="array" ref="K20">IF($E20,index(scope_2_loc_verif,MATCH("id"&amp;$A20&amp;"year"&amp;$D20,ghg!$AR:$AR,0)),0)</f>
        <v>1</v>
      </c>
      <c r="L20" s="33">
        <f t="array" ref="L20">IF($E20,index(scope_2_mkt_verif,MATCH("id"&amp;$A20&amp;"year"&amp;$D20,ghg!$AR:$AR,0)),0)</f>
        <v>1</v>
      </c>
      <c r="M20" s="34">
        <f t="shared" si="4"/>
        <v>1</v>
      </c>
      <c r="N20" s="26"/>
      <c r="O20" s="25" t="b">
        <f t="shared" ref="O20:R20" si="24">(F20&gt;=O$2)</f>
        <v>1</v>
      </c>
      <c r="P20" s="25" t="b">
        <f t="shared" si="24"/>
        <v>1</v>
      </c>
      <c r="Q20" s="25" t="b">
        <f t="shared" si="24"/>
        <v>1</v>
      </c>
      <c r="R20" s="25" t="b">
        <f t="shared" si="24"/>
        <v>1</v>
      </c>
      <c r="S20" s="25"/>
      <c r="T20" s="28" t="b">
        <f t="shared" si="6"/>
        <v>1</v>
      </c>
      <c r="U20" s="29">
        <f t="shared" si="7"/>
        <v>0.05</v>
      </c>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row>
    <row r="21" ht="12.75" customHeight="1">
      <c r="A21" s="22">
        <f t="shared" si="8"/>
        <v>19</v>
      </c>
      <c r="B21" s="26"/>
      <c r="C21" s="26">
        <f>VLOOKUP($A21,reporting!$A:$D,COLUMN(last_reporting_year),FALSE)</f>
        <v>2020</v>
      </c>
      <c r="D21" s="26">
        <f t="shared" si="2"/>
        <v>2019</v>
      </c>
      <c r="E21" s="27" t="b">
        <f>VLOOKUP($A21,test1_1!$A:$Q,COLUMN(test1_1!P:P),FALSE)</f>
        <v>1</v>
      </c>
      <c r="F21" s="33">
        <f t="array" ref="F21">IF($E21,index(scope_1_verif,MATCH("id"&amp;$A21&amp;"year"&amp;$C21,ghg!$AR:$AR,0)),0)</f>
        <v>1</v>
      </c>
      <c r="G21" s="33">
        <f t="array" ref="G21">IF($E21,index(scope_2_loc_verif,MATCH("id"&amp;$A21&amp;"year"&amp;$C21,ghg!$AR:$AR,0)),0)</f>
        <v>1</v>
      </c>
      <c r="H21" s="33">
        <f t="array" ref="H21">IF($E21,index(scope_2_mkt_verif,MATCH("id"&amp;$A21&amp;"year"&amp;$C21,ghg!$AR:$AR,0)),0)</f>
        <v>1</v>
      </c>
      <c r="I21" s="34">
        <f t="shared" si="3"/>
        <v>1</v>
      </c>
      <c r="J21" s="33">
        <f t="array" ref="J21">IF($E21,index(scope_1_verif,MATCH("id"&amp;$A21&amp;"year"&amp;$D21,ghg!$AR:$AR,0)),0)</f>
        <v>1</v>
      </c>
      <c r="K21" s="33">
        <f t="array" ref="K21">IF($E21,index(scope_2_loc_verif,MATCH("id"&amp;$A21&amp;"year"&amp;$D21,ghg!$AR:$AR,0)),0)</f>
        <v>1</v>
      </c>
      <c r="L21" s="33">
        <f t="array" ref="L21">IF($E21,index(scope_2_mkt_verif,MATCH("id"&amp;$A21&amp;"year"&amp;$D21,ghg!$AR:$AR,0)),0)</f>
        <v>1</v>
      </c>
      <c r="M21" s="34">
        <f t="shared" si="4"/>
        <v>1</v>
      </c>
      <c r="N21" s="26"/>
      <c r="O21" s="25" t="b">
        <f t="shared" ref="O21:R21" si="25">(F21&gt;=O$2)</f>
        <v>1</v>
      </c>
      <c r="P21" s="25" t="b">
        <f t="shared" si="25"/>
        <v>1</v>
      </c>
      <c r="Q21" s="25" t="b">
        <f t="shared" si="25"/>
        <v>1</v>
      </c>
      <c r="R21" s="25" t="b">
        <f t="shared" si="25"/>
        <v>1</v>
      </c>
      <c r="S21" s="25"/>
      <c r="T21" s="28" t="b">
        <f t="shared" si="6"/>
        <v>1</v>
      </c>
      <c r="U21" s="29">
        <f t="shared" si="7"/>
        <v>0.05</v>
      </c>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row>
    <row r="22" ht="12.75" customHeight="1">
      <c r="A22" s="30">
        <v>66.0</v>
      </c>
      <c r="B22" s="26"/>
      <c r="C22" s="26">
        <f>VLOOKUP($A22,reporting!$A:$D,COLUMN(last_reporting_year),FALSE)</f>
        <v>2020</v>
      </c>
      <c r="D22" s="26">
        <f t="shared" si="2"/>
        <v>2019</v>
      </c>
      <c r="E22" s="27" t="b">
        <f>VLOOKUP($A22,test1_1!$A:$Q,COLUMN(test1_1!P:P),FALSE)</f>
        <v>1</v>
      </c>
      <c r="F22" s="33">
        <f t="array" ref="F22">IF($E22,index(scope_1_verif,MATCH("id"&amp;$A22&amp;"year"&amp;$C22,ghg!$AR:$AR,0)),0)</f>
        <v>1</v>
      </c>
      <c r="G22" s="33">
        <f t="array" ref="G22">IF($E22,index(scope_2_loc_verif,MATCH("id"&amp;$A22&amp;"year"&amp;$C22,ghg!$AR:$AR,0)),0)</f>
        <v>1</v>
      </c>
      <c r="H22" s="33">
        <f t="array" ref="H22">IF($E22,index(scope_2_mkt_verif,MATCH("id"&amp;$A22&amp;"year"&amp;$C22,ghg!$AR:$AR,0)),0)</f>
        <v>1</v>
      </c>
      <c r="I22" s="34">
        <f t="shared" si="3"/>
        <v>1</v>
      </c>
      <c r="J22" s="33">
        <f t="array" ref="J22">IF($E22,index(scope_1_verif,MATCH("id"&amp;$A22&amp;"year"&amp;$D22,ghg!$AR:$AR,0)),0)</f>
        <v>1</v>
      </c>
      <c r="K22" s="33">
        <f t="array" ref="K22">IF($E22,index(scope_2_loc_verif,MATCH("id"&amp;$A22&amp;"year"&amp;$D22,ghg!$AR:$AR,0)),0)</f>
        <v>1</v>
      </c>
      <c r="L22" s="33">
        <f t="array" ref="L22">IF($E22,index(scope_2_mkt_verif,MATCH("id"&amp;$A22&amp;"year"&amp;$D22,ghg!$AR:$AR,0)),0)</f>
        <v>1</v>
      </c>
      <c r="M22" s="34">
        <f t="shared" si="4"/>
        <v>1</v>
      </c>
      <c r="N22" s="26"/>
      <c r="O22" s="25" t="b">
        <f t="shared" ref="O22:R22" si="26">(F22&gt;=O$2)</f>
        <v>1</v>
      </c>
      <c r="P22" s="25" t="b">
        <f t="shared" si="26"/>
        <v>1</v>
      </c>
      <c r="Q22" s="25" t="b">
        <f t="shared" si="26"/>
        <v>1</v>
      </c>
      <c r="R22" s="25" t="b">
        <f t="shared" si="26"/>
        <v>1</v>
      </c>
      <c r="S22" s="25"/>
      <c r="T22" s="28" t="b">
        <f t="shared" si="6"/>
        <v>1</v>
      </c>
      <c r="U22" s="29">
        <f t="shared" si="7"/>
        <v>0.05</v>
      </c>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6" t="s">
        <v>2</v>
      </c>
      <c r="B1" s="17"/>
      <c r="C1" s="18" t="s">
        <v>537</v>
      </c>
      <c r="D1" s="19" t="s">
        <v>549</v>
      </c>
      <c r="E1" s="18" t="s">
        <v>557</v>
      </c>
      <c r="F1" s="18" t="s">
        <v>558</v>
      </c>
      <c r="G1" s="18"/>
      <c r="H1" s="18" t="s">
        <v>565</v>
      </c>
      <c r="I1" s="20" t="s">
        <v>548</v>
      </c>
      <c r="J1" s="19" t="s">
        <v>575</v>
      </c>
      <c r="K1" s="18" t="s">
        <v>566</v>
      </c>
      <c r="L1" s="20" t="s">
        <v>548</v>
      </c>
      <c r="M1" s="19" t="s">
        <v>575</v>
      </c>
      <c r="N1" s="35" t="s">
        <v>576</v>
      </c>
      <c r="O1" s="19" t="s">
        <v>577</v>
      </c>
      <c r="T1" s="36" t="s">
        <v>578</v>
      </c>
      <c r="U1" s="37">
        <v>1.0</v>
      </c>
    </row>
    <row r="2">
      <c r="A2" s="22"/>
      <c r="B2" s="23"/>
      <c r="C2" s="23"/>
      <c r="D2" s="23"/>
      <c r="E2" s="23"/>
      <c r="F2" s="23"/>
      <c r="G2" s="18"/>
      <c r="H2" s="18" t="s">
        <v>579</v>
      </c>
      <c r="I2" s="24">
        <v>0.05</v>
      </c>
      <c r="J2" s="23"/>
      <c r="K2" s="18" t="s">
        <v>580</v>
      </c>
      <c r="L2" s="24">
        <v>0.05</v>
      </c>
      <c r="M2" s="23"/>
      <c r="N2" s="25"/>
      <c r="O2" s="23"/>
      <c r="Q2" s="25"/>
      <c r="R2" s="25"/>
      <c r="S2" s="25"/>
      <c r="T2" s="38" t="s">
        <v>581</v>
      </c>
      <c r="U2" s="37">
        <v>0.5</v>
      </c>
      <c r="V2" s="25"/>
      <c r="W2" s="25"/>
      <c r="X2" s="25"/>
      <c r="Y2" s="25"/>
      <c r="Z2" s="25"/>
      <c r="AA2" s="25"/>
      <c r="AB2" s="25"/>
      <c r="AC2" s="25"/>
      <c r="AD2" s="25"/>
      <c r="AE2" s="25"/>
      <c r="AF2" s="25"/>
      <c r="AG2" s="25"/>
      <c r="AH2" s="25"/>
      <c r="AI2" s="25"/>
      <c r="AJ2" s="25"/>
      <c r="AK2" s="25"/>
    </row>
    <row r="3" ht="12.75" customHeight="1">
      <c r="A3" s="22">
        <v>1.0</v>
      </c>
      <c r="B3" s="26"/>
      <c r="C3" s="26">
        <f>VLOOKUP($A3,reporting!$A:$D,COLUMN(last_reporting_year),FALSE)</f>
        <v>2020</v>
      </c>
      <c r="D3" s="27" t="b">
        <f>VLOOKUP($A3,test1_1!$A:$Q,COLUMN(test1_1!$P:$P),FALSE)</f>
        <v>1</v>
      </c>
      <c r="E3" s="33" t="str">
        <f t="array" ref="E3">IFERROR(index(scope_3_bycategory_details,MATCH("id"&amp;$A3&amp;"year"&amp;$C3,ghg!$AR:$AR,0)),"no")</f>
        <v>cdp</v>
      </c>
      <c r="F3" s="33">
        <f t="array" ref="F3">IFERROR(index(scope_3_verif,MATCH("id"&amp;$A3&amp;"year"&amp;$C3,ghg!$AR:$AR,0)),0)</f>
        <v>1</v>
      </c>
      <c r="G3" s="26"/>
      <c r="H3" s="39">
        <f>IFERROR(VLOOKUP($E3,category_3_1,2,FALSE),0)</f>
        <v>1</v>
      </c>
      <c r="I3" s="25"/>
      <c r="J3" s="29">
        <f t="shared" ref="J3:J22" si="1">H3*I$2</f>
        <v>0.05</v>
      </c>
      <c r="K3" s="39">
        <f t="shared" ref="K3:K22" si="2">max(0,min(100%,VALUE(F3)))</f>
        <v>1</v>
      </c>
      <c r="L3" s="25"/>
      <c r="M3" s="29">
        <f t="shared" ref="M3:M22" si="3">K3*L$2</f>
        <v>0.05</v>
      </c>
      <c r="N3" s="25"/>
      <c r="O3" s="29">
        <f t="shared" ref="O3:O22" si="4">M3+J3</f>
        <v>0.1</v>
      </c>
      <c r="Q3" s="25"/>
      <c r="R3" s="25"/>
      <c r="S3" s="25"/>
      <c r="T3" s="38" t="s">
        <v>582</v>
      </c>
      <c r="U3" s="40">
        <v>0.0</v>
      </c>
      <c r="V3" s="25"/>
      <c r="W3" s="25"/>
      <c r="X3" s="25"/>
      <c r="Y3" s="25"/>
      <c r="Z3" s="25"/>
      <c r="AA3" s="25"/>
      <c r="AB3" s="25"/>
      <c r="AC3" s="25"/>
      <c r="AD3" s="25"/>
      <c r="AE3" s="25"/>
      <c r="AF3" s="25"/>
      <c r="AG3" s="25"/>
      <c r="AH3" s="25"/>
      <c r="AI3" s="25"/>
      <c r="AJ3" s="25"/>
      <c r="AK3" s="25"/>
    </row>
    <row r="4" ht="12.75" customHeight="1">
      <c r="A4" s="22">
        <f t="shared" ref="A4:A21" si="5">A3+1</f>
        <v>2</v>
      </c>
      <c r="B4" s="26"/>
      <c r="C4" s="26">
        <f>VLOOKUP($A4,reporting!$A:$D,COLUMN(last_reporting_year),FALSE)</f>
        <v>2020</v>
      </c>
      <c r="D4" s="27" t="b">
        <f>VLOOKUP($A4,test1_1!$A:$Q,COLUMN(test1_1!$P:$P),FALSE)</f>
        <v>1</v>
      </c>
      <c r="E4" s="33" t="str">
        <f t="array" ref="E4">IFERROR(index(scope_3_bycategory_details,MATCH("id"&amp;$A4&amp;"year"&amp;$C4,ghg!$AR:$AR,0)),"no")</f>
        <v>cdp</v>
      </c>
      <c r="F4" s="33" t="str">
        <f t="array" ref="F4">IFERROR(index(scope_3_verif,MATCH("id"&amp;$A4&amp;"year"&amp;$C4,ghg!$AR:$AR,0)),0)</f>
        <v/>
      </c>
      <c r="G4" s="26"/>
      <c r="H4" s="39">
        <f>IFERROR(VLOOKUP($E4,category_3_1,2,FALSE),0)</f>
        <v>1</v>
      </c>
      <c r="I4" s="25"/>
      <c r="J4" s="29">
        <f t="shared" si="1"/>
        <v>0.05</v>
      </c>
      <c r="K4" s="39">
        <f t="shared" si="2"/>
        <v>0</v>
      </c>
      <c r="L4" s="25"/>
      <c r="M4" s="29">
        <f t="shared" si="3"/>
        <v>0</v>
      </c>
      <c r="N4" s="25"/>
      <c r="O4" s="29">
        <f t="shared" si="4"/>
        <v>0.05</v>
      </c>
      <c r="Q4" s="25"/>
      <c r="R4" s="25"/>
      <c r="S4" s="25"/>
      <c r="T4" s="25"/>
      <c r="U4" s="40"/>
      <c r="V4" s="25"/>
      <c r="W4" s="25"/>
      <c r="X4" s="25"/>
      <c r="Y4" s="25"/>
      <c r="Z4" s="25"/>
      <c r="AA4" s="25"/>
      <c r="AB4" s="25"/>
      <c r="AC4" s="25"/>
      <c r="AD4" s="25"/>
      <c r="AE4" s="25"/>
      <c r="AF4" s="25"/>
      <c r="AG4" s="25"/>
      <c r="AH4" s="25"/>
      <c r="AI4" s="25"/>
      <c r="AJ4" s="25"/>
      <c r="AK4" s="25"/>
    </row>
    <row r="5" ht="12.75" customHeight="1">
      <c r="A5" s="22">
        <f t="shared" si="5"/>
        <v>3</v>
      </c>
      <c r="B5" s="26"/>
      <c r="C5" s="26">
        <f>VLOOKUP($A5,reporting!$A:$D,COLUMN(last_reporting_year),FALSE)</f>
        <v>2020</v>
      </c>
      <c r="D5" s="27" t="b">
        <f>VLOOKUP($A5,test1_1!$A:$Q,COLUMN(test1_1!$P:$P),FALSE)</f>
        <v>1</v>
      </c>
      <c r="E5" s="41" t="s">
        <v>578</v>
      </c>
      <c r="F5" s="33" t="str">
        <f t="array" ref="F5">IFERROR(index(scope_3_verif,MATCH("id"&amp;$A5&amp;"year"&amp;$C5,ghg!$AR:$AR,0)),0)</f>
        <v/>
      </c>
      <c r="G5" s="26"/>
      <c r="H5" s="39">
        <f>IFERROR(VLOOKUP($E5,category_3_1,2,FALSE),0)</f>
        <v>1</v>
      </c>
      <c r="I5" s="25"/>
      <c r="J5" s="29">
        <f t="shared" si="1"/>
        <v>0.05</v>
      </c>
      <c r="K5" s="39">
        <f t="shared" si="2"/>
        <v>0</v>
      </c>
      <c r="L5" s="25"/>
      <c r="M5" s="29">
        <f t="shared" si="3"/>
        <v>0</v>
      </c>
      <c r="N5" s="25"/>
      <c r="O5" s="29">
        <f t="shared" si="4"/>
        <v>0.05</v>
      </c>
      <c r="Q5" s="25"/>
      <c r="R5" s="25"/>
      <c r="S5" s="25"/>
      <c r="T5" s="25"/>
      <c r="U5" s="25"/>
      <c r="V5" s="25"/>
      <c r="W5" s="25"/>
      <c r="X5" s="25"/>
      <c r="Y5" s="25"/>
      <c r="Z5" s="25"/>
      <c r="AA5" s="25"/>
      <c r="AB5" s="25"/>
      <c r="AC5" s="25"/>
      <c r="AD5" s="25"/>
      <c r="AE5" s="25"/>
      <c r="AF5" s="25"/>
      <c r="AG5" s="25"/>
      <c r="AH5" s="25"/>
      <c r="AI5" s="25"/>
      <c r="AJ5" s="25"/>
      <c r="AK5" s="25"/>
    </row>
    <row r="6" ht="12.75" customHeight="1">
      <c r="A6" s="22">
        <f t="shared" si="5"/>
        <v>4</v>
      </c>
      <c r="B6" s="26"/>
      <c r="C6" s="26">
        <f>VLOOKUP($A6,reporting!$A:$D,COLUMN(last_reporting_year),FALSE)</f>
        <v>2020</v>
      </c>
      <c r="D6" s="27" t="b">
        <f>VLOOKUP($A6,test1_1!$A:$Q,COLUMN(test1_1!$P:$P),FALSE)</f>
        <v>1</v>
      </c>
      <c r="E6" s="33" t="str">
        <f t="array" ref="E6">IFERROR(index(scope_3_bycategory_details,MATCH("id"&amp;$A6&amp;"year"&amp;$C6,ghg!$AR:$AR,0)),"no")</f>
        <v>cdp</v>
      </c>
      <c r="F6" s="33">
        <f t="array" ref="F6">IFERROR(index(scope_3_verif,MATCH("id"&amp;$A6&amp;"year"&amp;$C6,ghg!$AR:$AR,0)),0)</f>
        <v>0.2</v>
      </c>
      <c r="G6" s="26"/>
      <c r="H6" s="39">
        <f>IFERROR(VLOOKUP($E6,category_3_1,2,FALSE),0)</f>
        <v>1</v>
      </c>
      <c r="I6" s="25"/>
      <c r="J6" s="29">
        <f t="shared" si="1"/>
        <v>0.05</v>
      </c>
      <c r="K6" s="39">
        <f t="shared" si="2"/>
        <v>0.2</v>
      </c>
      <c r="L6" s="25"/>
      <c r="M6" s="29">
        <f t="shared" si="3"/>
        <v>0.01</v>
      </c>
      <c r="N6" s="25"/>
      <c r="O6" s="29">
        <f t="shared" si="4"/>
        <v>0.06</v>
      </c>
      <c r="Q6" s="25"/>
      <c r="R6" s="25"/>
      <c r="S6" s="25"/>
      <c r="T6" s="25"/>
      <c r="U6" s="25"/>
      <c r="V6" s="25"/>
      <c r="W6" s="25"/>
      <c r="X6" s="25"/>
      <c r="Y6" s="25"/>
      <c r="Z6" s="25"/>
      <c r="AA6" s="25"/>
      <c r="AB6" s="25"/>
      <c r="AC6" s="25"/>
      <c r="AD6" s="25"/>
      <c r="AE6" s="25"/>
      <c r="AF6" s="25"/>
      <c r="AG6" s="25"/>
      <c r="AH6" s="25"/>
      <c r="AI6" s="25"/>
      <c r="AJ6" s="25"/>
      <c r="AK6" s="25"/>
    </row>
    <row r="7" ht="12.75" customHeight="1">
      <c r="A7" s="22">
        <f t="shared" si="5"/>
        <v>5</v>
      </c>
      <c r="B7" s="26"/>
      <c r="C7" s="26">
        <f>VLOOKUP($A7,reporting!$A:$D,COLUMN(last_reporting_year),FALSE)</f>
        <v>2020</v>
      </c>
      <c r="D7" s="27" t="b">
        <f>VLOOKUP($A7,test1_1!$A:$Q,COLUMN(test1_1!$P:$P),FALSE)</f>
        <v>1</v>
      </c>
      <c r="E7" s="33" t="str">
        <f t="array" ref="E7">IFERROR(index(scope_3_bycategory_details,MATCH("id"&amp;$A7&amp;"year"&amp;$C7,ghg!$AR:$AR,0)),"no")</f>
        <v>cdp</v>
      </c>
      <c r="F7" s="33" t="str">
        <f t="array" ref="F7">IFERROR(index(scope_3_verif,MATCH("id"&amp;$A7&amp;"year"&amp;$C7,ghg!$AR:$AR,0)),0)</f>
        <v/>
      </c>
      <c r="G7" s="26"/>
      <c r="H7" s="39">
        <f>IFERROR(VLOOKUP($E7,category_3_1,2,FALSE),0)</f>
        <v>1</v>
      </c>
      <c r="I7" s="25"/>
      <c r="J7" s="29">
        <f t="shared" si="1"/>
        <v>0.05</v>
      </c>
      <c r="K7" s="39">
        <f t="shared" si="2"/>
        <v>0</v>
      </c>
      <c r="L7" s="25"/>
      <c r="M7" s="29">
        <f t="shared" si="3"/>
        <v>0</v>
      </c>
      <c r="N7" s="25"/>
      <c r="O7" s="29">
        <f t="shared" si="4"/>
        <v>0.05</v>
      </c>
      <c r="Q7" s="25"/>
      <c r="R7" s="25"/>
      <c r="S7" s="25"/>
      <c r="T7" s="25"/>
      <c r="U7" s="25"/>
      <c r="V7" s="25"/>
      <c r="W7" s="25"/>
      <c r="X7" s="25"/>
      <c r="Y7" s="25"/>
      <c r="Z7" s="25"/>
      <c r="AA7" s="25"/>
      <c r="AB7" s="25"/>
      <c r="AC7" s="25"/>
      <c r="AD7" s="25"/>
      <c r="AE7" s="25"/>
      <c r="AF7" s="25"/>
      <c r="AG7" s="25"/>
      <c r="AH7" s="25"/>
      <c r="AI7" s="25"/>
      <c r="AJ7" s="25"/>
      <c r="AK7" s="25"/>
    </row>
    <row r="8" ht="12.75" customHeight="1">
      <c r="A8" s="22">
        <f t="shared" si="5"/>
        <v>6</v>
      </c>
      <c r="B8" s="26"/>
      <c r="C8" s="26">
        <f>VLOOKUP($A8,reporting!$A:$D,COLUMN(last_reporting_year),FALSE)</f>
        <v>2020</v>
      </c>
      <c r="D8" s="27" t="b">
        <f>VLOOKUP($A8,test1_1!$A:$Q,COLUMN(test1_1!$P:$P),FALSE)</f>
        <v>1</v>
      </c>
      <c r="E8" s="33" t="str">
        <f t="array" ref="E8">IFERROR(index(scope_3_bycategory_details,MATCH("id"&amp;$A8&amp;"year"&amp;$C8,ghg!$AR:$AR,0)),"no")</f>
        <v>cdp</v>
      </c>
      <c r="F8" s="33">
        <f t="array" ref="F8">IFERROR(index(scope_3_verif,MATCH("id"&amp;$A8&amp;"year"&amp;$C8,ghg!$AR:$AR,0)),0)</f>
        <v>0.24</v>
      </c>
      <c r="G8" s="26"/>
      <c r="H8" s="39">
        <f>IFERROR(VLOOKUP($E8,category_3_1,2,FALSE),0)</f>
        <v>1</v>
      </c>
      <c r="I8" s="25"/>
      <c r="J8" s="29">
        <f t="shared" si="1"/>
        <v>0.05</v>
      </c>
      <c r="K8" s="39">
        <f t="shared" si="2"/>
        <v>0.24</v>
      </c>
      <c r="L8" s="25"/>
      <c r="M8" s="29">
        <f t="shared" si="3"/>
        <v>0.012</v>
      </c>
      <c r="N8" s="25"/>
      <c r="O8" s="29">
        <f t="shared" si="4"/>
        <v>0.062</v>
      </c>
      <c r="P8" s="25"/>
      <c r="Q8" s="25"/>
      <c r="R8" s="25"/>
      <c r="S8" s="25"/>
      <c r="T8" s="25"/>
      <c r="U8" s="25"/>
      <c r="V8" s="25"/>
      <c r="W8" s="25"/>
      <c r="X8" s="25"/>
      <c r="Y8" s="25"/>
      <c r="Z8" s="25"/>
      <c r="AA8" s="25"/>
      <c r="AB8" s="25"/>
      <c r="AC8" s="25"/>
      <c r="AD8" s="25"/>
      <c r="AE8" s="25"/>
      <c r="AF8" s="25"/>
      <c r="AG8" s="25"/>
      <c r="AH8" s="25"/>
      <c r="AI8" s="25"/>
      <c r="AJ8" s="25"/>
      <c r="AK8" s="25"/>
    </row>
    <row r="9" ht="12.75" customHeight="1">
      <c r="A9" s="22">
        <f t="shared" si="5"/>
        <v>7</v>
      </c>
      <c r="B9" s="26"/>
      <c r="C9" s="26">
        <f>VLOOKUP($A9,reporting!$A:$D,COLUMN(last_reporting_year),FALSE)</f>
        <v>2019</v>
      </c>
      <c r="D9" s="27" t="b">
        <f>VLOOKUP($A9,test1_1!$A:$Q,COLUMN(test1_1!$P:$P),FALSE)</f>
        <v>1</v>
      </c>
      <c r="E9" s="33" t="str">
        <f t="array" ref="E9">IFERROR(index(scope_3_bycategory_details,MATCH("id"&amp;$A9&amp;"year"&amp;$C9,ghg!$AR:$AR,0)),"no")</f>
        <v>cdp</v>
      </c>
      <c r="F9" s="33">
        <f t="array" ref="F9">IFERROR(index(scope_3_verif,MATCH("id"&amp;$A9&amp;"year"&amp;$C9,ghg!$AR:$AR,0)),0)</f>
        <v>0.04325634741</v>
      </c>
      <c r="G9" s="26"/>
      <c r="H9" s="39">
        <f>IFERROR(VLOOKUP($E9,category_3_1,2,FALSE),0)</f>
        <v>1</v>
      </c>
      <c r="I9" s="25"/>
      <c r="J9" s="29">
        <f t="shared" si="1"/>
        <v>0.05</v>
      </c>
      <c r="K9" s="39">
        <f t="shared" si="2"/>
        <v>0.04</v>
      </c>
      <c r="L9" s="25"/>
      <c r="M9" s="29">
        <f t="shared" si="3"/>
        <v>0.002</v>
      </c>
      <c r="N9" s="25"/>
      <c r="O9" s="29">
        <f t="shared" si="4"/>
        <v>0.052</v>
      </c>
      <c r="P9" s="25"/>
      <c r="Q9" s="25"/>
      <c r="R9" s="25"/>
      <c r="S9" s="25"/>
      <c r="T9" s="25"/>
      <c r="U9" s="25"/>
      <c r="V9" s="25"/>
      <c r="W9" s="25"/>
      <c r="X9" s="25"/>
      <c r="Y9" s="25"/>
      <c r="Z9" s="25"/>
      <c r="AA9" s="25"/>
      <c r="AB9" s="25"/>
      <c r="AC9" s="25"/>
      <c r="AD9" s="25"/>
      <c r="AE9" s="25"/>
      <c r="AF9" s="25"/>
      <c r="AG9" s="25"/>
      <c r="AH9" s="25"/>
      <c r="AI9" s="25"/>
      <c r="AJ9" s="25"/>
      <c r="AK9" s="25"/>
    </row>
    <row r="10" ht="12.75" customHeight="1">
      <c r="A10" s="22">
        <f t="shared" si="5"/>
        <v>8</v>
      </c>
      <c r="B10" s="26"/>
      <c r="C10" s="26">
        <f>VLOOKUP($A10,reporting!$A:$D,COLUMN(last_reporting_year),FALSE)</f>
        <v>2020</v>
      </c>
      <c r="D10" s="27" t="b">
        <f>VLOOKUP($A10,test1_1!$A:$Q,COLUMN(test1_1!$P:$P),FALSE)</f>
        <v>1</v>
      </c>
      <c r="E10" s="33" t="str">
        <f t="array" ref="E10">IFERROR(index(scope_3_bycategory_details,MATCH("id"&amp;$A10&amp;"year"&amp;$C10,ghg!$AR:$AR,0)),"no")</f>
        <v>cdp</v>
      </c>
      <c r="F10" s="33">
        <f t="array" ref="F10">IFERROR(index(scope_3_verif,MATCH("id"&amp;$A10&amp;"year"&amp;$C10,ghg!$AR:$AR,0)),0)</f>
        <v>0</v>
      </c>
      <c r="G10" s="26"/>
      <c r="H10" s="39">
        <f>IFERROR(VLOOKUP($E10,category_3_1,2,FALSE),0)</f>
        <v>1</v>
      </c>
      <c r="I10" s="25"/>
      <c r="J10" s="29">
        <f t="shared" si="1"/>
        <v>0.05</v>
      </c>
      <c r="K10" s="39">
        <f t="shared" si="2"/>
        <v>0</v>
      </c>
      <c r="L10" s="25"/>
      <c r="M10" s="29">
        <f t="shared" si="3"/>
        <v>0</v>
      </c>
      <c r="N10" s="25"/>
      <c r="O10" s="29">
        <f t="shared" si="4"/>
        <v>0.05</v>
      </c>
      <c r="P10" s="25"/>
      <c r="Q10" s="25"/>
      <c r="R10" s="25"/>
      <c r="S10" s="25"/>
      <c r="T10" s="25"/>
      <c r="U10" s="25"/>
      <c r="V10" s="25"/>
      <c r="W10" s="25"/>
      <c r="X10" s="25"/>
      <c r="Y10" s="25"/>
      <c r="Z10" s="25"/>
      <c r="AA10" s="25"/>
      <c r="AB10" s="25"/>
      <c r="AC10" s="25"/>
      <c r="AD10" s="25"/>
      <c r="AE10" s="25"/>
      <c r="AF10" s="25"/>
      <c r="AG10" s="25"/>
      <c r="AH10" s="25"/>
      <c r="AI10" s="25"/>
      <c r="AJ10" s="25"/>
      <c r="AK10" s="25"/>
    </row>
    <row r="11" ht="12.75" customHeight="1">
      <c r="A11" s="22">
        <f t="shared" si="5"/>
        <v>9</v>
      </c>
      <c r="B11" s="26"/>
      <c r="C11" s="26">
        <f>VLOOKUP($A11,reporting!$A:$D,COLUMN(last_reporting_year),FALSE)</f>
        <v>2020</v>
      </c>
      <c r="D11" s="27" t="b">
        <f>VLOOKUP($A11,test1_1!$A:$Q,COLUMN(test1_1!$P:$P),FALSE)</f>
        <v>1</v>
      </c>
      <c r="E11" s="33" t="str">
        <f t="array" ref="E11">IFERROR(index(scope_3_bycategory_details,MATCH("id"&amp;$A11&amp;"year"&amp;$C11,ghg!$AR:$AR,0)),"no")</f>
        <v>public</v>
      </c>
      <c r="F11" s="33">
        <f t="array" ref="F11">IFERROR(index(scope_3_verif,MATCH("id"&amp;$A11&amp;"year"&amp;$C11,ghg!$AR:$AR,0)),0)</f>
        <v>1</v>
      </c>
      <c r="G11" s="26"/>
      <c r="H11" s="39">
        <f>IFERROR(VLOOKUP($E11,category_3_1,2,FALSE),0)</f>
        <v>0.5</v>
      </c>
      <c r="I11" s="25"/>
      <c r="J11" s="29">
        <f t="shared" si="1"/>
        <v>0.025</v>
      </c>
      <c r="K11" s="39">
        <f t="shared" si="2"/>
        <v>1</v>
      </c>
      <c r="L11" s="25"/>
      <c r="M11" s="29">
        <f t="shared" si="3"/>
        <v>0.05</v>
      </c>
      <c r="N11" s="25"/>
      <c r="O11" s="29">
        <f t="shared" si="4"/>
        <v>0.075</v>
      </c>
      <c r="P11" s="25"/>
      <c r="Q11" s="25"/>
      <c r="R11" s="25"/>
      <c r="S11" s="25"/>
      <c r="T11" s="25"/>
      <c r="U11" s="25"/>
      <c r="V11" s="25"/>
      <c r="W11" s="25"/>
      <c r="X11" s="25"/>
      <c r="Y11" s="25"/>
      <c r="Z11" s="25"/>
      <c r="AA11" s="25"/>
      <c r="AB11" s="25"/>
      <c r="AC11" s="25"/>
      <c r="AD11" s="25"/>
      <c r="AE11" s="25"/>
      <c r="AF11" s="25"/>
      <c r="AG11" s="25"/>
      <c r="AH11" s="25"/>
      <c r="AI11" s="25"/>
      <c r="AJ11" s="25"/>
      <c r="AK11" s="25"/>
    </row>
    <row r="12" ht="12.75" customHeight="1">
      <c r="A12" s="22">
        <f t="shared" si="5"/>
        <v>10</v>
      </c>
      <c r="B12" s="26"/>
      <c r="C12" s="26">
        <f>VLOOKUP($A12,reporting!$A:$D,COLUMN(last_reporting_year),FALSE)</f>
        <v>2019</v>
      </c>
      <c r="D12" s="27" t="b">
        <f>VLOOKUP($A12,test1_1!$A:$Q,COLUMN(test1_1!$P:$P),FALSE)</f>
        <v>1</v>
      </c>
      <c r="E12" s="33" t="str">
        <f t="array" ref="E12">IFERROR(index(scope_3_bycategory_details,MATCH("id"&amp;$A12&amp;"year"&amp;$C12,ghg!$AR:$AR,0)),"no")</f>
        <v>cdp</v>
      </c>
      <c r="F12" s="33">
        <f t="array" ref="F12">IFERROR(index(scope_3_verif,MATCH("id"&amp;$A12&amp;"year"&amp;$C12,ghg!$AR:$AR,0)),0)</f>
        <v>0</v>
      </c>
      <c r="G12" s="26"/>
      <c r="H12" s="39">
        <f>IFERROR(VLOOKUP($E12,category_3_1,2,FALSE),0)</f>
        <v>1</v>
      </c>
      <c r="I12" s="25"/>
      <c r="J12" s="29">
        <f t="shared" si="1"/>
        <v>0.05</v>
      </c>
      <c r="K12" s="39">
        <f t="shared" si="2"/>
        <v>0</v>
      </c>
      <c r="L12" s="25"/>
      <c r="M12" s="29">
        <f t="shared" si="3"/>
        <v>0</v>
      </c>
      <c r="N12" s="25"/>
      <c r="O12" s="29">
        <f t="shared" si="4"/>
        <v>0.05</v>
      </c>
      <c r="P12" s="25"/>
      <c r="Q12" s="25"/>
      <c r="R12" s="25"/>
      <c r="S12" s="25"/>
      <c r="T12" s="25"/>
      <c r="U12" s="25"/>
      <c r="V12" s="25"/>
      <c r="W12" s="25"/>
      <c r="X12" s="25"/>
      <c r="Y12" s="25"/>
      <c r="Z12" s="25"/>
      <c r="AA12" s="25"/>
      <c r="AB12" s="25"/>
      <c r="AC12" s="25"/>
      <c r="AD12" s="25"/>
      <c r="AE12" s="25"/>
      <c r="AF12" s="25"/>
      <c r="AG12" s="25"/>
      <c r="AH12" s="25"/>
      <c r="AI12" s="25"/>
      <c r="AJ12" s="25"/>
      <c r="AK12" s="25"/>
    </row>
    <row r="13" ht="12.75" customHeight="1">
      <c r="A13" s="22">
        <f t="shared" si="5"/>
        <v>11</v>
      </c>
      <c r="B13" s="26"/>
      <c r="C13" s="26">
        <f>VLOOKUP($A13,reporting!$A:$D,COLUMN(last_reporting_year),FALSE)</f>
        <v>2020</v>
      </c>
      <c r="D13" s="27" t="b">
        <f>VLOOKUP($A13,test1_1!$A:$Q,COLUMN(test1_1!$P:$P),FALSE)</f>
        <v>1</v>
      </c>
      <c r="E13" s="33" t="str">
        <f t="array" ref="E13">IFERROR(index(scope_3_bycategory_details,MATCH("id"&amp;$A13&amp;"year"&amp;$C13,ghg!$AR:$AR,0)),"no")</f>
        <v>cdp</v>
      </c>
      <c r="F13" s="33">
        <f t="array" ref="F13">IFERROR(index(scope_3_verif,MATCH("id"&amp;$A13&amp;"year"&amp;$C13,ghg!$AR:$AR,0)),0)</f>
        <v>0</v>
      </c>
      <c r="G13" s="26"/>
      <c r="H13" s="39">
        <f>IFERROR(VLOOKUP($E13,category_3_1,2,FALSE),0)</f>
        <v>1</v>
      </c>
      <c r="I13" s="25"/>
      <c r="J13" s="29">
        <f t="shared" si="1"/>
        <v>0.05</v>
      </c>
      <c r="K13" s="39">
        <f t="shared" si="2"/>
        <v>0</v>
      </c>
      <c r="L13" s="25"/>
      <c r="M13" s="29">
        <f t="shared" si="3"/>
        <v>0</v>
      </c>
      <c r="N13" s="25"/>
      <c r="O13" s="29">
        <f t="shared" si="4"/>
        <v>0.05</v>
      </c>
      <c r="P13" s="25"/>
      <c r="Q13" s="25"/>
      <c r="R13" s="25"/>
      <c r="S13" s="25"/>
      <c r="T13" s="25"/>
      <c r="U13" s="25"/>
      <c r="V13" s="25"/>
      <c r="W13" s="25"/>
      <c r="X13" s="25"/>
      <c r="Y13" s="25"/>
      <c r="Z13" s="25"/>
      <c r="AA13" s="25"/>
      <c r="AB13" s="25"/>
      <c r="AC13" s="25"/>
      <c r="AD13" s="25"/>
      <c r="AE13" s="25"/>
      <c r="AF13" s="25"/>
      <c r="AG13" s="25"/>
      <c r="AH13" s="25"/>
      <c r="AI13" s="25"/>
      <c r="AJ13" s="25"/>
      <c r="AK13" s="25"/>
    </row>
    <row r="14" ht="12.75" customHeight="1">
      <c r="A14" s="22">
        <f t="shared" si="5"/>
        <v>12</v>
      </c>
      <c r="B14" s="26"/>
      <c r="C14" s="26">
        <f>VLOOKUP($A14,reporting!$A:$D,COLUMN(last_reporting_year),FALSE)</f>
        <v>2019</v>
      </c>
      <c r="D14" s="27" t="b">
        <f>VLOOKUP($A14,test1_1!$A:$Q,COLUMN(test1_1!$P:$P),FALSE)</f>
        <v>1</v>
      </c>
      <c r="E14" s="33" t="str">
        <f t="array" ref="E14">IFERROR(index(scope_3_bycategory_details,MATCH("id"&amp;$A14&amp;"year"&amp;$C14,ghg!$AR:$AR,0)),"no")</f>
        <v>cdp</v>
      </c>
      <c r="F14" s="33">
        <f t="array" ref="F14">IFERROR(index(scope_3_verif,MATCH("id"&amp;$A14&amp;"year"&amp;$C14,ghg!$AR:$AR,0)),0)</f>
        <v>0</v>
      </c>
      <c r="G14" s="26"/>
      <c r="H14" s="39">
        <f>IFERROR(VLOOKUP($E14,category_3_1,2,FALSE),0)</f>
        <v>1</v>
      </c>
      <c r="I14" s="25"/>
      <c r="J14" s="29">
        <f t="shared" si="1"/>
        <v>0.05</v>
      </c>
      <c r="K14" s="39">
        <f t="shared" si="2"/>
        <v>0</v>
      </c>
      <c r="L14" s="25"/>
      <c r="M14" s="29">
        <f t="shared" si="3"/>
        <v>0</v>
      </c>
      <c r="N14" s="25"/>
      <c r="O14" s="29">
        <f t="shared" si="4"/>
        <v>0.05</v>
      </c>
      <c r="P14" s="25"/>
      <c r="Q14" s="25"/>
      <c r="R14" s="25"/>
      <c r="S14" s="25"/>
      <c r="T14" s="25"/>
      <c r="U14" s="25"/>
      <c r="V14" s="25"/>
      <c r="W14" s="25"/>
      <c r="X14" s="25"/>
      <c r="Y14" s="25"/>
      <c r="Z14" s="25"/>
      <c r="AA14" s="25"/>
      <c r="AB14" s="25"/>
      <c r="AC14" s="25"/>
      <c r="AD14" s="25"/>
      <c r="AE14" s="25"/>
      <c r="AF14" s="25"/>
      <c r="AG14" s="25"/>
      <c r="AH14" s="25"/>
      <c r="AI14" s="25"/>
      <c r="AJ14" s="25"/>
      <c r="AK14" s="25"/>
    </row>
    <row r="15" ht="12.75" customHeight="1">
      <c r="A15" s="22">
        <f t="shared" si="5"/>
        <v>13</v>
      </c>
      <c r="B15" s="26"/>
      <c r="C15" s="26">
        <f>VLOOKUP($A15,reporting!$A:$D,COLUMN(last_reporting_year),FALSE)</f>
        <v>2019</v>
      </c>
      <c r="D15" s="27" t="b">
        <f>VLOOKUP($A15,test1_1!$A:$Q,COLUMN(test1_1!$P:$P),FALSE)</f>
        <v>1</v>
      </c>
      <c r="E15" s="33" t="str">
        <f t="array" ref="E15">IFERROR(index(scope_3_bycategory_details,MATCH("id"&amp;$A15&amp;"year"&amp;$C15,ghg!$AR:$AR,0)),"no")</f>
        <v>cdp</v>
      </c>
      <c r="F15" s="33">
        <f t="array" ref="F15">IFERROR(index(scope_3_verif,MATCH("id"&amp;$A15&amp;"year"&amp;$C15,ghg!$AR:$AR,0)),0)</f>
        <v>0</v>
      </c>
      <c r="G15" s="26"/>
      <c r="H15" s="39">
        <f>IFERROR(VLOOKUP($E15,category_3_1,2,FALSE),0)</f>
        <v>1</v>
      </c>
      <c r="I15" s="25"/>
      <c r="J15" s="29">
        <f t="shared" si="1"/>
        <v>0.05</v>
      </c>
      <c r="K15" s="39">
        <f t="shared" si="2"/>
        <v>0</v>
      </c>
      <c r="L15" s="25"/>
      <c r="M15" s="29">
        <f t="shared" si="3"/>
        <v>0</v>
      </c>
      <c r="N15" s="25"/>
      <c r="O15" s="29">
        <f t="shared" si="4"/>
        <v>0.05</v>
      </c>
      <c r="P15" s="25"/>
      <c r="Q15" s="25"/>
      <c r="R15" s="25"/>
      <c r="S15" s="25"/>
      <c r="T15" s="25"/>
      <c r="U15" s="25"/>
      <c r="V15" s="25"/>
      <c r="W15" s="25"/>
      <c r="X15" s="25"/>
      <c r="Y15" s="25"/>
      <c r="Z15" s="25"/>
      <c r="AA15" s="25"/>
      <c r="AB15" s="25"/>
      <c r="AC15" s="25"/>
      <c r="AD15" s="25"/>
      <c r="AE15" s="25"/>
      <c r="AF15" s="25"/>
      <c r="AG15" s="25"/>
      <c r="AH15" s="25"/>
      <c r="AI15" s="25"/>
      <c r="AJ15" s="25"/>
      <c r="AK15" s="25"/>
    </row>
    <row r="16" ht="12.75" customHeight="1">
      <c r="A16" s="22">
        <f t="shared" si="5"/>
        <v>14</v>
      </c>
      <c r="B16" s="26"/>
      <c r="C16" s="26">
        <f>VLOOKUP($A16,reporting!$A:$D,COLUMN(last_reporting_year),FALSE)</f>
        <v>2020</v>
      </c>
      <c r="D16" s="27" t="b">
        <f>VLOOKUP($A16,test1_1!$A:$Q,COLUMN(test1_1!$P:$P),FALSE)</f>
        <v>1</v>
      </c>
      <c r="E16" s="33" t="str">
        <f t="array" ref="E16">IFERROR(index(scope_3_bycategory_details,MATCH("id"&amp;$A16&amp;"year"&amp;$C16,ghg!$AR:$AR,0)),"no")</f>
        <v>cdp</v>
      </c>
      <c r="F16" s="33">
        <f t="array" ref="F16">IFERROR(index(scope_3_verif,MATCH("id"&amp;$A16&amp;"year"&amp;$C16,ghg!$AR:$AR,0)),0)</f>
        <v>1</v>
      </c>
      <c r="G16" s="26"/>
      <c r="H16" s="39">
        <f>IFERROR(VLOOKUP($E16,category_3_1,2,FALSE),0)</f>
        <v>1</v>
      </c>
      <c r="I16" s="25"/>
      <c r="J16" s="29">
        <f t="shared" si="1"/>
        <v>0.05</v>
      </c>
      <c r="K16" s="39">
        <f t="shared" si="2"/>
        <v>1</v>
      </c>
      <c r="L16" s="25"/>
      <c r="M16" s="29">
        <f t="shared" si="3"/>
        <v>0.05</v>
      </c>
      <c r="N16" s="25"/>
      <c r="O16" s="29">
        <f t="shared" si="4"/>
        <v>0.1</v>
      </c>
      <c r="P16" s="25"/>
      <c r="Q16" s="25"/>
      <c r="R16" s="25"/>
      <c r="S16" s="25"/>
      <c r="T16" s="25"/>
      <c r="U16" s="25"/>
      <c r="V16" s="25"/>
      <c r="W16" s="25"/>
      <c r="X16" s="25"/>
      <c r="Y16" s="25"/>
      <c r="Z16" s="25"/>
      <c r="AA16" s="25"/>
      <c r="AB16" s="25"/>
      <c r="AC16" s="25"/>
      <c r="AD16" s="25"/>
      <c r="AE16" s="25"/>
      <c r="AF16" s="25"/>
      <c r="AG16" s="25"/>
      <c r="AH16" s="25"/>
      <c r="AI16" s="25"/>
      <c r="AJ16" s="25"/>
      <c r="AK16" s="25"/>
    </row>
    <row r="17" ht="12.75" customHeight="1">
      <c r="A17" s="22">
        <f t="shared" si="5"/>
        <v>15</v>
      </c>
      <c r="B17" s="26"/>
      <c r="C17" s="26">
        <f>VLOOKUP($A17,reporting!$A:$D,COLUMN(last_reporting_year),FALSE)</f>
        <v>2019</v>
      </c>
      <c r="D17" s="27" t="b">
        <f>VLOOKUP($A17,test1_1!$A:$Q,COLUMN(test1_1!$P:$P),FALSE)</f>
        <v>1</v>
      </c>
      <c r="E17" s="33" t="str">
        <f t="array" ref="E17">IFERROR(index(scope_3_bycategory_details,MATCH("id"&amp;$A17&amp;"year"&amp;$C17,ghg!$AR:$AR,0)),"no")</f>
        <v>cdp</v>
      </c>
      <c r="F17" s="33">
        <f t="array" ref="F17">IFERROR(index(scope_3_verif,MATCH("id"&amp;$A17&amp;"year"&amp;$C17,ghg!$AR:$AR,0)),0)</f>
        <v>0</v>
      </c>
      <c r="G17" s="26"/>
      <c r="H17" s="39">
        <f>IFERROR(VLOOKUP($E17,category_3_1,2,FALSE),0)</f>
        <v>1</v>
      </c>
      <c r="I17" s="25"/>
      <c r="J17" s="29">
        <f t="shared" si="1"/>
        <v>0.05</v>
      </c>
      <c r="K17" s="39">
        <f t="shared" si="2"/>
        <v>0</v>
      </c>
      <c r="L17" s="25"/>
      <c r="M17" s="29">
        <f t="shared" si="3"/>
        <v>0</v>
      </c>
      <c r="N17" s="25"/>
      <c r="O17" s="29">
        <f t="shared" si="4"/>
        <v>0.05</v>
      </c>
      <c r="P17" s="25"/>
      <c r="Q17" s="25"/>
      <c r="R17" s="25"/>
      <c r="S17" s="25"/>
      <c r="T17" s="25"/>
      <c r="U17" s="25"/>
      <c r="V17" s="25"/>
      <c r="W17" s="25"/>
      <c r="X17" s="25"/>
      <c r="Y17" s="25"/>
      <c r="Z17" s="25"/>
      <c r="AA17" s="25"/>
      <c r="AB17" s="25"/>
      <c r="AC17" s="25"/>
      <c r="AD17" s="25"/>
      <c r="AE17" s="25"/>
      <c r="AF17" s="25"/>
      <c r="AG17" s="25"/>
      <c r="AH17" s="25"/>
      <c r="AI17" s="25"/>
      <c r="AJ17" s="25"/>
      <c r="AK17" s="25"/>
    </row>
    <row r="18" ht="12.75" customHeight="1">
      <c r="A18" s="22">
        <f t="shared" si="5"/>
        <v>16</v>
      </c>
      <c r="B18" s="26"/>
      <c r="C18" s="26">
        <f>VLOOKUP($A18,reporting!$A:$D,COLUMN(last_reporting_year),FALSE)</f>
        <v>2020</v>
      </c>
      <c r="D18" s="27" t="b">
        <f>VLOOKUP($A18,test1_1!$A:$Q,COLUMN(test1_1!$P:$P),FALSE)</f>
        <v>1</v>
      </c>
      <c r="E18" s="33" t="str">
        <f t="array" ref="E18">IFERROR(index(scope_3_bycategory_details,MATCH("id"&amp;$A18&amp;"year"&amp;$C18,ghg!$AR:$AR,0)),"no")</f>
        <v>cdp</v>
      </c>
      <c r="F18" s="33" t="str">
        <f t="array" ref="F18">IFERROR(index(scope_3_verif,MATCH("id"&amp;$A18&amp;"year"&amp;$C18,ghg!$AR:$AR,0)),0)</f>
        <v/>
      </c>
      <c r="G18" s="26"/>
      <c r="H18" s="39">
        <f>IFERROR(VLOOKUP($E18,category_3_1,2,FALSE),0)</f>
        <v>1</v>
      </c>
      <c r="I18" s="25"/>
      <c r="J18" s="29">
        <f t="shared" si="1"/>
        <v>0.05</v>
      </c>
      <c r="K18" s="39">
        <f t="shared" si="2"/>
        <v>0</v>
      </c>
      <c r="L18" s="25"/>
      <c r="M18" s="29">
        <f t="shared" si="3"/>
        <v>0</v>
      </c>
      <c r="N18" s="25"/>
      <c r="O18" s="29">
        <f t="shared" si="4"/>
        <v>0.05</v>
      </c>
      <c r="P18" s="25"/>
      <c r="Q18" s="25"/>
      <c r="R18" s="25"/>
      <c r="S18" s="25"/>
      <c r="T18" s="25"/>
      <c r="U18" s="25"/>
      <c r="V18" s="25"/>
      <c r="W18" s="25"/>
      <c r="X18" s="25"/>
      <c r="Y18" s="25"/>
      <c r="Z18" s="25"/>
      <c r="AA18" s="25"/>
      <c r="AB18" s="25"/>
      <c r="AC18" s="25"/>
      <c r="AD18" s="25"/>
      <c r="AE18" s="25"/>
      <c r="AF18" s="25"/>
      <c r="AG18" s="25"/>
      <c r="AH18" s="25"/>
      <c r="AI18" s="25"/>
      <c r="AJ18" s="25"/>
      <c r="AK18" s="25"/>
    </row>
    <row r="19" ht="12.75" customHeight="1">
      <c r="A19" s="22">
        <f t="shared" si="5"/>
        <v>17</v>
      </c>
      <c r="B19" s="26"/>
      <c r="C19" s="26" t="str">
        <f>VLOOKUP($A19,reporting!$A:$D,COLUMN(last_reporting_year),FALSE)</f>
        <v>NR</v>
      </c>
      <c r="D19" s="27" t="b">
        <f>VLOOKUP($A19,test1_1!$A:$Q,COLUMN(test1_1!$P:$P),FALSE)</f>
        <v>0</v>
      </c>
      <c r="E19" s="33" t="str">
        <f t="array" ref="E19">IFERROR(index(scope_3_bycategory_details,MATCH("id"&amp;$A19&amp;"year"&amp;$C19,ghg!$AR:$AR,0)),"no")</f>
        <v>no</v>
      </c>
      <c r="F19" s="33">
        <f t="array" ref="F19">IFERROR(index(scope_3_verif,MATCH("id"&amp;$A19&amp;"year"&amp;$C19,ghg!$AR:$AR,0)),0)</f>
        <v>0</v>
      </c>
      <c r="G19" s="26"/>
      <c r="H19" s="39">
        <f>IFERROR(VLOOKUP($E19,category_3_1,2,FALSE),0)</f>
        <v>0</v>
      </c>
      <c r="I19" s="25"/>
      <c r="J19" s="29">
        <f t="shared" si="1"/>
        <v>0</v>
      </c>
      <c r="K19" s="39">
        <f t="shared" si="2"/>
        <v>0</v>
      </c>
      <c r="L19" s="25"/>
      <c r="M19" s="29">
        <f t="shared" si="3"/>
        <v>0</v>
      </c>
      <c r="N19" s="25"/>
      <c r="O19" s="29">
        <f t="shared" si="4"/>
        <v>0</v>
      </c>
      <c r="P19" s="25"/>
      <c r="Q19" s="25"/>
      <c r="R19" s="25"/>
      <c r="S19" s="25"/>
      <c r="T19" s="25"/>
      <c r="U19" s="25"/>
      <c r="V19" s="25"/>
      <c r="W19" s="25"/>
      <c r="X19" s="25"/>
      <c r="Y19" s="25"/>
      <c r="Z19" s="25"/>
      <c r="AA19" s="25"/>
      <c r="AB19" s="25"/>
      <c r="AC19" s="25"/>
      <c r="AD19" s="25"/>
      <c r="AE19" s="25"/>
      <c r="AF19" s="25"/>
      <c r="AG19" s="25"/>
      <c r="AH19" s="25"/>
      <c r="AI19" s="25"/>
      <c r="AJ19" s="25"/>
      <c r="AK19" s="25"/>
    </row>
    <row r="20" ht="12.75" customHeight="1">
      <c r="A20" s="22">
        <f t="shared" si="5"/>
        <v>18</v>
      </c>
      <c r="B20" s="26"/>
      <c r="C20" s="26">
        <f>VLOOKUP($A20,reporting!$A:$D,COLUMN(last_reporting_year),FALSE)</f>
        <v>2020</v>
      </c>
      <c r="D20" s="27" t="b">
        <f>VLOOKUP($A20,test1_1!$A:$Q,COLUMN(test1_1!$P:$P),FALSE)</f>
        <v>1</v>
      </c>
      <c r="E20" s="33" t="str">
        <f t="array" ref="E20">IFERROR(index(scope_3_bycategory_details,MATCH("id"&amp;$A20&amp;"year"&amp;$C20,ghg!$AR:$AR,0)),"no")</f>
        <v>cdp</v>
      </c>
      <c r="F20" s="33">
        <f t="array" ref="F20">IFERROR(index(scope_3_verif,MATCH("id"&amp;$A20&amp;"year"&amp;$C20,ghg!$AR:$AR,0)),0)</f>
        <v>1</v>
      </c>
      <c r="G20" s="26"/>
      <c r="H20" s="39">
        <f>IFERROR(VLOOKUP($E20,category_3_1,2,FALSE),0)</f>
        <v>1</v>
      </c>
      <c r="I20" s="25"/>
      <c r="J20" s="29">
        <f t="shared" si="1"/>
        <v>0.05</v>
      </c>
      <c r="K20" s="39">
        <f t="shared" si="2"/>
        <v>1</v>
      </c>
      <c r="L20" s="25"/>
      <c r="M20" s="29">
        <f t="shared" si="3"/>
        <v>0.05</v>
      </c>
      <c r="N20" s="25"/>
      <c r="O20" s="29">
        <f t="shared" si="4"/>
        <v>0.1</v>
      </c>
      <c r="P20" s="25"/>
      <c r="Q20" s="25"/>
      <c r="R20" s="25"/>
      <c r="S20" s="25"/>
      <c r="T20" s="25"/>
      <c r="U20" s="25"/>
      <c r="V20" s="25"/>
      <c r="W20" s="25"/>
      <c r="X20" s="25"/>
      <c r="Y20" s="25"/>
      <c r="Z20" s="25"/>
      <c r="AA20" s="25"/>
      <c r="AB20" s="25"/>
      <c r="AC20" s="25"/>
      <c r="AD20" s="25"/>
      <c r="AE20" s="25"/>
      <c r="AF20" s="25"/>
      <c r="AG20" s="25"/>
      <c r="AH20" s="25"/>
      <c r="AI20" s="25"/>
      <c r="AJ20" s="25"/>
      <c r="AK20" s="25"/>
    </row>
    <row r="21" ht="12.75" customHeight="1">
      <c r="A21" s="22">
        <f t="shared" si="5"/>
        <v>19</v>
      </c>
      <c r="B21" s="26"/>
      <c r="C21" s="26">
        <f>VLOOKUP($A21,reporting!$A:$D,COLUMN(last_reporting_year),FALSE)</f>
        <v>2020</v>
      </c>
      <c r="D21" s="27" t="b">
        <f>VLOOKUP($A21,test1_1!$A:$Q,COLUMN(test1_1!$P:$P),FALSE)</f>
        <v>1</v>
      </c>
      <c r="E21" s="33" t="str">
        <f t="array" ref="E21">IFERROR(index(scope_3_bycategory_details,MATCH("id"&amp;$A21&amp;"year"&amp;$C21,ghg!$AR:$AR,0)),"no")</f>
        <v>public</v>
      </c>
      <c r="F21" s="33">
        <f t="array" ref="F21">IFERROR(index(scope_3_verif,MATCH("id"&amp;$A21&amp;"year"&amp;$C21,ghg!$AR:$AR,0)),0)</f>
        <v>0.2126617862</v>
      </c>
      <c r="G21" s="26"/>
      <c r="H21" s="39">
        <f>IFERROR(VLOOKUP($E21,category_3_1,2,FALSE),0)</f>
        <v>0.5</v>
      </c>
      <c r="I21" s="25"/>
      <c r="J21" s="29">
        <f t="shared" si="1"/>
        <v>0.025</v>
      </c>
      <c r="K21" s="39">
        <f t="shared" si="2"/>
        <v>0.21</v>
      </c>
      <c r="L21" s="25"/>
      <c r="M21" s="29">
        <f t="shared" si="3"/>
        <v>0.0105</v>
      </c>
      <c r="N21" s="25"/>
      <c r="O21" s="29">
        <f t="shared" si="4"/>
        <v>0.0355</v>
      </c>
      <c r="P21" s="25"/>
      <c r="Q21" s="25"/>
      <c r="R21" s="25"/>
      <c r="S21" s="25"/>
      <c r="T21" s="25"/>
      <c r="U21" s="25"/>
      <c r="V21" s="25"/>
      <c r="W21" s="25"/>
      <c r="X21" s="25"/>
      <c r="Y21" s="25"/>
      <c r="Z21" s="25"/>
      <c r="AA21" s="25"/>
      <c r="AB21" s="25"/>
      <c r="AC21" s="25"/>
      <c r="AD21" s="25"/>
      <c r="AE21" s="25"/>
      <c r="AF21" s="25"/>
      <c r="AG21" s="25"/>
      <c r="AH21" s="25"/>
      <c r="AI21" s="25"/>
      <c r="AJ21" s="25"/>
      <c r="AK21" s="25"/>
    </row>
    <row r="22" ht="12.75" customHeight="1">
      <c r="A22" s="30">
        <v>66.0</v>
      </c>
      <c r="B22" s="26"/>
      <c r="C22" s="26">
        <f>VLOOKUP($A22,reporting!$A:$D,COLUMN(last_reporting_year),FALSE)</f>
        <v>2020</v>
      </c>
      <c r="D22" s="27" t="b">
        <f>VLOOKUP($A22,test1_1!$A:$Q,COLUMN(test1_1!$P:$P),FALSE)</f>
        <v>1</v>
      </c>
      <c r="E22" s="33" t="str">
        <f t="array" ref="E22">IFERROR(index(scope_3_bycategory_details,MATCH("id"&amp;$A22&amp;"year"&amp;$C22,ghg!$AR:$AR,0)),"no")</f>
        <v>cdp</v>
      </c>
      <c r="F22" s="33">
        <f t="array" ref="F22">IFERROR(index(scope_3_verif,MATCH("id"&amp;$A22&amp;"year"&amp;$C22,ghg!$AR:$AR,0)),0)</f>
        <v>1</v>
      </c>
      <c r="G22" s="26"/>
      <c r="H22" s="39">
        <f>IFERROR(VLOOKUP($E22,category_3_1,2,FALSE),0)</f>
        <v>1</v>
      </c>
      <c r="I22" s="25"/>
      <c r="J22" s="29">
        <f t="shared" si="1"/>
        <v>0.05</v>
      </c>
      <c r="K22" s="39">
        <f t="shared" si="2"/>
        <v>1</v>
      </c>
      <c r="L22" s="25"/>
      <c r="M22" s="29">
        <f t="shared" si="3"/>
        <v>0.05</v>
      </c>
      <c r="N22" s="25"/>
      <c r="O22" s="29">
        <f t="shared" si="4"/>
        <v>0.1</v>
      </c>
      <c r="P22" s="25"/>
      <c r="Q22" s="25"/>
      <c r="R22" s="25"/>
      <c r="S22" s="25"/>
      <c r="T22" s="25"/>
      <c r="U22" s="25"/>
      <c r="V22" s="25"/>
      <c r="W22" s="25"/>
      <c r="X22" s="25"/>
      <c r="Y22" s="25"/>
      <c r="Z22" s="25"/>
      <c r="AA22" s="25"/>
      <c r="AB22" s="25"/>
      <c r="AC22" s="25"/>
      <c r="AD22" s="25"/>
      <c r="AE22" s="25"/>
      <c r="AF22" s="25"/>
      <c r="AG22" s="25"/>
      <c r="AH22" s="25"/>
      <c r="AI22" s="25"/>
      <c r="AJ22" s="25"/>
      <c r="AK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6" t="s">
        <v>2</v>
      </c>
      <c r="B1" s="17"/>
      <c r="C1" s="18"/>
      <c r="D1" s="18" t="s">
        <v>557</v>
      </c>
      <c r="E1" s="18"/>
      <c r="F1" s="18"/>
      <c r="G1" s="18" t="s">
        <v>583</v>
      </c>
      <c r="H1" s="20" t="s">
        <v>548</v>
      </c>
      <c r="I1" s="18" t="s">
        <v>584</v>
      </c>
      <c r="J1" s="18" t="s">
        <v>585</v>
      </c>
    </row>
    <row r="2">
      <c r="A2" s="22"/>
      <c r="B2" s="23"/>
      <c r="C2" s="23"/>
      <c r="D2" s="23"/>
      <c r="E2" s="18"/>
      <c r="F2" s="18"/>
      <c r="G2" s="42">
        <v>4.0</v>
      </c>
      <c r="H2" s="24">
        <v>0.1</v>
      </c>
      <c r="I2" s="23"/>
      <c r="J2" s="18"/>
      <c r="L2" s="25"/>
      <c r="M2" s="25"/>
      <c r="N2" s="25"/>
      <c r="O2" s="25"/>
      <c r="P2" s="25"/>
      <c r="Q2" s="25"/>
      <c r="R2" s="25"/>
      <c r="S2" s="25"/>
      <c r="T2" s="25"/>
      <c r="U2" s="25"/>
      <c r="V2" s="25"/>
      <c r="W2" s="25"/>
      <c r="X2" s="25"/>
      <c r="Y2" s="25"/>
      <c r="Z2" s="25"/>
      <c r="AA2" s="25"/>
      <c r="AB2" s="25"/>
      <c r="AC2" s="25"/>
      <c r="AD2" s="25"/>
    </row>
    <row r="3" ht="12.75" customHeight="1">
      <c r="A3" s="22">
        <v>1.0</v>
      </c>
      <c r="B3" s="26"/>
      <c r="C3" s="26"/>
      <c r="D3" s="43">
        <f>COUNTIF(progress!B:B,$A3)</f>
        <v>1</v>
      </c>
      <c r="E3" s="26"/>
      <c r="F3" s="26"/>
      <c r="G3" s="39"/>
      <c r="H3" s="25"/>
      <c r="I3" s="29">
        <f t="shared" ref="I3:I22" si="1">min(1,$D3/G$2)</f>
        <v>0.25</v>
      </c>
      <c r="J3" s="39">
        <f t="shared" ref="J3:J22" si="2">I3*H$2</f>
        <v>0.025</v>
      </c>
      <c r="L3" s="25"/>
      <c r="M3" s="25"/>
      <c r="N3" s="25"/>
      <c r="O3" s="25"/>
      <c r="P3" s="25"/>
      <c r="Q3" s="25"/>
      <c r="R3" s="25"/>
      <c r="S3" s="25"/>
      <c r="T3" s="25"/>
      <c r="U3" s="25"/>
      <c r="V3" s="25"/>
      <c r="W3" s="25"/>
      <c r="X3" s="25"/>
      <c r="Y3" s="25"/>
      <c r="Z3" s="25"/>
      <c r="AA3" s="25"/>
      <c r="AB3" s="25"/>
      <c r="AC3" s="25"/>
      <c r="AD3" s="25"/>
    </row>
    <row r="4" ht="12.75" customHeight="1">
      <c r="A4" s="22">
        <f t="shared" ref="A4:A21" si="3">A3+1</f>
        <v>2</v>
      </c>
      <c r="B4" s="26"/>
      <c r="C4" s="26"/>
      <c r="D4" s="43">
        <f>COUNTIF(progress!B:B,$A4)</f>
        <v>0</v>
      </c>
      <c r="E4" s="26"/>
      <c r="F4" s="26"/>
      <c r="G4" s="39"/>
      <c r="H4" s="25"/>
      <c r="I4" s="29">
        <f t="shared" si="1"/>
        <v>0</v>
      </c>
      <c r="J4" s="39">
        <f t="shared" si="2"/>
        <v>0</v>
      </c>
      <c r="L4" s="25"/>
      <c r="M4" s="25"/>
      <c r="N4" s="25"/>
      <c r="O4" s="25"/>
      <c r="P4" s="25"/>
      <c r="Q4" s="25"/>
      <c r="R4" s="25"/>
      <c r="S4" s="25"/>
      <c r="T4" s="25"/>
      <c r="U4" s="25"/>
      <c r="V4" s="25"/>
      <c r="W4" s="25"/>
      <c r="X4" s="25"/>
      <c r="Y4" s="25"/>
      <c r="Z4" s="25"/>
      <c r="AA4" s="25"/>
      <c r="AB4" s="25"/>
      <c r="AC4" s="25"/>
      <c r="AD4" s="25"/>
    </row>
    <row r="5" ht="12.75" customHeight="1">
      <c r="A5" s="22">
        <f t="shared" si="3"/>
        <v>3</v>
      </c>
      <c r="B5" s="26"/>
      <c r="C5" s="26"/>
      <c r="D5" s="44">
        <f>COUNTIF(progress!B:B,$A5)</f>
        <v>0</v>
      </c>
      <c r="E5" s="26"/>
      <c r="F5" s="26"/>
      <c r="G5" s="39"/>
      <c r="H5" s="25"/>
      <c r="I5" s="29">
        <f t="shared" si="1"/>
        <v>0</v>
      </c>
      <c r="J5" s="39">
        <f t="shared" si="2"/>
        <v>0</v>
      </c>
      <c r="L5" s="25"/>
      <c r="M5" s="25"/>
      <c r="N5" s="25"/>
      <c r="O5" s="25"/>
      <c r="P5" s="25"/>
      <c r="Q5" s="25"/>
      <c r="R5" s="25"/>
      <c r="S5" s="25"/>
      <c r="T5" s="25"/>
      <c r="U5" s="25"/>
      <c r="V5" s="25"/>
      <c r="W5" s="25"/>
      <c r="X5" s="25"/>
      <c r="Y5" s="25"/>
      <c r="Z5" s="25"/>
      <c r="AA5" s="25"/>
      <c r="AB5" s="25"/>
      <c r="AC5" s="25"/>
      <c r="AD5" s="25"/>
    </row>
    <row r="6" ht="12.75" customHeight="1">
      <c r="A6" s="22">
        <f t="shared" si="3"/>
        <v>4</v>
      </c>
      <c r="B6" s="26"/>
      <c r="C6" s="26"/>
      <c r="D6" s="43">
        <f>COUNTIF(progress!B:B,$A6)</f>
        <v>0</v>
      </c>
      <c r="E6" s="26"/>
      <c r="F6" s="26"/>
      <c r="G6" s="39"/>
      <c r="H6" s="25"/>
      <c r="I6" s="29">
        <f t="shared" si="1"/>
        <v>0</v>
      </c>
      <c r="J6" s="39">
        <f t="shared" si="2"/>
        <v>0</v>
      </c>
      <c r="L6" s="25"/>
      <c r="M6" s="25"/>
      <c r="N6" s="25"/>
      <c r="O6" s="25"/>
      <c r="P6" s="25"/>
      <c r="Q6" s="25"/>
      <c r="R6" s="25"/>
      <c r="S6" s="25"/>
      <c r="T6" s="25"/>
      <c r="U6" s="25"/>
      <c r="V6" s="25"/>
      <c r="W6" s="25"/>
      <c r="X6" s="25"/>
      <c r="Y6" s="25"/>
      <c r="Z6" s="25"/>
      <c r="AA6" s="25"/>
      <c r="AB6" s="25"/>
      <c r="AC6" s="25"/>
      <c r="AD6" s="25"/>
    </row>
    <row r="7" ht="12.75" customHeight="1">
      <c r="A7" s="22">
        <f t="shared" si="3"/>
        <v>5</v>
      </c>
      <c r="B7" s="26"/>
      <c r="C7" s="26"/>
      <c r="D7" s="43">
        <f>COUNTIF(progress!B:B,$A7)</f>
        <v>0</v>
      </c>
      <c r="E7" s="26"/>
      <c r="F7" s="26"/>
      <c r="G7" s="39"/>
      <c r="H7" s="25"/>
      <c r="I7" s="29">
        <f t="shared" si="1"/>
        <v>0</v>
      </c>
      <c r="J7" s="39">
        <f t="shared" si="2"/>
        <v>0</v>
      </c>
      <c r="L7" s="25"/>
      <c r="M7" s="25"/>
      <c r="N7" s="25"/>
      <c r="O7" s="25"/>
      <c r="P7" s="25"/>
      <c r="Q7" s="25"/>
      <c r="R7" s="25"/>
      <c r="S7" s="25"/>
      <c r="T7" s="25"/>
      <c r="U7" s="25"/>
      <c r="V7" s="25"/>
      <c r="W7" s="25"/>
      <c r="X7" s="25"/>
      <c r="Y7" s="25"/>
      <c r="Z7" s="25"/>
      <c r="AA7" s="25"/>
      <c r="AB7" s="25"/>
      <c r="AC7" s="25"/>
      <c r="AD7" s="25"/>
    </row>
    <row r="8" ht="12.75" customHeight="1">
      <c r="A8" s="22">
        <f t="shared" si="3"/>
        <v>6</v>
      </c>
      <c r="B8" s="26"/>
      <c r="C8" s="26"/>
      <c r="D8" s="43">
        <f>COUNTIF(progress!B:B,$A8)</f>
        <v>0</v>
      </c>
      <c r="E8" s="26"/>
      <c r="F8" s="26"/>
      <c r="G8" s="39"/>
      <c r="H8" s="25"/>
      <c r="I8" s="29">
        <f t="shared" si="1"/>
        <v>0</v>
      </c>
      <c r="J8" s="39">
        <f t="shared" si="2"/>
        <v>0</v>
      </c>
      <c r="K8" s="25"/>
      <c r="L8" s="25"/>
      <c r="M8" s="25"/>
      <c r="N8" s="25"/>
      <c r="O8" s="25"/>
      <c r="P8" s="25"/>
      <c r="Q8" s="25"/>
      <c r="R8" s="25"/>
      <c r="S8" s="25"/>
      <c r="T8" s="25"/>
      <c r="U8" s="25"/>
      <c r="V8" s="25"/>
      <c r="W8" s="25"/>
      <c r="X8" s="25"/>
      <c r="Y8" s="25"/>
      <c r="Z8" s="25"/>
      <c r="AA8" s="25"/>
      <c r="AB8" s="25"/>
      <c r="AC8" s="25"/>
      <c r="AD8" s="25"/>
    </row>
    <row r="9" ht="12.75" customHeight="1">
      <c r="A9" s="22">
        <f t="shared" si="3"/>
        <v>7</v>
      </c>
      <c r="B9" s="26"/>
      <c r="C9" s="26"/>
      <c r="D9" s="43">
        <f>COUNTIF(progress!B:B,$A9)</f>
        <v>0</v>
      </c>
      <c r="E9" s="26"/>
      <c r="F9" s="26"/>
      <c r="G9" s="39"/>
      <c r="H9" s="25"/>
      <c r="I9" s="29">
        <f t="shared" si="1"/>
        <v>0</v>
      </c>
      <c r="J9" s="39">
        <f t="shared" si="2"/>
        <v>0</v>
      </c>
      <c r="K9" s="25"/>
      <c r="L9" s="25"/>
      <c r="M9" s="25"/>
      <c r="N9" s="25"/>
      <c r="O9" s="25"/>
      <c r="P9" s="25"/>
      <c r="Q9" s="25"/>
      <c r="R9" s="25"/>
      <c r="S9" s="25"/>
      <c r="T9" s="25"/>
      <c r="U9" s="25"/>
      <c r="V9" s="25"/>
      <c r="W9" s="25"/>
      <c r="X9" s="25"/>
      <c r="Y9" s="25"/>
      <c r="Z9" s="25"/>
      <c r="AA9" s="25"/>
      <c r="AB9" s="25"/>
      <c r="AC9" s="25"/>
      <c r="AD9" s="25"/>
    </row>
    <row r="10" ht="12.75" customHeight="1">
      <c r="A10" s="22">
        <f t="shared" si="3"/>
        <v>8</v>
      </c>
      <c r="B10" s="26"/>
      <c r="C10" s="26"/>
      <c r="D10" s="43">
        <f>COUNTIF(progress!B:B,$A10)</f>
        <v>0</v>
      </c>
      <c r="E10" s="26"/>
      <c r="F10" s="26"/>
      <c r="G10" s="39"/>
      <c r="H10" s="25"/>
      <c r="I10" s="29">
        <f t="shared" si="1"/>
        <v>0</v>
      </c>
      <c r="J10" s="39">
        <f t="shared" si="2"/>
        <v>0</v>
      </c>
      <c r="K10" s="25"/>
      <c r="L10" s="25"/>
      <c r="M10" s="25"/>
      <c r="N10" s="25"/>
      <c r="O10" s="25"/>
      <c r="P10" s="25"/>
      <c r="Q10" s="25"/>
      <c r="R10" s="25"/>
      <c r="S10" s="25"/>
      <c r="T10" s="25"/>
      <c r="U10" s="25"/>
      <c r="V10" s="25"/>
      <c r="W10" s="25"/>
      <c r="X10" s="25"/>
      <c r="Y10" s="25"/>
      <c r="Z10" s="25"/>
      <c r="AA10" s="25"/>
      <c r="AB10" s="25"/>
      <c r="AC10" s="25"/>
      <c r="AD10" s="25"/>
    </row>
    <row r="11" ht="12.75" customHeight="1">
      <c r="A11" s="22">
        <f t="shared" si="3"/>
        <v>9</v>
      </c>
      <c r="B11" s="26"/>
      <c r="C11" s="26"/>
      <c r="D11" s="43">
        <f>COUNTIF(progress!B:B,$A11)</f>
        <v>0</v>
      </c>
      <c r="E11" s="26"/>
      <c r="F11" s="26"/>
      <c r="G11" s="39"/>
      <c r="H11" s="25"/>
      <c r="I11" s="29">
        <f t="shared" si="1"/>
        <v>0</v>
      </c>
      <c r="J11" s="39">
        <f t="shared" si="2"/>
        <v>0</v>
      </c>
      <c r="K11" s="25"/>
      <c r="L11" s="25"/>
      <c r="M11" s="25"/>
      <c r="N11" s="25"/>
      <c r="O11" s="25"/>
      <c r="P11" s="25"/>
      <c r="Q11" s="25"/>
      <c r="R11" s="25"/>
      <c r="S11" s="25"/>
      <c r="T11" s="25"/>
      <c r="U11" s="25"/>
      <c r="V11" s="25"/>
      <c r="W11" s="25"/>
      <c r="X11" s="25"/>
      <c r="Y11" s="25"/>
      <c r="Z11" s="25"/>
      <c r="AA11" s="25"/>
      <c r="AB11" s="25"/>
      <c r="AC11" s="25"/>
      <c r="AD11" s="25"/>
    </row>
    <row r="12" ht="12.75" customHeight="1">
      <c r="A12" s="22">
        <f t="shared" si="3"/>
        <v>10</v>
      </c>
      <c r="B12" s="26"/>
      <c r="C12" s="26"/>
      <c r="D12" s="43">
        <f>COUNTIF(progress!B:B,$A12)</f>
        <v>0</v>
      </c>
      <c r="E12" s="26"/>
      <c r="F12" s="26"/>
      <c r="G12" s="39"/>
      <c r="H12" s="25"/>
      <c r="I12" s="29">
        <f t="shared" si="1"/>
        <v>0</v>
      </c>
      <c r="J12" s="39">
        <f t="shared" si="2"/>
        <v>0</v>
      </c>
      <c r="K12" s="25"/>
      <c r="L12" s="25"/>
      <c r="M12" s="25"/>
      <c r="N12" s="25"/>
      <c r="O12" s="25"/>
      <c r="P12" s="25"/>
      <c r="Q12" s="25"/>
      <c r="R12" s="25"/>
      <c r="S12" s="25"/>
      <c r="T12" s="25"/>
      <c r="U12" s="25"/>
      <c r="V12" s="25"/>
      <c r="W12" s="25"/>
      <c r="X12" s="25"/>
      <c r="Y12" s="25"/>
      <c r="Z12" s="25"/>
      <c r="AA12" s="25"/>
      <c r="AB12" s="25"/>
      <c r="AC12" s="25"/>
      <c r="AD12" s="25"/>
    </row>
    <row r="13" ht="12.75" customHeight="1">
      <c r="A13" s="22">
        <f t="shared" si="3"/>
        <v>11</v>
      </c>
      <c r="B13" s="26"/>
      <c r="C13" s="26"/>
      <c r="D13" s="43">
        <f>COUNTIF(progress!B:B,$A13)</f>
        <v>0</v>
      </c>
      <c r="E13" s="26"/>
      <c r="F13" s="26"/>
      <c r="G13" s="39"/>
      <c r="H13" s="25"/>
      <c r="I13" s="29">
        <f t="shared" si="1"/>
        <v>0</v>
      </c>
      <c r="J13" s="39">
        <f t="shared" si="2"/>
        <v>0</v>
      </c>
      <c r="K13" s="25"/>
      <c r="L13" s="25"/>
      <c r="M13" s="25"/>
      <c r="N13" s="25"/>
      <c r="O13" s="25"/>
      <c r="P13" s="25"/>
      <c r="Q13" s="25"/>
      <c r="R13" s="25"/>
      <c r="S13" s="25"/>
      <c r="T13" s="25"/>
      <c r="U13" s="25"/>
      <c r="V13" s="25"/>
      <c r="W13" s="25"/>
      <c r="X13" s="25"/>
      <c r="Y13" s="25"/>
      <c r="Z13" s="25"/>
      <c r="AA13" s="25"/>
      <c r="AB13" s="25"/>
      <c r="AC13" s="25"/>
      <c r="AD13" s="25"/>
    </row>
    <row r="14" ht="12.75" customHeight="1">
      <c r="A14" s="22">
        <f t="shared" si="3"/>
        <v>12</v>
      </c>
      <c r="B14" s="26"/>
      <c r="C14" s="26"/>
      <c r="D14" s="43">
        <f>COUNTIF(progress!B:B,$A14)</f>
        <v>0</v>
      </c>
      <c r="E14" s="26"/>
      <c r="F14" s="26"/>
      <c r="G14" s="39"/>
      <c r="H14" s="25"/>
      <c r="I14" s="29">
        <f t="shared" si="1"/>
        <v>0</v>
      </c>
      <c r="J14" s="39">
        <f t="shared" si="2"/>
        <v>0</v>
      </c>
      <c r="K14" s="25"/>
      <c r="L14" s="25"/>
      <c r="M14" s="25"/>
      <c r="N14" s="25"/>
      <c r="O14" s="25"/>
      <c r="P14" s="25"/>
      <c r="Q14" s="25"/>
      <c r="R14" s="25"/>
      <c r="S14" s="25"/>
      <c r="T14" s="25"/>
      <c r="U14" s="25"/>
      <c r="V14" s="25"/>
      <c r="W14" s="25"/>
      <c r="X14" s="25"/>
      <c r="Y14" s="25"/>
      <c r="Z14" s="25"/>
      <c r="AA14" s="25"/>
      <c r="AB14" s="25"/>
      <c r="AC14" s="25"/>
      <c r="AD14" s="25"/>
    </row>
    <row r="15" ht="12.75" customHeight="1">
      <c r="A15" s="22">
        <f t="shared" si="3"/>
        <v>13</v>
      </c>
      <c r="B15" s="26"/>
      <c r="C15" s="26"/>
      <c r="D15" s="43">
        <f>COUNTIF(progress!B:B,$A15)</f>
        <v>0</v>
      </c>
      <c r="E15" s="26"/>
      <c r="F15" s="26"/>
      <c r="G15" s="39"/>
      <c r="H15" s="25"/>
      <c r="I15" s="29">
        <f t="shared" si="1"/>
        <v>0</v>
      </c>
      <c r="J15" s="39">
        <f t="shared" si="2"/>
        <v>0</v>
      </c>
      <c r="K15" s="25"/>
      <c r="L15" s="25"/>
      <c r="M15" s="25"/>
      <c r="N15" s="25"/>
      <c r="O15" s="25"/>
      <c r="P15" s="25"/>
      <c r="Q15" s="25"/>
      <c r="R15" s="25"/>
      <c r="S15" s="25"/>
      <c r="T15" s="25"/>
      <c r="U15" s="25"/>
      <c r="V15" s="25"/>
      <c r="W15" s="25"/>
      <c r="X15" s="25"/>
      <c r="Y15" s="25"/>
      <c r="Z15" s="25"/>
      <c r="AA15" s="25"/>
      <c r="AB15" s="25"/>
      <c r="AC15" s="25"/>
      <c r="AD15" s="25"/>
    </row>
    <row r="16" ht="12.75" customHeight="1">
      <c r="A16" s="22">
        <f t="shared" si="3"/>
        <v>14</v>
      </c>
      <c r="B16" s="26"/>
      <c r="C16" s="26"/>
      <c r="D16" s="43">
        <f>COUNTIF(progress!B:B,$A16)</f>
        <v>0</v>
      </c>
      <c r="E16" s="26"/>
      <c r="F16" s="26"/>
      <c r="G16" s="39"/>
      <c r="H16" s="25"/>
      <c r="I16" s="29">
        <f t="shared" si="1"/>
        <v>0</v>
      </c>
      <c r="J16" s="39">
        <f t="shared" si="2"/>
        <v>0</v>
      </c>
      <c r="K16" s="25"/>
      <c r="L16" s="25"/>
      <c r="M16" s="25"/>
      <c r="N16" s="25"/>
      <c r="O16" s="25"/>
      <c r="P16" s="25"/>
      <c r="Q16" s="25"/>
      <c r="R16" s="25"/>
      <c r="S16" s="25"/>
      <c r="T16" s="25"/>
      <c r="U16" s="25"/>
      <c r="V16" s="25"/>
      <c r="W16" s="25"/>
      <c r="X16" s="25"/>
      <c r="Y16" s="25"/>
      <c r="Z16" s="25"/>
      <c r="AA16" s="25"/>
      <c r="AB16" s="25"/>
      <c r="AC16" s="25"/>
      <c r="AD16" s="25"/>
    </row>
    <row r="17" ht="12.75" customHeight="1">
      <c r="A17" s="22">
        <f t="shared" si="3"/>
        <v>15</v>
      </c>
      <c r="B17" s="26"/>
      <c r="C17" s="26"/>
      <c r="D17" s="43">
        <f>COUNTIF(progress!B:B,$A17)</f>
        <v>0</v>
      </c>
      <c r="E17" s="26"/>
      <c r="F17" s="26"/>
      <c r="G17" s="39"/>
      <c r="H17" s="25"/>
      <c r="I17" s="29">
        <f t="shared" si="1"/>
        <v>0</v>
      </c>
      <c r="J17" s="39">
        <f t="shared" si="2"/>
        <v>0</v>
      </c>
      <c r="K17" s="25"/>
      <c r="L17" s="25"/>
      <c r="M17" s="25"/>
      <c r="N17" s="25"/>
      <c r="O17" s="25"/>
      <c r="P17" s="25"/>
      <c r="Q17" s="25"/>
      <c r="R17" s="25"/>
      <c r="S17" s="25"/>
      <c r="T17" s="25"/>
      <c r="U17" s="25"/>
      <c r="V17" s="25"/>
      <c r="W17" s="25"/>
      <c r="X17" s="25"/>
      <c r="Y17" s="25"/>
      <c r="Z17" s="25"/>
      <c r="AA17" s="25"/>
      <c r="AB17" s="25"/>
      <c r="AC17" s="25"/>
      <c r="AD17" s="25"/>
    </row>
    <row r="18" ht="12.75" customHeight="1">
      <c r="A18" s="22">
        <f t="shared" si="3"/>
        <v>16</v>
      </c>
      <c r="B18" s="26"/>
      <c r="C18" s="26"/>
      <c r="D18" s="43">
        <f>COUNTIF(progress!B:B,$A18)</f>
        <v>0</v>
      </c>
      <c r="E18" s="26"/>
      <c r="F18" s="26"/>
      <c r="G18" s="39"/>
      <c r="H18" s="25"/>
      <c r="I18" s="29">
        <f t="shared" si="1"/>
        <v>0</v>
      </c>
      <c r="J18" s="39">
        <f t="shared" si="2"/>
        <v>0</v>
      </c>
      <c r="K18" s="25"/>
      <c r="L18" s="25"/>
      <c r="M18" s="25"/>
      <c r="N18" s="25"/>
      <c r="O18" s="25"/>
      <c r="P18" s="25"/>
      <c r="Q18" s="25"/>
      <c r="R18" s="25"/>
      <c r="S18" s="25"/>
      <c r="T18" s="25"/>
      <c r="U18" s="25"/>
      <c r="V18" s="25"/>
      <c r="W18" s="25"/>
      <c r="X18" s="25"/>
      <c r="Y18" s="25"/>
      <c r="Z18" s="25"/>
      <c r="AA18" s="25"/>
      <c r="AB18" s="25"/>
      <c r="AC18" s="25"/>
      <c r="AD18" s="25"/>
    </row>
    <row r="19" ht="12.75" customHeight="1">
      <c r="A19" s="22">
        <f t="shared" si="3"/>
        <v>17</v>
      </c>
      <c r="B19" s="26"/>
      <c r="C19" s="26"/>
      <c r="D19" s="43">
        <f>COUNTIF(progress!B:B,$A19)</f>
        <v>0</v>
      </c>
      <c r="E19" s="26"/>
      <c r="F19" s="26"/>
      <c r="G19" s="39"/>
      <c r="H19" s="25"/>
      <c r="I19" s="29">
        <f t="shared" si="1"/>
        <v>0</v>
      </c>
      <c r="J19" s="39">
        <f t="shared" si="2"/>
        <v>0</v>
      </c>
      <c r="K19" s="25"/>
      <c r="L19" s="25"/>
      <c r="M19" s="25"/>
      <c r="N19" s="25"/>
      <c r="O19" s="25"/>
      <c r="P19" s="25"/>
      <c r="Q19" s="25"/>
      <c r="R19" s="25"/>
      <c r="S19" s="25"/>
      <c r="T19" s="25"/>
      <c r="U19" s="25"/>
      <c r="V19" s="25"/>
      <c r="W19" s="25"/>
      <c r="X19" s="25"/>
      <c r="Y19" s="25"/>
      <c r="Z19" s="25"/>
      <c r="AA19" s="25"/>
      <c r="AB19" s="25"/>
      <c r="AC19" s="25"/>
      <c r="AD19" s="25"/>
    </row>
    <row r="20" ht="12.75" customHeight="1">
      <c r="A20" s="22">
        <f t="shared" si="3"/>
        <v>18</v>
      </c>
      <c r="B20" s="26"/>
      <c r="C20" s="26"/>
      <c r="D20" s="43">
        <f>COUNTIF(progress!B:B,$A20)</f>
        <v>0</v>
      </c>
      <c r="E20" s="26"/>
      <c r="F20" s="26"/>
      <c r="G20" s="39"/>
      <c r="H20" s="25"/>
      <c r="I20" s="29">
        <f t="shared" si="1"/>
        <v>0</v>
      </c>
      <c r="J20" s="39">
        <f t="shared" si="2"/>
        <v>0</v>
      </c>
      <c r="K20" s="25"/>
      <c r="L20" s="25"/>
      <c r="M20" s="25"/>
      <c r="N20" s="25"/>
      <c r="O20" s="25"/>
      <c r="P20" s="25"/>
      <c r="Q20" s="25"/>
      <c r="R20" s="25"/>
      <c r="S20" s="25"/>
      <c r="T20" s="25"/>
      <c r="U20" s="25"/>
      <c r="V20" s="25"/>
      <c r="W20" s="25"/>
      <c r="X20" s="25"/>
      <c r="Y20" s="25"/>
      <c r="Z20" s="25"/>
      <c r="AA20" s="25"/>
      <c r="AB20" s="25"/>
      <c r="AC20" s="25"/>
      <c r="AD20" s="25"/>
    </row>
    <row r="21" ht="12.75" customHeight="1">
      <c r="A21" s="22">
        <f t="shared" si="3"/>
        <v>19</v>
      </c>
      <c r="B21" s="26"/>
      <c r="C21" s="26"/>
      <c r="D21" s="43">
        <f>COUNTIF(progress!B:B,$A21)</f>
        <v>0</v>
      </c>
      <c r="E21" s="26"/>
      <c r="F21" s="26"/>
      <c r="G21" s="39"/>
      <c r="H21" s="25"/>
      <c r="I21" s="29">
        <f t="shared" si="1"/>
        <v>0</v>
      </c>
      <c r="J21" s="39">
        <f t="shared" si="2"/>
        <v>0</v>
      </c>
      <c r="K21" s="25"/>
      <c r="L21" s="25"/>
      <c r="M21" s="25"/>
      <c r="N21" s="25"/>
      <c r="O21" s="25"/>
      <c r="P21" s="25"/>
      <c r="Q21" s="25"/>
      <c r="R21" s="25"/>
      <c r="S21" s="25"/>
      <c r="T21" s="25"/>
      <c r="U21" s="25"/>
      <c r="V21" s="25"/>
      <c r="W21" s="25"/>
      <c r="X21" s="25"/>
      <c r="Y21" s="25"/>
      <c r="Z21" s="25"/>
      <c r="AA21" s="25"/>
      <c r="AB21" s="25"/>
      <c r="AC21" s="25"/>
      <c r="AD21" s="25"/>
    </row>
    <row r="22" ht="12.75" customHeight="1">
      <c r="A22" s="30">
        <v>66.0</v>
      </c>
      <c r="B22" s="26"/>
      <c r="C22" s="26"/>
      <c r="D22" s="43">
        <f>COUNTIF(progress!B:B,$A22)</f>
        <v>3</v>
      </c>
      <c r="E22" s="26"/>
      <c r="F22" s="26"/>
      <c r="G22" s="39"/>
      <c r="H22" s="25"/>
      <c r="I22" s="29">
        <f t="shared" si="1"/>
        <v>0.75</v>
      </c>
      <c r="J22" s="39">
        <f t="shared" si="2"/>
        <v>0.075</v>
      </c>
      <c r="K22" s="25"/>
      <c r="L22" s="25"/>
      <c r="M22" s="25"/>
      <c r="N22" s="25"/>
      <c r="O22" s="25"/>
      <c r="P22" s="25"/>
      <c r="Q22" s="25"/>
      <c r="R22" s="25"/>
      <c r="S22" s="25"/>
      <c r="T22" s="25"/>
      <c r="U22" s="25"/>
      <c r="V22" s="25"/>
      <c r="W22" s="25"/>
      <c r="X22" s="25"/>
      <c r="Y22" s="25"/>
      <c r="Z22" s="25"/>
      <c r="AA22" s="25"/>
      <c r="AB22" s="25"/>
      <c r="AC22" s="25"/>
      <c r="AD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6" t="s">
        <v>2</v>
      </c>
      <c r="B1" s="18"/>
      <c r="C1" s="19" t="s">
        <v>586</v>
      </c>
      <c r="D1" s="20" t="s">
        <v>548</v>
      </c>
      <c r="E1" s="45"/>
      <c r="F1" s="18" t="s">
        <v>557</v>
      </c>
      <c r="G1" s="18" t="s">
        <v>587</v>
      </c>
      <c r="H1" s="18" t="s">
        <v>588</v>
      </c>
      <c r="I1" s="19" t="s">
        <v>589</v>
      </c>
      <c r="J1" s="20" t="s">
        <v>548</v>
      </c>
      <c r="K1" s="45"/>
      <c r="L1" s="18" t="s">
        <v>590</v>
      </c>
      <c r="M1" s="19" t="s">
        <v>591</v>
      </c>
      <c r="N1" s="20" t="s">
        <v>548</v>
      </c>
      <c r="O1" s="45"/>
      <c r="P1" s="18" t="s">
        <v>592</v>
      </c>
    </row>
    <row r="2">
      <c r="A2" s="22"/>
      <c r="B2" s="23"/>
      <c r="C2" s="23"/>
      <c r="D2" s="24">
        <v>0.03</v>
      </c>
      <c r="E2" s="46"/>
      <c r="F2" s="47"/>
      <c r="G2" s="23">
        <v>2020.0</v>
      </c>
      <c r="H2" s="23">
        <v>2030.0</v>
      </c>
      <c r="I2" s="18"/>
      <c r="J2" s="24">
        <v>0.03</v>
      </c>
      <c r="K2" s="46"/>
      <c r="L2" s="23" t="s">
        <v>593</v>
      </c>
      <c r="M2" s="18"/>
      <c r="N2" s="32">
        <v>0.04</v>
      </c>
      <c r="O2" s="46"/>
      <c r="P2" s="18"/>
      <c r="R2" s="25"/>
      <c r="S2" s="25"/>
      <c r="T2" s="25"/>
      <c r="U2" s="25"/>
      <c r="V2" s="25"/>
      <c r="W2" s="25"/>
      <c r="X2" s="25"/>
      <c r="Y2" s="25"/>
      <c r="Z2" s="25"/>
      <c r="AA2" s="25"/>
      <c r="AB2" s="25"/>
      <c r="AC2" s="25"/>
      <c r="AD2" s="25"/>
      <c r="AE2" s="25"/>
      <c r="AF2" s="25"/>
      <c r="AG2" s="25"/>
      <c r="AH2" s="25"/>
      <c r="AI2" s="25"/>
      <c r="AJ2" s="25"/>
    </row>
    <row r="3" ht="12.75" customHeight="1">
      <c r="A3" s="22">
        <v>1.0</v>
      </c>
      <c r="B3" s="26"/>
      <c r="C3" s="29">
        <f>IFERROR(__xludf.DUMMYFUNCTION("if(IFERROR(filter(targets_state!$H:$H,(targets_state!$B:$B=$A3)*(targets_state!$H:$H=""yes"")),0)=""yes"",1,0)"),1.0)</f>
        <v>1</v>
      </c>
      <c r="D3" s="29">
        <f t="shared" ref="D3:D22" si="1">C3*D$2</f>
        <v>0.03</v>
      </c>
      <c r="E3" s="48"/>
      <c r="F3" s="49">
        <f>IFERROR(__xludf.DUMMYFUNCTION("iferror(min(filter(targets_quant!$P:$P,(targets_quant!$B:$B=$A3))),0)"),2030.0)</f>
        <v>2030</v>
      </c>
      <c r="G3" s="26"/>
      <c r="H3" s="26"/>
      <c r="I3" s="29">
        <f t="shared" ref="I3:I22" si="2">IF(AND($F3&lt;=$H$2,$F3&gt;=$G$2),1,0)</f>
        <v>1</v>
      </c>
      <c r="J3" s="29">
        <f t="shared" ref="J3:J22" si="3">I3*J$2</f>
        <v>0.03</v>
      </c>
      <c r="K3" s="48"/>
      <c r="L3" s="26"/>
      <c r="M3" s="29">
        <f>IFERROR(__xludf.DUMMYFUNCTION("IF(IFERROR(filter(targets_quant!$B:$B,(targets_quant!$N:$N=100%)*(targets_quant!$J:$J=$L$2)*(targets_quant!$B:$B=$A3)),0)=$A3,1,0)"),0.0)</f>
        <v>0</v>
      </c>
      <c r="N3" s="29">
        <f t="shared" ref="N3:N22" si="4">M3*N$2</f>
        <v>0</v>
      </c>
      <c r="O3" s="48"/>
      <c r="P3" s="39">
        <f t="shared" ref="P3:P22" si="5">N3+J3+D3</f>
        <v>0.06</v>
      </c>
      <c r="R3" s="25"/>
      <c r="S3" s="25"/>
      <c r="T3" s="25"/>
      <c r="U3" s="25"/>
      <c r="V3" s="25"/>
      <c r="W3" s="25"/>
      <c r="X3" s="25"/>
      <c r="Y3" s="25"/>
      <c r="Z3" s="25"/>
      <c r="AA3" s="25"/>
      <c r="AB3" s="25"/>
      <c r="AC3" s="25"/>
      <c r="AD3" s="25"/>
      <c r="AE3" s="25"/>
      <c r="AF3" s="25"/>
      <c r="AG3" s="25"/>
      <c r="AH3" s="25"/>
      <c r="AI3" s="25"/>
      <c r="AJ3" s="25"/>
    </row>
    <row r="4" ht="12.75" customHeight="1">
      <c r="A4" s="22">
        <f t="shared" ref="A4:A21" si="6">A3+1</f>
        <v>2</v>
      </c>
      <c r="B4" s="26"/>
      <c r="C4" s="29">
        <f>IFERROR(__xludf.DUMMYFUNCTION("if(IFERROR(filter(targets_state!$H:$H,(targets_state!$B:$B=$A4)*(targets_state!$H:$H=""yes"")),0)=""yes"",1,0)"),0.0)</f>
        <v>0</v>
      </c>
      <c r="D4" s="29">
        <f t="shared" si="1"/>
        <v>0</v>
      </c>
      <c r="E4" s="48"/>
      <c r="F4" s="49">
        <f>IFERROR(__xludf.DUMMYFUNCTION("iferror(min(filter(targets_quant!$P:$P,(targets_quant!$B:$B=$A4))),0)"),2030.0)</f>
        <v>2030</v>
      </c>
      <c r="G4" s="26"/>
      <c r="H4" s="26"/>
      <c r="I4" s="29">
        <f t="shared" si="2"/>
        <v>1</v>
      </c>
      <c r="J4" s="29">
        <f t="shared" si="3"/>
        <v>0.03</v>
      </c>
      <c r="K4" s="48"/>
      <c r="L4" s="26"/>
      <c r="M4" s="29">
        <f>IFERROR(__xludf.DUMMYFUNCTION("IF(IFERROR(filter(targets_quant!$B:$B,(targets_quant!$N:$N=100%)*(targets_quant!$J:$J=$L$2)*(targets_quant!$B:$B=$A4)),0)=$A4,1,0)"),0.0)</f>
        <v>0</v>
      </c>
      <c r="N4" s="29">
        <f t="shared" si="4"/>
        <v>0</v>
      </c>
      <c r="O4" s="48"/>
      <c r="P4" s="39">
        <f t="shared" si="5"/>
        <v>0.03</v>
      </c>
      <c r="R4" s="25"/>
      <c r="S4" s="25"/>
      <c r="T4" s="25"/>
      <c r="U4" s="25"/>
      <c r="V4" s="25"/>
      <c r="W4" s="25"/>
      <c r="X4" s="25"/>
      <c r="Y4" s="25"/>
      <c r="Z4" s="25"/>
      <c r="AA4" s="25"/>
      <c r="AB4" s="25"/>
      <c r="AC4" s="25"/>
      <c r="AD4" s="25"/>
      <c r="AE4" s="25"/>
      <c r="AF4" s="25"/>
      <c r="AG4" s="25"/>
      <c r="AH4" s="25"/>
      <c r="AI4" s="25"/>
      <c r="AJ4" s="25"/>
    </row>
    <row r="5" ht="12.75" customHeight="1">
      <c r="A5" s="22">
        <f t="shared" si="6"/>
        <v>3</v>
      </c>
      <c r="B5" s="26"/>
      <c r="C5" s="29">
        <f>IFERROR(__xludf.DUMMYFUNCTION("if(IFERROR(filter(targets_state!$H:$H,(targets_state!$B:$B=$A5)*(targets_state!$H:$H=""yes"")),0)=""yes"",1,0)"),0.0)</f>
        <v>0</v>
      </c>
      <c r="D5" s="29">
        <f t="shared" si="1"/>
        <v>0</v>
      </c>
      <c r="E5" s="48"/>
      <c r="F5" s="49">
        <f>IFERROR(__xludf.DUMMYFUNCTION("iferror(min(filter(targets_quant!$P:$P,(targets_quant!$B:$B=$A5))),0)"),2025.0)</f>
        <v>2025</v>
      </c>
      <c r="G5" s="26"/>
      <c r="H5" s="26"/>
      <c r="I5" s="29">
        <f t="shared" si="2"/>
        <v>1</v>
      </c>
      <c r="J5" s="29">
        <f t="shared" si="3"/>
        <v>0.03</v>
      </c>
      <c r="K5" s="48"/>
      <c r="L5" s="26"/>
      <c r="M5" s="29">
        <f>IFERROR(__xludf.DUMMYFUNCTION("IF(IFERROR(filter(targets_quant!$B:$B,(targets_quant!$N:$N=100%)*(targets_quant!$J:$J=$L$2)*(targets_quant!$B:$B=$A5)),0)=$A5,1,0)"),0.0)</f>
        <v>0</v>
      </c>
      <c r="N5" s="29">
        <f t="shared" si="4"/>
        <v>0</v>
      </c>
      <c r="O5" s="48"/>
      <c r="P5" s="39">
        <f t="shared" si="5"/>
        <v>0.03</v>
      </c>
      <c r="R5" s="25"/>
      <c r="S5" s="25"/>
      <c r="T5" s="25"/>
      <c r="U5" s="25"/>
      <c r="V5" s="25"/>
      <c r="W5" s="25"/>
      <c r="X5" s="25"/>
      <c r="Y5" s="25"/>
      <c r="Z5" s="25"/>
      <c r="AA5" s="25"/>
      <c r="AB5" s="25"/>
      <c r="AC5" s="25"/>
      <c r="AD5" s="25"/>
      <c r="AE5" s="25"/>
      <c r="AF5" s="25"/>
      <c r="AG5" s="25"/>
      <c r="AH5" s="25"/>
      <c r="AI5" s="25"/>
      <c r="AJ5" s="25"/>
    </row>
    <row r="6" ht="12.75" customHeight="1">
      <c r="A6" s="22">
        <f t="shared" si="6"/>
        <v>4</v>
      </c>
      <c r="B6" s="26"/>
      <c r="C6" s="29">
        <f>IFERROR(__xludf.DUMMYFUNCTION("if(IFERROR(filter(targets_state!$H:$H,(targets_state!$B:$B=$A6)*(targets_state!$H:$H=""yes"")),0)=""yes"",1,0)"),1.0)</f>
        <v>1</v>
      </c>
      <c r="D6" s="29">
        <f t="shared" si="1"/>
        <v>0.03</v>
      </c>
      <c r="E6" s="48"/>
      <c r="F6" s="49">
        <f>IFERROR(__xludf.DUMMYFUNCTION("iferror(min(filter(targets_quant!$P:$P,(targets_quant!$B:$B=$A6))),0)"),2025.0)</f>
        <v>2025</v>
      </c>
      <c r="G6" s="26"/>
      <c r="H6" s="26"/>
      <c r="I6" s="29">
        <f t="shared" si="2"/>
        <v>1</v>
      </c>
      <c r="J6" s="29">
        <f t="shared" si="3"/>
        <v>0.03</v>
      </c>
      <c r="K6" s="48"/>
      <c r="L6" s="26"/>
      <c r="M6" s="29">
        <f>IFERROR(__xludf.DUMMYFUNCTION("IF(IFERROR(filter(targets_quant!$B:$B,(targets_quant!$N:$N=100%)*(targets_quant!$J:$J=$L$2)*(targets_quant!$B:$B=$A6)),0)=$A6,1,0)"),0.0)</f>
        <v>0</v>
      </c>
      <c r="N6" s="29">
        <f t="shared" si="4"/>
        <v>0</v>
      </c>
      <c r="O6" s="48"/>
      <c r="P6" s="39">
        <f t="shared" si="5"/>
        <v>0.06</v>
      </c>
      <c r="R6" s="25"/>
      <c r="S6" s="25"/>
      <c r="T6" s="25"/>
      <c r="U6" s="25"/>
      <c r="V6" s="25"/>
      <c r="W6" s="25"/>
      <c r="X6" s="25"/>
      <c r="Y6" s="25"/>
      <c r="Z6" s="25"/>
      <c r="AA6" s="25"/>
      <c r="AB6" s="25"/>
      <c r="AC6" s="25"/>
      <c r="AD6" s="25"/>
      <c r="AE6" s="25"/>
      <c r="AF6" s="25"/>
      <c r="AG6" s="25"/>
      <c r="AH6" s="25"/>
      <c r="AI6" s="25"/>
      <c r="AJ6" s="25"/>
    </row>
    <row r="7" ht="12.75" customHeight="1">
      <c r="A7" s="22">
        <f t="shared" si="6"/>
        <v>5</v>
      </c>
      <c r="B7" s="26"/>
      <c r="C7" s="29">
        <f>IFERROR(__xludf.DUMMYFUNCTION("if(IFERROR(filter(targets_state!$H:$H,(targets_state!$B:$B=$A7)*(targets_state!$H:$H=""yes"")),0)=""yes"",1,0)"),0.0)</f>
        <v>0</v>
      </c>
      <c r="D7" s="29">
        <f t="shared" si="1"/>
        <v>0</v>
      </c>
      <c r="E7" s="48"/>
      <c r="F7" s="49">
        <f>IFERROR(__xludf.DUMMYFUNCTION("iferror(min(filter(targets_quant!$P:$P,(targets_quant!$B:$B=$A7))),0)"),2025.0)</f>
        <v>2025</v>
      </c>
      <c r="G7" s="26"/>
      <c r="H7" s="26"/>
      <c r="I7" s="29">
        <f t="shared" si="2"/>
        <v>1</v>
      </c>
      <c r="J7" s="29">
        <f t="shared" si="3"/>
        <v>0.03</v>
      </c>
      <c r="K7" s="48"/>
      <c r="L7" s="26"/>
      <c r="M7" s="29">
        <f>IFERROR(__xludf.DUMMYFUNCTION("IF(IFERROR(filter(targets_quant!$B:$B,(targets_quant!$N:$N=100%)*(targets_quant!$J:$J=$L$2)*(targets_quant!$B:$B=$A7)),0)=$A7,1,0)"),0.0)</f>
        <v>0</v>
      </c>
      <c r="N7" s="29">
        <f t="shared" si="4"/>
        <v>0</v>
      </c>
      <c r="O7" s="48"/>
      <c r="P7" s="39">
        <f t="shared" si="5"/>
        <v>0.03</v>
      </c>
      <c r="R7" s="25"/>
      <c r="S7" s="25"/>
      <c r="T7" s="25"/>
      <c r="U7" s="25"/>
      <c r="V7" s="25"/>
      <c r="W7" s="25"/>
      <c r="X7" s="25"/>
      <c r="Y7" s="25"/>
      <c r="Z7" s="25"/>
      <c r="AA7" s="25"/>
      <c r="AB7" s="25"/>
      <c r="AC7" s="25"/>
      <c r="AD7" s="25"/>
      <c r="AE7" s="25"/>
      <c r="AF7" s="25"/>
      <c r="AG7" s="25"/>
      <c r="AH7" s="25"/>
      <c r="AI7" s="25"/>
      <c r="AJ7" s="25"/>
    </row>
    <row r="8" ht="12.75" customHeight="1">
      <c r="A8" s="22">
        <f t="shared" si="6"/>
        <v>6</v>
      </c>
      <c r="B8" s="26"/>
      <c r="C8" s="29">
        <f>IFERROR(__xludf.DUMMYFUNCTION("if(IFERROR(filter(targets_state!$H:$H,(targets_state!$B:$B=$A8)*(targets_state!$H:$H=""yes"")),0)=""yes"",1,0)"),0.0)</f>
        <v>0</v>
      </c>
      <c r="D8" s="29">
        <f t="shared" si="1"/>
        <v>0</v>
      </c>
      <c r="E8" s="48"/>
      <c r="F8" s="49">
        <f>IFERROR(__xludf.DUMMYFUNCTION("iferror(min(filter(targets_quant!$P:$P,(targets_quant!$B:$B=$A8))),0)"),0.0)</f>
        <v>0</v>
      </c>
      <c r="G8" s="26"/>
      <c r="H8" s="26"/>
      <c r="I8" s="29">
        <f t="shared" si="2"/>
        <v>0</v>
      </c>
      <c r="J8" s="29">
        <f t="shared" si="3"/>
        <v>0</v>
      </c>
      <c r="K8" s="48"/>
      <c r="L8" s="26"/>
      <c r="M8" s="29">
        <f>IFERROR(__xludf.DUMMYFUNCTION("IF(IFERROR(filter(targets_quant!$B:$B,(targets_quant!$N:$N=100%)*(targets_quant!$J:$J=$L$2)*(targets_quant!$B:$B=$A8)),0)=$A8,1,0)"),0.0)</f>
        <v>0</v>
      </c>
      <c r="N8" s="29">
        <f t="shared" si="4"/>
        <v>0</v>
      </c>
      <c r="O8" s="48"/>
      <c r="P8" s="39">
        <f t="shared" si="5"/>
        <v>0</v>
      </c>
      <c r="Q8" s="25"/>
      <c r="R8" s="25"/>
      <c r="S8" s="25"/>
      <c r="T8" s="25"/>
      <c r="U8" s="25"/>
      <c r="V8" s="25"/>
      <c r="W8" s="25"/>
      <c r="X8" s="25"/>
      <c r="Y8" s="25"/>
      <c r="Z8" s="25"/>
      <c r="AA8" s="25"/>
      <c r="AB8" s="25"/>
      <c r="AC8" s="25"/>
      <c r="AD8" s="25"/>
      <c r="AE8" s="25"/>
      <c r="AF8" s="25"/>
      <c r="AG8" s="25"/>
      <c r="AH8" s="25"/>
      <c r="AI8" s="25"/>
      <c r="AJ8" s="25"/>
    </row>
    <row r="9" ht="12.75" customHeight="1">
      <c r="A9" s="22">
        <f t="shared" si="6"/>
        <v>7</v>
      </c>
      <c r="B9" s="26"/>
      <c r="C9" s="29">
        <f>IFERROR(__xludf.DUMMYFUNCTION("if(IFERROR(filter(targets_state!$H:$H,(targets_state!$B:$B=$A9)*(targets_state!$H:$H=""yes"")),0)=""yes"",1,0)"),1.0)</f>
        <v>1</v>
      </c>
      <c r="D9" s="29">
        <f t="shared" si="1"/>
        <v>0.03</v>
      </c>
      <c r="E9" s="48"/>
      <c r="F9" s="49">
        <f>IFERROR(__xludf.DUMMYFUNCTION("iferror(min(filter(targets_quant!$P:$P,(targets_quant!$B:$B=$A9))),0)"),0.0)</f>
        <v>0</v>
      </c>
      <c r="G9" s="26"/>
      <c r="H9" s="26"/>
      <c r="I9" s="29">
        <f t="shared" si="2"/>
        <v>0</v>
      </c>
      <c r="J9" s="29">
        <f t="shared" si="3"/>
        <v>0</v>
      </c>
      <c r="K9" s="48"/>
      <c r="L9" s="26"/>
      <c r="M9" s="29">
        <f>IFERROR(__xludf.DUMMYFUNCTION("IF(IFERROR(filter(targets_quant!$B:$B,(targets_quant!$N:$N=100%)*(targets_quant!$J:$J=$L$2)*(targets_quant!$B:$B=$A9)),0)=$A9,1,0)"),0.0)</f>
        <v>0</v>
      </c>
      <c r="N9" s="29">
        <f t="shared" si="4"/>
        <v>0</v>
      </c>
      <c r="O9" s="48"/>
      <c r="P9" s="39">
        <f t="shared" si="5"/>
        <v>0.03</v>
      </c>
      <c r="Q9" s="25"/>
      <c r="R9" s="25"/>
      <c r="S9" s="25"/>
      <c r="T9" s="25"/>
      <c r="U9" s="25"/>
      <c r="V9" s="25"/>
      <c r="W9" s="25"/>
      <c r="X9" s="25"/>
      <c r="Y9" s="25"/>
      <c r="Z9" s="25"/>
      <c r="AA9" s="25"/>
      <c r="AB9" s="25"/>
      <c r="AC9" s="25"/>
      <c r="AD9" s="25"/>
      <c r="AE9" s="25"/>
      <c r="AF9" s="25"/>
      <c r="AG9" s="25"/>
      <c r="AH9" s="25"/>
      <c r="AI9" s="25"/>
      <c r="AJ9" s="25"/>
    </row>
    <row r="10" ht="12.75" customHeight="1">
      <c r="A10" s="22">
        <f t="shared" si="6"/>
        <v>8</v>
      </c>
      <c r="B10" s="26"/>
      <c r="C10" s="29">
        <f>IFERROR(__xludf.DUMMYFUNCTION("if(IFERROR(filter(targets_state!$H:$H,(targets_state!$B:$B=$A10)*(targets_state!$H:$H=""yes"")),0)=""yes"",1,0)"),0.0)</f>
        <v>0</v>
      </c>
      <c r="D10" s="29">
        <f t="shared" si="1"/>
        <v>0</v>
      </c>
      <c r="E10" s="48"/>
      <c r="F10" s="49">
        <f>IFERROR(__xludf.DUMMYFUNCTION("iferror(min(filter(targets_quant!$P:$P,(targets_quant!$B:$B=$A10))),0)"),2030.0)</f>
        <v>2030</v>
      </c>
      <c r="G10" s="26"/>
      <c r="H10" s="26"/>
      <c r="I10" s="29">
        <f t="shared" si="2"/>
        <v>1</v>
      </c>
      <c r="J10" s="29">
        <f t="shared" si="3"/>
        <v>0.03</v>
      </c>
      <c r="K10" s="48"/>
      <c r="L10" s="26"/>
      <c r="M10" s="29">
        <f>IFERROR(__xludf.DUMMYFUNCTION("IF(IFERROR(filter(targets_quant!$B:$B,(targets_quant!$N:$N=100%)*(targets_quant!$J:$J=$L$2)*(targets_quant!$B:$B=$A10)),0)=$A10,1,0)"),0.0)</f>
        <v>0</v>
      </c>
      <c r="N10" s="29">
        <f t="shared" si="4"/>
        <v>0</v>
      </c>
      <c r="O10" s="48"/>
      <c r="P10" s="39">
        <f t="shared" si="5"/>
        <v>0.03</v>
      </c>
      <c r="Q10" s="25"/>
      <c r="R10" s="25"/>
      <c r="S10" s="25"/>
      <c r="T10" s="25"/>
      <c r="U10" s="25"/>
      <c r="V10" s="25"/>
      <c r="W10" s="25"/>
      <c r="X10" s="25"/>
      <c r="Y10" s="25"/>
      <c r="Z10" s="25"/>
      <c r="AA10" s="25"/>
      <c r="AB10" s="25"/>
      <c r="AC10" s="25"/>
      <c r="AD10" s="25"/>
      <c r="AE10" s="25"/>
      <c r="AF10" s="25"/>
      <c r="AG10" s="25"/>
      <c r="AH10" s="25"/>
      <c r="AI10" s="25"/>
      <c r="AJ10" s="25"/>
    </row>
    <row r="11" ht="12.75" customHeight="1">
      <c r="A11" s="22">
        <f t="shared" si="6"/>
        <v>9</v>
      </c>
      <c r="B11" s="26"/>
      <c r="C11" s="29">
        <f>IFERROR(__xludf.DUMMYFUNCTION("if(IFERROR(filter(targets_state!$H:$H,(targets_state!$B:$B=$A11)*(targets_state!$H:$H=""yes"")),0)=""yes"",1,0)"),1.0)</f>
        <v>1</v>
      </c>
      <c r="D11" s="29">
        <f t="shared" si="1"/>
        <v>0.03</v>
      </c>
      <c r="E11" s="48"/>
      <c r="F11" s="49">
        <f>IFERROR(__xludf.DUMMYFUNCTION("iferror(min(filter(targets_quant!$P:$P,(targets_quant!$B:$B=$A11))),0)"),2040.0)</f>
        <v>2040</v>
      </c>
      <c r="G11" s="26"/>
      <c r="H11" s="26"/>
      <c r="I11" s="29">
        <f t="shared" si="2"/>
        <v>0</v>
      </c>
      <c r="J11" s="29">
        <f t="shared" si="3"/>
        <v>0</v>
      </c>
      <c r="K11" s="48"/>
      <c r="L11" s="26"/>
      <c r="M11" s="29">
        <f>IFERROR(__xludf.DUMMYFUNCTION("IF(IFERROR(filter(targets_quant!$B:$B,(targets_quant!$N:$N=100%)*(targets_quant!$J:$J=$L$2)*(targets_quant!$B:$B=$A11)),0)=$A11,1,0)"),1.0)</f>
        <v>1</v>
      </c>
      <c r="N11" s="29">
        <f t="shared" si="4"/>
        <v>0.04</v>
      </c>
      <c r="O11" s="48"/>
      <c r="P11" s="39">
        <f t="shared" si="5"/>
        <v>0.07</v>
      </c>
      <c r="Q11" s="25"/>
      <c r="R11" s="25"/>
      <c r="S11" s="25"/>
      <c r="T11" s="25"/>
      <c r="U11" s="25"/>
      <c r="V11" s="25"/>
      <c r="W11" s="25"/>
      <c r="X11" s="25"/>
      <c r="Y11" s="25"/>
      <c r="Z11" s="25"/>
      <c r="AA11" s="25"/>
      <c r="AB11" s="25"/>
      <c r="AC11" s="25"/>
      <c r="AD11" s="25"/>
      <c r="AE11" s="25"/>
      <c r="AF11" s="25"/>
      <c r="AG11" s="25"/>
      <c r="AH11" s="25"/>
      <c r="AI11" s="25"/>
      <c r="AJ11" s="25"/>
    </row>
    <row r="12" ht="12.75" customHeight="1">
      <c r="A12" s="22">
        <f t="shared" si="6"/>
        <v>10</v>
      </c>
      <c r="B12" s="26"/>
      <c r="C12" s="29">
        <f>IFERROR(__xludf.DUMMYFUNCTION("if(IFERROR(filter(targets_state!$H:$H,(targets_state!$B:$B=$A12)*(targets_state!$H:$H=""yes"")),0)=""yes"",1,0)"),0.0)</f>
        <v>0</v>
      </c>
      <c r="D12" s="29">
        <f t="shared" si="1"/>
        <v>0</v>
      </c>
      <c r="E12" s="48"/>
      <c r="F12" s="49">
        <f>IFERROR(__xludf.DUMMYFUNCTION("iferror(min(filter(targets_quant!$P:$P,(targets_quant!$B:$B=$A12))),0)"),0.0)</f>
        <v>0</v>
      </c>
      <c r="G12" s="26"/>
      <c r="H12" s="26"/>
      <c r="I12" s="29">
        <f t="shared" si="2"/>
        <v>0</v>
      </c>
      <c r="J12" s="29">
        <f t="shared" si="3"/>
        <v>0</v>
      </c>
      <c r="K12" s="48"/>
      <c r="L12" s="26"/>
      <c r="M12" s="29">
        <f>IFERROR(__xludf.DUMMYFUNCTION("IF(IFERROR(filter(targets_quant!$B:$B,(targets_quant!$N:$N=100%)*(targets_quant!$J:$J=$L$2)*(targets_quant!$B:$B=$A12)),0)=$A12,1,0)"),0.0)</f>
        <v>0</v>
      </c>
      <c r="N12" s="29">
        <f t="shared" si="4"/>
        <v>0</v>
      </c>
      <c r="O12" s="48"/>
      <c r="P12" s="39">
        <f t="shared" si="5"/>
        <v>0</v>
      </c>
      <c r="Q12" s="25"/>
      <c r="R12" s="25"/>
      <c r="S12" s="25"/>
      <c r="T12" s="25"/>
      <c r="U12" s="25"/>
      <c r="V12" s="25"/>
      <c r="W12" s="25"/>
      <c r="X12" s="25"/>
      <c r="Y12" s="25"/>
      <c r="Z12" s="25"/>
      <c r="AA12" s="25"/>
      <c r="AB12" s="25"/>
      <c r="AC12" s="25"/>
      <c r="AD12" s="25"/>
      <c r="AE12" s="25"/>
      <c r="AF12" s="25"/>
      <c r="AG12" s="25"/>
      <c r="AH12" s="25"/>
      <c r="AI12" s="25"/>
      <c r="AJ12" s="25"/>
    </row>
    <row r="13" ht="12.75" customHeight="1">
      <c r="A13" s="22">
        <f t="shared" si="6"/>
        <v>11</v>
      </c>
      <c r="B13" s="26"/>
      <c r="C13" s="29">
        <f>IFERROR(__xludf.DUMMYFUNCTION("if(IFERROR(filter(targets_state!$H:$H,(targets_state!$B:$B=$A13)*(targets_state!$H:$H=""yes"")),0)=""yes"",1,0)"),1.0)</f>
        <v>1</v>
      </c>
      <c r="D13" s="29">
        <f t="shared" si="1"/>
        <v>0.03</v>
      </c>
      <c r="E13" s="48"/>
      <c r="F13" s="49">
        <f>IFERROR(__xludf.DUMMYFUNCTION("iferror(min(filter(targets_quant!$P:$P,(targets_quant!$B:$B=$A13))),0)"),0.0)</f>
        <v>0</v>
      </c>
      <c r="G13" s="26"/>
      <c r="H13" s="26"/>
      <c r="I13" s="29">
        <f t="shared" si="2"/>
        <v>0</v>
      </c>
      <c r="J13" s="29">
        <f t="shared" si="3"/>
        <v>0</v>
      </c>
      <c r="K13" s="48"/>
      <c r="L13" s="26"/>
      <c r="M13" s="29">
        <f>IFERROR(__xludf.DUMMYFUNCTION("IF(IFERROR(filter(targets_quant!$B:$B,(targets_quant!$N:$N=100%)*(targets_quant!$J:$J=$L$2)*(targets_quant!$B:$B=$A13)),0)=$A13,1,0)"),0.0)</f>
        <v>0</v>
      </c>
      <c r="N13" s="29">
        <f t="shared" si="4"/>
        <v>0</v>
      </c>
      <c r="O13" s="48"/>
      <c r="P13" s="39">
        <f t="shared" si="5"/>
        <v>0.03</v>
      </c>
      <c r="Q13" s="25"/>
      <c r="R13" s="25"/>
      <c r="S13" s="25"/>
      <c r="T13" s="25"/>
      <c r="U13" s="25"/>
      <c r="V13" s="25"/>
      <c r="W13" s="25"/>
      <c r="X13" s="25"/>
      <c r="Y13" s="25"/>
      <c r="Z13" s="25"/>
      <c r="AA13" s="25"/>
      <c r="AB13" s="25"/>
      <c r="AC13" s="25"/>
      <c r="AD13" s="25"/>
      <c r="AE13" s="25"/>
      <c r="AF13" s="25"/>
      <c r="AG13" s="25"/>
      <c r="AH13" s="25"/>
      <c r="AI13" s="25"/>
      <c r="AJ13" s="25"/>
    </row>
    <row r="14" ht="12.75" customHeight="1">
      <c r="A14" s="22">
        <f t="shared" si="6"/>
        <v>12</v>
      </c>
      <c r="B14" s="26"/>
      <c r="C14" s="29">
        <f>IFERROR(__xludf.DUMMYFUNCTION("if(IFERROR(filter(targets_state!$H:$H,(targets_state!$B:$B=$A14)*(targets_state!$H:$H=""yes"")),0)=""yes"",1,0)"),0.0)</f>
        <v>0</v>
      </c>
      <c r="D14" s="29">
        <f t="shared" si="1"/>
        <v>0</v>
      </c>
      <c r="E14" s="48"/>
      <c r="F14" s="49">
        <f>IFERROR(__xludf.DUMMYFUNCTION("iferror(min(filter(targets_quant!$P:$P,(targets_quant!$B:$B=$A14))),0)"),0.0)</f>
        <v>0</v>
      </c>
      <c r="G14" s="26"/>
      <c r="H14" s="26"/>
      <c r="I14" s="29">
        <f t="shared" si="2"/>
        <v>0</v>
      </c>
      <c r="J14" s="29">
        <f t="shared" si="3"/>
        <v>0</v>
      </c>
      <c r="K14" s="48"/>
      <c r="L14" s="26"/>
      <c r="M14" s="29">
        <f>IFERROR(__xludf.DUMMYFUNCTION("IF(IFERROR(filter(targets_quant!$B:$B,(targets_quant!$N:$N=100%)*(targets_quant!$J:$J=$L$2)*(targets_quant!$B:$B=$A14)),0)=$A14,1,0)"),0.0)</f>
        <v>0</v>
      </c>
      <c r="N14" s="29">
        <f t="shared" si="4"/>
        <v>0</v>
      </c>
      <c r="O14" s="48"/>
      <c r="P14" s="39">
        <f t="shared" si="5"/>
        <v>0</v>
      </c>
      <c r="Q14" s="25"/>
      <c r="R14" s="25"/>
      <c r="S14" s="25"/>
      <c r="T14" s="25"/>
      <c r="U14" s="25"/>
      <c r="V14" s="25"/>
      <c r="W14" s="25"/>
      <c r="X14" s="25"/>
      <c r="Y14" s="25"/>
      <c r="Z14" s="25"/>
      <c r="AA14" s="25"/>
      <c r="AB14" s="25"/>
      <c r="AC14" s="25"/>
      <c r="AD14" s="25"/>
      <c r="AE14" s="25"/>
      <c r="AF14" s="25"/>
      <c r="AG14" s="25"/>
      <c r="AH14" s="25"/>
      <c r="AI14" s="25"/>
      <c r="AJ14" s="25"/>
    </row>
    <row r="15" ht="12.75" customHeight="1">
      <c r="A15" s="22">
        <f t="shared" si="6"/>
        <v>13</v>
      </c>
      <c r="B15" s="26"/>
      <c r="C15" s="29">
        <f>IFERROR(__xludf.DUMMYFUNCTION("if(IFERROR(filter(targets_state!$H:$H,(targets_state!$B:$B=$A15)*(targets_state!$H:$H=""yes"")),0)=""yes"",1,0)"),1.0)</f>
        <v>1</v>
      </c>
      <c r="D15" s="29">
        <f t="shared" si="1"/>
        <v>0.03</v>
      </c>
      <c r="E15" s="48"/>
      <c r="F15" s="49">
        <f>IFERROR(__xludf.DUMMYFUNCTION("iferror(min(filter(targets_quant!$P:$P,(targets_quant!$B:$B=$A15))),0)"),2027.0)</f>
        <v>2027</v>
      </c>
      <c r="G15" s="26"/>
      <c r="H15" s="26"/>
      <c r="I15" s="29">
        <f t="shared" si="2"/>
        <v>1</v>
      </c>
      <c r="J15" s="29">
        <f t="shared" si="3"/>
        <v>0.03</v>
      </c>
      <c r="K15" s="48"/>
      <c r="L15" s="26"/>
      <c r="M15" s="29">
        <f>IFERROR(__xludf.DUMMYFUNCTION("IF(IFERROR(filter(targets_quant!$B:$B,(targets_quant!$N:$N=100%)*(targets_quant!$J:$J=$L$2)*(targets_quant!$B:$B=$A15)),0)=$A15,1,0)"),0.0)</f>
        <v>0</v>
      </c>
      <c r="N15" s="29">
        <f t="shared" si="4"/>
        <v>0</v>
      </c>
      <c r="O15" s="48"/>
      <c r="P15" s="39">
        <f t="shared" si="5"/>
        <v>0.06</v>
      </c>
      <c r="Q15" s="25"/>
      <c r="R15" s="25"/>
      <c r="S15" s="25"/>
      <c r="T15" s="25"/>
      <c r="U15" s="25"/>
      <c r="V15" s="25"/>
      <c r="W15" s="25"/>
      <c r="X15" s="25"/>
      <c r="Y15" s="25"/>
      <c r="Z15" s="25"/>
      <c r="AA15" s="25"/>
      <c r="AB15" s="25"/>
      <c r="AC15" s="25"/>
      <c r="AD15" s="25"/>
      <c r="AE15" s="25"/>
      <c r="AF15" s="25"/>
      <c r="AG15" s="25"/>
      <c r="AH15" s="25"/>
      <c r="AI15" s="25"/>
      <c r="AJ15" s="25"/>
    </row>
    <row r="16" ht="12.75" customHeight="1">
      <c r="A16" s="22">
        <f t="shared" si="6"/>
        <v>14</v>
      </c>
      <c r="B16" s="26"/>
      <c r="C16" s="29">
        <f>IFERROR(__xludf.DUMMYFUNCTION("if(IFERROR(filter(targets_state!$H:$H,(targets_state!$B:$B=$A16)*(targets_state!$H:$H=""yes"")),0)=""yes"",1,0)"),1.0)</f>
        <v>1</v>
      </c>
      <c r="D16" s="29">
        <f t="shared" si="1"/>
        <v>0.03</v>
      </c>
      <c r="E16" s="48"/>
      <c r="F16" s="49">
        <f>IFERROR(__xludf.DUMMYFUNCTION("iferror(min(filter(targets_quant!$P:$P,(targets_quant!$B:$B=$A16))),0)"),2030.0)</f>
        <v>2030</v>
      </c>
      <c r="G16" s="26"/>
      <c r="H16" s="26"/>
      <c r="I16" s="29">
        <f t="shared" si="2"/>
        <v>1</v>
      </c>
      <c r="J16" s="29">
        <f t="shared" si="3"/>
        <v>0.03</v>
      </c>
      <c r="K16" s="48"/>
      <c r="L16" s="26"/>
      <c r="M16" s="29">
        <f>IFERROR(__xludf.DUMMYFUNCTION("IF(IFERROR(filter(targets_quant!$B:$B,(targets_quant!$N:$N=100%)*(targets_quant!$J:$J=$L$2)*(targets_quant!$B:$B=$A16)),0)=$A16,1,0)"),0.0)</f>
        <v>0</v>
      </c>
      <c r="N16" s="29">
        <f t="shared" si="4"/>
        <v>0</v>
      </c>
      <c r="O16" s="48"/>
      <c r="P16" s="39">
        <f t="shared" si="5"/>
        <v>0.06</v>
      </c>
      <c r="Q16" s="25"/>
      <c r="R16" s="25"/>
      <c r="S16" s="25"/>
      <c r="T16" s="25"/>
      <c r="U16" s="25"/>
      <c r="V16" s="25"/>
      <c r="W16" s="25"/>
      <c r="X16" s="25"/>
      <c r="Y16" s="25"/>
      <c r="Z16" s="25"/>
      <c r="AA16" s="25"/>
      <c r="AB16" s="25"/>
      <c r="AC16" s="25"/>
      <c r="AD16" s="25"/>
      <c r="AE16" s="25"/>
      <c r="AF16" s="25"/>
      <c r="AG16" s="25"/>
      <c r="AH16" s="25"/>
      <c r="AI16" s="25"/>
      <c r="AJ16" s="25"/>
    </row>
    <row r="17" ht="12.75" customHeight="1">
      <c r="A17" s="22">
        <f t="shared" si="6"/>
        <v>15</v>
      </c>
      <c r="B17" s="26"/>
      <c r="C17" s="29">
        <f>IFERROR(__xludf.DUMMYFUNCTION("if(IFERROR(filter(targets_state!$H:$H,(targets_state!$B:$B=$A17)*(targets_state!$H:$H=""yes"")),0)=""yes"",1,0)"),1.0)</f>
        <v>1</v>
      </c>
      <c r="D17" s="29">
        <f t="shared" si="1"/>
        <v>0.03</v>
      </c>
      <c r="E17" s="48"/>
      <c r="F17" s="49">
        <f>IFERROR(__xludf.DUMMYFUNCTION("iferror(min(filter(targets_quant!$P:$P,(targets_quant!$B:$B=$A17))),0)"),2030.0)</f>
        <v>2030</v>
      </c>
      <c r="G17" s="26"/>
      <c r="H17" s="26"/>
      <c r="I17" s="29">
        <f t="shared" si="2"/>
        <v>1</v>
      </c>
      <c r="J17" s="29">
        <f t="shared" si="3"/>
        <v>0.03</v>
      </c>
      <c r="K17" s="48"/>
      <c r="L17" s="26"/>
      <c r="M17" s="29">
        <f>IFERROR(__xludf.DUMMYFUNCTION("IF(IFERROR(filter(targets_quant!$B:$B,(targets_quant!$N:$N=100%)*(targets_quant!$J:$J=$L$2)*(targets_quant!$B:$B=$A17)),0)=$A17,1,0)"),0.0)</f>
        <v>0</v>
      </c>
      <c r="N17" s="29">
        <f t="shared" si="4"/>
        <v>0</v>
      </c>
      <c r="O17" s="48"/>
      <c r="P17" s="39">
        <f t="shared" si="5"/>
        <v>0.06</v>
      </c>
      <c r="Q17" s="25"/>
      <c r="R17" s="25"/>
      <c r="S17" s="25"/>
      <c r="T17" s="25"/>
      <c r="U17" s="25"/>
      <c r="V17" s="25"/>
      <c r="W17" s="25"/>
      <c r="X17" s="25"/>
      <c r="Y17" s="25"/>
      <c r="Z17" s="25"/>
      <c r="AA17" s="25"/>
      <c r="AB17" s="25"/>
      <c r="AC17" s="25"/>
      <c r="AD17" s="25"/>
      <c r="AE17" s="25"/>
      <c r="AF17" s="25"/>
      <c r="AG17" s="25"/>
      <c r="AH17" s="25"/>
      <c r="AI17" s="25"/>
      <c r="AJ17" s="25"/>
    </row>
    <row r="18" ht="12.75" customHeight="1">
      <c r="A18" s="22">
        <f t="shared" si="6"/>
        <v>16</v>
      </c>
      <c r="B18" s="26"/>
      <c r="C18" s="29">
        <f>IFERROR(__xludf.DUMMYFUNCTION("if(IFERROR(filter(targets_state!$H:$H,(targets_state!$B:$B=$A18)*(targets_state!$H:$H=""yes"")),0)=""yes"",1,0)"),1.0)</f>
        <v>1</v>
      </c>
      <c r="D18" s="29">
        <f t="shared" si="1"/>
        <v>0.03</v>
      </c>
      <c r="E18" s="48"/>
      <c r="F18" s="49">
        <f>IFERROR(__xludf.DUMMYFUNCTION("iferror(min(filter(targets_quant!$P:$P,(targets_quant!$B:$B=$A18))),0)"),2050.0)</f>
        <v>2050</v>
      </c>
      <c r="G18" s="26"/>
      <c r="H18" s="26"/>
      <c r="I18" s="29">
        <f t="shared" si="2"/>
        <v>0</v>
      </c>
      <c r="J18" s="29">
        <f t="shared" si="3"/>
        <v>0</v>
      </c>
      <c r="K18" s="48"/>
      <c r="L18" s="26"/>
      <c r="M18" s="29">
        <f>IFERROR(__xludf.DUMMYFUNCTION("IF(IFERROR(filter(targets_quant!$B:$B,(targets_quant!$N:$N=100%)*(targets_quant!$J:$J=$L$2)*(targets_quant!$B:$B=$A18)),0)=$A18,1,0)"),1.0)</f>
        <v>1</v>
      </c>
      <c r="N18" s="29">
        <f t="shared" si="4"/>
        <v>0.04</v>
      </c>
      <c r="O18" s="48"/>
      <c r="P18" s="39">
        <f t="shared" si="5"/>
        <v>0.07</v>
      </c>
      <c r="Q18" s="25"/>
      <c r="R18" s="25"/>
      <c r="S18" s="25"/>
      <c r="T18" s="25"/>
      <c r="U18" s="25"/>
      <c r="V18" s="25"/>
      <c r="W18" s="25"/>
      <c r="X18" s="25"/>
      <c r="Y18" s="25"/>
      <c r="Z18" s="25"/>
      <c r="AA18" s="25"/>
      <c r="AB18" s="25"/>
      <c r="AC18" s="25"/>
      <c r="AD18" s="25"/>
      <c r="AE18" s="25"/>
      <c r="AF18" s="25"/>
      <c r="AG18" s="25"/>
      <c r="AH18" s="25"/>
      <c r="AI18" s="25"/>
      <c r="AJ18" s="25"/>
    </row>
    <row r="19" ht="12.75" customHeight="1">
      <c r="A19" s="22">
        <f t="shared" si="6"/>
        <v>17</v>
      </c>
      <c r="B19" s="26"/>
      <c r="C19" s="29">
        <f>IFERROR(__xludf.DUMMYFUNCTION("if(IFERROR(filter(targets_state!$H:$H,(targets_state!$B:$B=$A19)*(targets_state!$H:$H=""yes"")),0)=""yes"",1,0)"),0.0)</f>
        <v>0</v>
      </c>
      <c r="D19" s="29">
        <f t="shared" si="1"/>
        <v>0</v>
      </c>
      <c r="E19" s="48"/>
      <c r="F19" s="49">
        <f>IFERROR(__xludf.DUMMYFUNCTION("iferror(min(filter(targets_quant!$P:$P,(targets_quant!$B:$B=$A19))),0)"),0.0)</f>
        <v>0</v>
      </c>
      <c r="G19" s="26"/>
      <c r="H19" s="26"/>
      <c r="I19" s="29">
        <f t="shared" si="2"/>
        <v>0</v>
      </c>
      <c r="J19" s="29">
        <f t="shared" si="3"/>
        <v>0</v>
      </c>
      <c r="K19" s="48"/>
      <c r="L19" s="26"/>
      <c r="M19" s="29">
        <f>IFERROR(__xludf.DUMMYFUNCTION("IF(IFERROR(filter(targets_quant!$B:$B,(targets_quant!$N:$N=100%)*(targets_quant!$J:$J=$L$2)*(targets_quant!$B:$B=$A19)),0)=$A19,1,0)"),0.0)</f>
        <v>0</v>
      </c>
      <c r="N19" s="29">
        <f t="shared" si="4"/>
        <v>0</v>
      </c>
      <c r="O19" s="48"/>
      <c r="P19" s="39">
        <f t="shared" si="5"/>
        <v>0</v>
      </c>
      <c r="Q19" s="25"/>
      <c r="R19" s="25"/>
      <c r="S19" s="25"/>
      <c r="T19" s="25"/>
      <c r="U19" s="25"/>
      <c r="V19" s="25"/>
      <c r="W19" s="25"/>
      <c r="X19" s="25"/>
      <c r="Y19" s="25"/>
      <c r="Z19" s="25"/>
      <c r="AA19" s="25"/>
      <c r="AB19" s="25"/>
      <c r="AC19" s="25"/>
      <c r="AD19" s="25"/>
      <c r="AE19" s="25"/>
      <c r="AF19" s="25"/>
      <c r="AG19" s="25"/>
      <c r="AH19" s="25"/>
      <c r="AI19" s="25"/>
      <c r="AJ19" s="25"/>
    </row>
    <row r="20" ht="12.75" customHeight="1">
      <c r="A20" s="22">
        <f t="shared" si="6"/>
        <v>18</v>
      </c>
      <c r="B20" s="26"/>
      <c r="C20" s="29">
        <f>IFERROR(__xludf.DUMMYFUNCTION("if(IFERROR(filter(targets_state!$H:$H,(targets_state!$B:$B=$A20)*(targets_state!$H:$H=""yes"")),0)=""yes"",1,0)"),1.0)</f>
        <v>1</v>
      </c>
      <c r="D20" s="29">
        <f t="shared" si="1"/>
        <v>0.03</v>
      </c>
      <c r="E20" s="48"/>
      <c r="F20" s="49">
        <f>IFERROR(__xludf.DUMMYFUNCTION("iferror(min(filter(targets_quant!$P:$P,(targets_quant!$B:$B=$A20))),0)"),2032.0)</f>
        <v>2032</v>
      </c>
      <c r="G20" s="26"/>
      <c r="H20" s="26"/>
      <c r="I20" s="29">
        <f t="shared" si="2"/>
        <v>0</v>
      </c>
      <c r="J20" s="29">
        <f t="shared" si="3"/>
        <v>0</v>
      </c>
      <c r="K20" s="48"/>
      <c r="L20" s="26"/>
      <c r="M20" s="29">
        <f>IFERROR(__xludf.DUMMYFUNCTION("IF(IFERROR(filter(targets_quant!$B:$B,(targets_quant!$N:$N=100%)*(targets_quant!$J:$J=$L$2)*(targets_quant!$B:$B=$A20)),0)=$A20,1,0)"),1.0)</f>
        <v>1</v>
      </c>
      <c r="N20" s="29">
        <f t="shared" si="4"/>
        <v>0.04</v>
      </c>
      <c r="O20" s="48"/>
      <c r="P20" s="39">
        <f t="shared" si="5"/>
        <v>0.07</v>
      </c>
      <c r="Q20" s="25"/>
      <c r="R20" s="25"/>
      <c r="S20" s="25"/>
      <c r="T20" s="25"/>
      <c r="U20" s="25"/>
      <c r="V20" s="25"/>
      <c r="W20" s="25"/>
      <c r="X20" s="25"/>
      <c r="Y20" s="25"/>
      <c r="Z20" s="25"/>
      <c r="AA20" s="25"/>
      <c r="AB20" s="25"/>
      <c r="AC20" s="25"/>
      <c r="AD20" s="25"/>
      <c r="AE20" s="25"/>
      <c r="AF20" s="25"/>
      <c r="AG20" s="25"/>
      <c r="AH20" s="25"/>
      <c r="AI20" s="25"/>
      <c r="AJ20" s="25"/>
    </row>
    <row r="21" ht="12.75" customHeight="1">
      <c r="A21" s="22">
        <f t="shared" si="6"/>
        <v>19</v>
      </c>
      <c r="B21" s="26"/>
      <c r="C21" s="29">
        <f>IFERROR(__xludf.DUMMYFUNCTION("if(IFERROR(filter(targets_state!$H:$H,(targets_state!$B:$B=$A21)*(targets_state!$H:$H=""yes"")),0)=""yes"",1,0)"),1.0)</f>
        <v>1</v>
      </c>
      <c r="D21" s="29">
        <f t="shared" si="1"/>
        <v>0.03</v>
      </c>
      <c r="E21" s="48"/>
      <c r="F21" s="49">
        <f>IFERROR(__xludf.DUMMYFUNCTION("iferror(min(filter(targets_quant!$P:$P,(targets_quant!$B:$B=$A21))),0)"),0.0)</f>
        <v>0</v>
      </c>
      <c r="G21" s="26"/>
      <c r="H21" s="26"/>
      <c r="I21" s="29">
        <f t="shared" si="2"/>
        <v>0</v>
      </c>
      <c r="J21" s="29">
        <f t="shared" si="3"/>
        <v>0</v>
      </c>
      <c r="K21" s="48"/>
      <c r="L21" s="26"/>
      <c r="M21" s="29">
        <f>IFERROR(__xludf.DUMMYFUNCTION("IF(IFERROR(filter(targets_quant!$B:$B,(targets_quant!$N:$N=100%)*(targets_quant!$J:$J=$L$2)*(targets_quant!$B:$B=$A21)),0)=$A21,1,0)"),0.0)</f>
        <v>0</v>
      </c>
      <c r="N21" s="29">
        <f t="shared" si="4"/>
        <v>0</v>
      </c>
      <c r="O21" s="48"/>
      <c r="P21" s="39">
        <f t="shared" si="5"/>
        <v>0.03</v>
      </c>
      <c r="Q21" s="25"/>
      <c r="R21" s="25"/>
      <c r="S21" s="25"/>
      <c r="T21" s="25"/>
      <c r="U21" s="25"/>
      <c r="V21" s="25"/>
      <c r="W21" s="25"/>
      <c r="X21" s="25"/>
      <c r="Y21" s="25"/>
      <c r="Z21" s="25"/>
      <c r="AA21" s="25"/>
      <c r="AB21" s="25"/>
      <c r="AC21" s="25"/>
      <c r="AD21" s="25"/>
      <c r="AE21" s="25"/>
      <c r="AF21" s="25"/>
      <c r="AG21" s="25"/>
      <c r="AH21" s="25"/>
      <c r="AI21" s="25"/>
      <c r="AJ21" s="25"/>
    </row>
    <row r="22" ht="12.75" customHeight="1">
      <c r="A22" s="30">
        <v>66.0</v>
      </c>
      <c r="B22" s="26"/>
      <c r="C22" s="29">
        <f>IFERROR(__xludf.DUMMYFUNCTION("if(IFERROR(filter(targets_state!$H:$H,(targets_state!$B:$B=$A22)*(targets_state!$H:$H=""yes"")),0)=""yes"",1,0)"),1.0)</f>
        <v>1</v>
      </c>
      <c r="D22" s="29">
        <f t="shared" si="1"/>
        <v>0.03</v>
      </c>
      <c r="E22" s="48"/>
      <c r="F22" s="49">
        <f>IFERROR(__xludf.DUMMYFUNCTION("iferror(min(filter(targets_quant!$P:$P,(targets_quant!$B:$B=$A22))),0)"),2030.0)</f>
        <v>2030</v>
      </c>
      <c r="G22" s="26"/>
      <c r="H22" s="26"/>
      <c r="I22" s="29">
        <f t="shared" si="2"/>
        <v>1</v>
      </c>
      <c r="J22" s="29">
        <f t="shared" si="3"/>
        <v>0.03</v>
      </c>
      <c r="K22" s="48"/>
      <c r="L22" s="26"/>
      <c r="M22" s="29">
        <f>IFERROR(__xludf.DUMMYFUNCTION("IF(IFERROR(filter(targets_quant!$B:$B,(targets_quant!$N:$N=100%)*(targets_quant!$J:$J=$L$2)*(targets_quant!$B:$B=$A22)),0)=$A22,1,0)"),1.0)</f>
        <v>1</v>
      </c>
      <c r="N22" s="29">
        <f t="shared" si="4"/>
        <v>0.04</v>
      </c>
      <c r="O22" s="48"/>
      <c r="P22" s="39">
        <f t="shared" si="5"/>
        <v>0.1</v>
      </c>
      <c r="Q22" s="25"/>
      <c r="R22" s="25"/>
      <c r="S22" s="25"/>
      <c r="T22" s="25"/>
      <c r="U22" s="25"/>
      <c r="V22" s="25"/>
      <c r="W22" s="25"/>
      <c r="X22" s="25"/>
      <c r="Y22" s="25"/>
      <c r="Z22" s="25"/>
      <c r="AA22" s="25"/>
      <c r="AB22" s="25"/>
      <c r="AC22" s="25"/>
      <c r="AD22" s="25"/>
      <c r="AE22" s="25"/>
      <c r="AF22" s="25"/>
      <c r="AG22" s="25"/>
      <c r="AH22" s="25"/>
      <c r="AI22" s="25"/>
      <c r="AJ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6" t="s">
        <v>2</v>
      </c>
      <c r="B1" s="18"/>
      <c r="C1" s="18" t="s">
        <v>557</v>
      </c>
      <c r="D1" s="18" t="s">
        <v>594</v>
      </c>
      <c r="E1" s="18" t="s">
        <v>595</v>
      </c>
      <c r="F1" s="18" t="s">
        <v>558</v>
      </c>
      <c r="G1" s="18" t="s">
        <v>587</v>
      </c>
      <c r="H1" s="18" t="s">
        <v>588</v>
      </c>
      <c r="I1" s="19" t="s">
        <v>586</v>
      </c>
      <c r="J1" s="19" t="s">
        <v>589</v>
      </c>
      <c r="K1" s="20" t="s">
        <v>548</v>
      </c>
      <c r="L1" s="45"/>
      <c r="M1" s="18" t="s">
        <v>557</v>
      </c>
      <c r="N1" s="18" t="s">
        <v>594</v>
      </c>
      <c r="O1" s="18" t="s">
        <v>595</v>
      </c>
      <c r="P1" s="18" t="s">
        <v>557</v>
      </c>
      <c r="Q1" s="18" t="s">
        <v>587</v>
      </c>
      <c r="R1" s="18" t="s">
        <v>588</v>
      </c>
      <c r="S1" s="19" t="s">
        <v>586</v>
      </c>
      <c r="T1" s="19" t="s">
        <v>589</v>
      </c>
      <c r="U1" s="20" t="s">
        <v>548</v>
      </c>
      <c r="V1" s="45"/>
      <c r="W1" s="18" t="s">
        <v>596</v>
      </c>
    </row>
    <row r="2">
      <c r="A2" s="22"/>
      <c r="B2" s="23"/>
      <c r="C2" s="23" t="s">
        <v>597</v>
      </c>
      <c r="D2" s="23" t="s">
        <v>598</v>
      </c>
      <c r="E2" s="50">
        <v>1.0</v>
      </c>
      <c r="F2" s="47"/>
      <c r="G2" s="23">
        <v>2020.0</v>
      </c>
      <c r="H2" s="23">
        <v>2050.0</v>
      </c>
      <c r="I2" s="18"/>
      <c r="J2" s="24"/>
      <c r="K2" s="24">
        <v>0.05</v>
      </c>
      <c r="L2" s="46"/>
      <c r="M2" s="23" t="s">
        <v>597</v>
      </c>
      <c r="N2" s="23" t="s">
        <v>593</v>
      </c>
      <c r="O2" s="50">
        <v>1.0</v>
      </c>
      <c r="P2" s="47"/>
      <c r="Q2" s="23">
        <v>2020.0</v>
      </c>
      <c r="R2" s="23">
        <v>2050.0</v>
      </c>
      <c r="S2" s="18"/>
      <c r="T2" s="24"/>
      <c r="U2" s="24">
        <v>0.05</v>
      </c>
      <c r="V2" s="46"/>
      <c r="W2" s="18"/>
      <c r="X2" s="25"/>
      <c r="Y2" s="25"/>
      <c r="Z2" s="25"/>
      <c r="AA2" s="25"/>
      <c r="AB2" s="25"/>
      <c r="AC2" s="25"/>
      <c r="AD2" s="25"/>
      <c r="AE2" s="25"/>
      <c r="AF2" s="25"/>
      <c r="AG2" s="25"/>
      <c r="AH2" s="25"/>
      <c r="AI2" s="25"/>
      <c r="AJ2" s="25"/>
      <c r="AK2" s="25"/>
      <c r="AL2" s="25"/>
    </row>
    <row r="3" ht="12.75" customHeight="1">
      <c r="A3" s="22">
        <v>1.0</v>
      </c>
      <c r="B3" s="26"/>
      <c r="C3" s="49">
        <f>IFERROR(__xludf.DUMMYFUNCTION("IF(IFERROR(filter(targets_quant!$N:$N,(targets_quant!$B:$B=$A3)*(targets_quant!$J:$J=D$2)*(targets_quant!$N:$N=""zero_policy"")),"""")=""zero_policy"",1,0)"),0.0)</f>
        <v>0</v>
      </c>
      <c r="D3" s="26"/>
      <c r="E3" s="26"/>
      <c r="F3" s="49">
        <f>IFERROR(__xludf.DUMMYFUNCTION("iferror(min(filter(targets_quant!$P:$P,(targets_quant!$J:$J=$D$2)*(targets_quant!$B:$B=$A3)*(targets_quant!$N:$N=$E$2))),0)"),2050.0)</f>
        <v>2050</v>
      </c>
      <c r="G3" s="26"/>
      <c r="H3" s="26"/>
      <c r="I3" s="29">
        <f t="shared" ref="I3:I22" si="1">IF(AND($F3&lt;=$H$2,$F3&gt;=$G$2),1,0)</f>
        <v>1</v>
      </c>
      <c r="J3" s="29">
        <f t="shared" ref="J3:J22" si="2">I3*($H$2-$F3)/($H$2-$G$2)+C3</f>
        <v>0</v>
      </c>
      <c r="K3" s="29">
        <f t="shared" ref="K3:K22" si="3">J3*K$2</f>
        <v>0</v>
      </c>
      <c r="L3" s="48"/>
      <c r="M3" s="49">
        <f>IFERROR(__xludf.DUMMYFUNCTION("IF(IFERROR(filter(targets_quant!$N:$N,(targets_quant!$B:$B=$A3)*(targets_quant!$J:$J=N$2)*(targets_quant!$N:$N=""zero_policy"")),"""")=""zero_policy"",1,0)"),0.0)</f>
        <v>0</v>
      </c>
      <c r="N3" s="26"/>
      <c r="O3" s="26"/>
      <c r="P3" s="49">
        <f>IFERROR(__xludf.DUMMYFUNCTION("IFERROR(min(filter(targets_quant!$P:$P,(targets_quant!$J:$J=$N$2)*(targets_quant!$B:$B=$A3)*(targets_quant!$N:$N=$O$2))),0)"),0.0)</f>
        <v>0</v>
      </c>
      <c r="Q3" s="26"/>
      <c r="R3" s="26"/>
      <c r="S3" s="29">
        <f t="shared" ref="S3:S22" si="4">IF(AND($P3&lt;=$R$2,$P3&gt;=$Q$2),1,0)</f>
        <v>0</v>
      </c>
      <c r="T3" s="29">
        <f t="shared" ref="T3:T22" si="5">S3*($R$2-$P3)/($R$2-$Q$2)+M3</f>
        <v>0</v>
      </c>
      <c r="U3" s="29">
        <f t="shared" ref="U3:U22" si="6">T3*U$2</f>
        <v>0</v>
      </c>
      <c r="V3" s="48"/>
      <c r="W3" s="39">
        <f t="shared" ref="W3:W22" si="7">U3+K3</f>
        <v>0</v>
      </c>
      <c r="X3" s="25"/>
      <c r="Y3" s="25"/>
      <c r="Z3" s="25"/>
      <c r="AA3" s="25"/>
      <c r="AB3" s="25"/>
      <c r="AC3" s="25"/>
      <c r="AD3" s="25"/>
      <c r="AE3" s="25"/>
      <c r="AF3" s="25"/>
      <c r="AG3" s="25"/>
      <c r="AH3" s="25"/>
      <c r="AI3" s="25"/>
      <c r="AJ3" s="25"/>
      <c r="AK3" s="25"/>
      <c r="AL3" s="25"/>
    </row>
    <row r="4" ht="12.75" customHeight="1">
      <c r="A4" s="22">
        <f t="shared" ref="A4:A21" si="8">A3+1</f>
        <v>2</v>
      </c>
      <c r="B4" s="26"/>
      <c r="C4" s="49">
        <f>IFERROR(__xludf.DUMMYFUNCTION("IF(IFERROR(filter(targets_quant!$N:$N,(targets_quant!$B:$B=$A4)*(targets_quant!$J:$J=D$2)*(targets_quant!$N:$N=""zero_policy"")),"""")=""zero_policy"",1,0)"),0.0)</f>
        <v>0</v>
      </c>
      <c r="D4" s="26"/>
      <c r="E4" s="26"/>
      <c r="F4" s="49">
        <f>IFERROR(__xludf.DUMMYFUNCTION("iferror(min(filter(targets_quant!$P:$P,(targets_quant!$J:$J=$D$2)*(targets_quant!$B:$B=$A4)*(targets_quant!$N:$N=$E$2))),0)"),0.0)</f>
        <v>0</v>
      </c>
      <c r="G4" s="26"/>
      <c r="H4" s="26"/>
      <c r="I4" s="29">
        <f t="shared" si="1"/>
        <v>0</v>
      </c>
      <c r="J4" s="29">
        <f t="shared" si="2"/>
        <v>0</v>
      </c>
      <c r="K4" s="29">
        <f t="shared" si="3"/>
        <v>0</v>
      </c>
      <c r="L4" s="48"/>
      <c r="M4" s="49">
        <f>IFERROR(__xludf.DUMMYFUNCTION("IF(IFERROR(filter(targets_quant!$N:$N,(targets_quant!$B:$B=$A4)*(targets_quant!$J:$J=N$2)*(targets_quant!$N:$N=""zero_policy"")),"""")=""zero_policy"",1,0)"),0.0)</f>
        <v>0</v>
      </c>
      <c r="N4" s="26"/>
      <c r="O4" s="26"/>
      <c r="P4" s="49">
        <f>IFERROR(__xludf.DUMMYFUNCTION("IFERROR(min(filter(targets_quant!$P:$P,(targets_quant!$J:$J=$N$2)*(targets_quant!$B:$B=$A4)*(targets_quant!$N:$N=$O$2))),0)"),0.0)</f>
        <v>0</v>
      </c>
      <c r="Q4" s="26"/>
      <c r="R4" s="26"/>
      <c r="S4" s="29">
        <f t="shared" si="4"/>
        <v>0</v>
      </c>
      <c r="T4" s="29">
        <f t="shared" si="5"/>
        <v>0</v>
      </c>
      <c r="U4" s="29">
        <f t="shared" si="6"/>
        <v>0</v>
      </c>
      <c r="V4" s="48"/>
      <c r="W4" s="39">
        <f t="shared" si="7"/>
        <v>0</v>
      </c>
      <c r="X4" s="25"/>
      <c r="Y4" s="25"/>
      <c r="Z4" s="25"/>
      <c r="AA4" s="25"/>
      <c r="AB4" s="25"/>
      <c r="AC4" s="25"/>
      <c r="AD4" s="25"/>
      <c r="AE4" s="25"/>
      <c r="AF4" s="25"/>
      <c r="AG4" s="25"/>
      <c r="AH4" s="25"/>
      <c r="AI4" s="25"/>
      <c r="AJ4" s="25"/>
      <c r="AK4" s="25"/>
      <c r="AL4" s="25"/>
    </row>
    <row r="5" ht="12.75" customHeight="1">
      <c r="A5" s="22">
        <f t="shared" si="8"/>
        <v>3</v>
      </c>
      <c r="B5" s="26"/>
      <c r="C5" s="49">
        <f>IFERROR(__xludf.DUMMYFUNCTION("IF(IFERROR(filter(targets_quant!$N:$N,(targets_quant!$B:$B=$A5)*(targets_quant!$J:$J=D$2)*(targets_quant!$N:$N=""zero_policy"")),"""")=""zero_policy"",1,0)"),0.0)</f>
        <v>0</v>
      </c>
      <c r="D5" s="26"/>
      <c r="E5" s="26"/>
      <c r="F5" s="49">
        <f>IFERROR(__xludf.DUMMYFUNCTION("iferror(min(filter(targets_quant!$P:$P,(targets_quant!$J:$J=$D$2)*(targets_quant!$B:$B=$A5)*(targets_quant!$N:$N=$E$2))),0)"),0.0)</f>
        <v>0</v>
      </c>
      <c r="G5" s="26"/>
      <c r="H5" s="26"/>
      <c r="I5" s="29">
        <f t="shared" si="1"/>
        <v>0</v>
      </c>
      <c r="J5" s="29">
        <f t="shared" si="2"/>
        <v>0</v>
      </c>
      <c r="K5" s="29">
        <f t="shared" si="3"/>
        <v>0</v>
      </c>
      <c r="L5" s="48"/>
      <c r="M5" s="49">
        <f>IFERROR(__xludf.DUMMYFUNCTION("IF(IFERROR(filter(targets_quant!$N:$N,(targets_quant!$B:$B=$A5)*(targets_quant!$J:$J=N$2)*(targets_quant!$N:$N=""zero_policy"")),"""")=""zero_policy"",1,0)"),0.0)</f>
        <v>0</v>
      </c>
      <c r="N5" s="26"/>
      <c r="O5" s="26"/>
      <c r="P5" s="49">
        <f>IFERROR(__xludf.DUMMYFUNCTION("IFERROR(min(filter(targets_quant!$P:$P,(targets_quant!$J:$J=$N$2)*(targets_quant!$B:$B=$A5)*(targets_quant!$N:$N=$O$2))),0)"),0.0)</f>
        <v>0</v>
      </c>
      <c r="Q5" s="26"/>
      <c r="R5" s="26"/>
      <c r="S5" s="29">
        <f t="shared" si="4"/>
        <v>0</v>
      </c>
      <c r="T5" s="29">
        <f t="shared" si="5"/>
        <v>0</v>
      </c>
      <c r="U5" s="29">
        <f t="shared" si="6"/>
        <v>0</v>
      </c>
      <c r="V5" s="48"/>
      <c r="W5" s="39">
        <f t="shared" si="7"/>
        <v>0</v>
      </c>
      <c r="X5" s="25"/>
      <c r="Y5" s="25"/>
      <c r="Z5" s="25"/>
      <c r="AA5" s="25"/>
      <c r="AB5" s="25"/>
      <c r="AC5" s="25"/>
      <c r="AD5" s="25"/>
      <c r="AE5" s="25"/>
      <c r="AF5" s="25"/>
      <c r="AG5" s="25"/>
      <c r="AH5" s="25"/>
      <c r="AI5" s="25"/>
      <c r="AJ5" s="25"/>
      <c r="AK5" s="25"/>
      <c r="AL5" s="25"/>
    </row>
    <row r="6" ht="12.75" customHeight="1">
      <c r="A6" s="22">
        <f t="shared" si="8"/>
        <v>4</v>
      </c>
      <c r="B6" s="26"/>
      <c r="C6" s="49">
        <f>IFERROR(__xludf.DUMMYFUNCTION("IF(IFERROR(filter(targets_quant!$N:$N,(targets_quant!$B:$B=$A6)*(targets_quant!$J:$J=D$2)*(targets_quant!$N:$N=""zero_policy"")),"""")=""zero_policy"",1,0)"),0.0)</f>
        <v>0</v>
      </c>
      <c r="D6" s="26"/>
      <c r="E6" s="26"/>
      <c r="F6" s="49">
        <f>IFERROR(__xludf.DUMMYFUNCTION("iferror(min(filter(targets_quant!$P:$P,(targets_quant!$J:$J=$D$2)*(targets_quant!$B:$B=$A6)*(targets_quant!$N:$N=$E$2))),0)"),2025.0)</f>
        <v>2025</v>
      </c>
      <c r="G6" s="26"/>
      <c r="H6" s="26"/>
      <c r="I6" s="29">
        <f t="shared" si="1"/>
        <v>1</v>
      </c>
      <c r="J6" s="29">
        <f t="shared" si="2"/>
        <v>0.8333333333</v>
      </c>
      <c r="K6" s="29">
        <f t="shared" si="3"/>
        <v>0.04166666667</v>
      </c>
      <c r="L6" s="48"/>
      <c r="M6" s="49">
        <f>IFERROR(__xludf.DUMMYFUNCTION("IF(IFERROR(filter(targets_quant!$N:$N,(targets_quant!$B:$B=$A6)*(targets_quant!$J:$J=N$2)*(targets_quant!$N:$N=""zero_policy"")),"""")=""zero_policy"",1,0)"),0.0)</f>
        <v>0</v>
      </c>
      <c r="N6" s="26"/>
      <c r="O6" s="26"/>
      <c r="P6" s="49">
        <f>IFERROR(__xludf.DUMMYFUNCTION("IFERROR(min(filter(targets_quant!$P:$P,(targets_quant!$J:$J=$N$2)*(targets_quant!$B:$B=$A6)*(targets_quant!$N:$N=$O$2))),0)"),0.0)</f>
        <v>0</v>
      </c>
      <c r="Q6" s="26"/>
      <c r="R6" s="26"/>
      <c r="S6" s="29">
        <f t="shared" si="4"/>
        <v>0</v>
      </c>
      <c r="T6" s="29">
        <f t="shared" si="5"/>
        <v>0</v>
      </c>
      <c r="U6" s="29">
        <f t="shared" si="6"/>
        <v>0</v>
      </c>
      <c r="V6" s="48"/>
      <c r="W6" s="39">
        <f t="shared" si="7"/>
        <v>0.04166666667</v>
      </c>
      <c r="X6" s="25"/>
      <c r="Y6" s="25"/>
      <c r="Z6" s="25"/>
      <c r="AA6" s="25"/>
      <c r="AB6" s="25"/>
      <c r="AC6" s="25"/>
      <c r="AD6" s="25"/>
      <c r="AE6" s="25"/>
      <c r="AF6" s="25"/>
      <c r="AG6" s="25"/>
      <c r="AH6" s="25"/>
      <c r="AI6" s="25"/>
      <c r="AJ6" s="25"/>
      <c r="AK6" s="25"/>
      <c r="AL6" s="25"/>
    </row>
    <row r="7" ht="12.75" customHeight="1">
      <c r="A7" s="22">
        <f t="shared" si="8"/>
        <v>5</v>
      </c>
      <c r="B7" s="26"/>
      <c r="C7" s="49">
        <f>IFERROR(__xludf.DUMMYFUNCTION("IF(IFERROR(filter(targets_quant!$N:$N,(targets_quant!$B:$B=$A7)*(targets_quant!$J:$J=D$2)*(targets_quant!$N:$N=""zero_policy"")),"""")=""zero_policy"",1,0)"),0.0)</f>
        <v>0</v>
      </c>
      <c r="D7" s="26"/>
      <c r="E7" s="26"/>
      <c r="F7" s="49">
        <f>IFERROR(__xludf.DUMMYFUNCTION("iferror(min(filter(targets_quant!$P:$P,(targets_quant!$J:$J=$D$2)*(targets_quant!$B:$B=$A7)*(targets_quant!$N:$N=$E$2))),0)"),2050.0)</f>
        <v>2050</v>
      </c>
      <c r="G7" s="26"/>
      <c r="H7" s="26"/>
      <c r="I7" s="29">
        <f t="shared" si="1"/>
        <v>1</v>
      </c>
      <c r="J7" s="29">
        <f t="shared" si="2"/>
        <v>0</v>
      </c>
      <c r="K7" s="29">
        <f t="shared" si="3"/>
        <v>0</v>
      </c>
      <c r="L7" s="48"/>
      <c r="M7" s="49">
        <f>IFERROR(__xludf.DUMMYFUNCTION("IF(IFERROR(filter(targets_quant!$N:$N,(targets_quant!$B:$B=$A7)*(targets_quant!$J:$J=N$2)*(targets_quant!$N:$N=""zero_policy"")),"""")=""zero_policy"",1,0)"),0.0)</f>
        <v>0</v>
      </c>
      <c r="N7" s="26"/>
      <c r="O7" s="26"/>
      <c r="P7" s="49">
        <f>IFERROR(__xludf.DUMMYFUNCTION("IFERROR(min(filter(targets_quant!$P:$P,(targets_quant!$J:$J=$N$2)*(targets_quant!$B:$B=$A7)*(targets_quant!$N:$N=$O$2))),0)"),0.0)</f>
        <v>0</v>
      </c>
      <c r="Q7" s="26"/>
      <c r="R7" s="26"/>
      <c r="S7" s="29">
        <f t="shared" si="4"/>
        <v>0</v>
      </c>
      <c r="T7" s="29">
        <f t="shared" si="5"/>
        <v>0</v>
      </c>
      <c r="U7" s="29">
        <f t="shared" si="6"/>
        <v>0</v>
      </c>
      <c r="V7" s="48"/>
      <c r="W7" s="39">
        <f t="shared" si="7"/>
        <v>0</v>
      </c>
      <c r="X7" s="25"/>
      <c r="Y7" s="25"/>
      <c r="Z7" s="25"/>
      <c r="AA7" s="25"/>
      <c r="AB7" s="25"/>
      <c r="AC7" s="25"/>
      <c r="AD7" s="25"/>
      <c r="AE7" s="25"/>
      <c r="AF7" s="25"/>
      <c r="AG7" s="25"/>
      <c r="AH7" s="25"/>
      <c r="AI7" s="25"/>
      <c r="AJ7" s="25"/>
      <c r="AK7" s="25"/>
      <c r="AL7" s="25"/>
    </row>
    <row r="8" ht="12.75" customHeight="1">
      <c r="A8" s="22">
        <f t="shared" si="8"/>
        <v>6</v>
      </c>
      <c r="B8" s="26"/>
      <c r="C8" s="49">
        <f>IFERROR(__xludf.DUMMYFUNCTION("IF(IFERROR(filter(targets_quant!$N:$N,(targets_quant!$B:$B=$A8)*(targets_quant!$J:$J=D$2)*(targets_quant!$N:$N=""zero_policy"")),"""")=""zero_policy"",1,0)"),0.0)</f>
        <v>0</v>
      </c>
      <c r="D8" s="26"/>
      <c r="E8" s="26"/>
      <c r="F8" s="49">
        <f>IFERROR(__xludf.DUMMYFUNCTION("iferror(min(filter(targets_quant!$P:$P,(targets_quant!$J:$J=$D$2)*(targets_quant!$B:$B=$A8)*(targets_quant!$N:$N=$E$2))),0)"),0.0)</f>
        <v>0</v>
      </c>
      <c r="G8" s="26"/>
      <c r="H8" s="26"/>
      <c r="I8" s="29">
        <f t="shared" si="1"/>
        <v>0</v>
      </c>
      <c r="J8" s="29">
        <f t="shared" si="2"/>
        <v>0</v>
      </c>
      <c r="K8" s="29">
        <f t="shared" si="3"/>
        <v>0</v>
      </c>
      <c r="L8" s="48"/>
      <c r="M8" s="49">
        <f>IFERROR(__xludf.DUMMYFUNCTION("IF(IFERROR(filter(targets_quant!$N:$N,(targets_quant!$B:$B=$A8)*(targets_quant!$J:$J=N$2)*(targets_quant!$N:$N=""zero_policy"")),"""")=""zero_policy"",1,0)"),0.0)</f>
        <v>0</v>
      </c>
      <c r="N8" s="26"/>
      <c r="O8" s="26"/>
      <c r="P8" s="49">
        <f>IFERROR(__xludf.DUMMYFUNCTION("IFERROR(min(filter(targets_quant!$P:$P,(targets_quant!$J:$J=$N$2)*(targets_quant!$B:$B=$A8)*(targets_quant!$N:$N=$O$2))),0)"),0.0)</f>
        <v>0</v>
      </c>
      <c r="Q8" s="26"/>
      <c r="R8" s="26"/>
      <c r="S8" s="29">
        <f t="shared" si="4"/>
        <v>0</v>
      </c>
      <c r="T8" s="29">
        <f t="shared" si="5"/>
        <v>0</v>
      </c>
      <c r="U8" s="29">
        <f t="shared" si="6"/>
        <v>0</v>
      </c>
      <c r="V8" s="48"/>
      <c r="W8" s="39">
        <f t="shared" si="7"/>
        <v>0</v>
      </c>
      <c r="X8" s="25"/>
      <c r="Y8" s="25"/>
      <c r="Z8" s="25"/>
      <c r="AA8" s="25"/>
      <c r="AB8" s="25"/>
      <c r="AC8" s="25"/>
      <c r="AD8" s="25"/>
      <c r="AE8" s="25"/>
      <c r="AF8" s="25"/>
      <c r="AG8" s="25"/>
      <c r="AH8" s="25"/>
      <c r="AI8" s="25"/>
      <c r="AJ8" s="25"/>
      <c r="AK8" s="25"/>
      <c r="AL8" s="25"/>
    </row>
    <row r="9" ht="12.75" customHeight="1">
      <c r="A9" s="22">
        <f t="shared" si="8"/>
        <v>7</v>
      </c>
      <c r="B9" s="26"/>
      <c r="C9" s="49">
        <f>IFERROR(__xludf.DUMMYFUNCTION("IF(IFERROR(filter(targets_quant!$N:$N,(targets_quant!$B:$B=$A9)*(targets_quant!$J:$J=D$2)*(targets_quant!$N:$N=""zero_policy"")),"""")=""zero_policy"",1,0)"),1.0)</f>
        <v>1</v>
      </c>
      <c r="D9" s="26"/>
      <c r="E9" s="26"/>
      <c r="F9" s="49">
        <f>IFERROR(__xludf.DUMMYFUNCTION("iferror(min(filter(targets_quant!$P:$P,(targets_quant!$J:$J=$D$2)*(targets_quant!$B:$B=$A9)*(targets_quant!$N:$N=$E$2))),0)"),0.0)</f>
        <v>0</v>
      </c>
      <c r="G9" s="26"/>
      <c r="H9" s="26"/>
      <c r="I9" s="29">
        <f t="shared" si="1"/>
        <v>0</v>
      </c>
      <c r="J9" s="29">
        <f t="shared" si="2"/>
        <v>1</v>
      </c>
      <c r="K9" s="29">
        <f t="shared" si="3"/>
        <v>0.05</v>
      </c>
      <c r="L9" s="48"/>
      <c r="M9" s="49">
        <f>IFERROR(__xludf.DUMMYFUNCTION("IF(IFERROR(filter(targets_quant!$N:$N,(targets_quant!$B:$B=$A9)*(targets_quant!$J:$J=N$2)*(targets_quant!$N:$N=""zero_policy"")),"""")=""zero_policy"",1,0)"),0.0)</f>
        <v>0</v>
      </c>
      <c r="N9" s="26"/>
      <c r="O9" s="26"/>
      <c r="P9" s="49">
        <f>IFERROR(__xludf.DUMMYFUNCTION("IFERROR(min(filter(targets_quant!$P:$P,(targets_quant!$J:$J=$N$2)*(targets_quant!$B:$B=$A9)*(targets_quant!$N:$N=$O$2))),0)"),0.0)</f>
        <v>0</v>
      </c>
      <c r="Q9" s="26"/>
      <c r="R9" s="26"/>
      <c r="S9" s="29">
        <f t="shared" si="4"/>
        <v>0</v>
      </c>
      <c r="T9" s="29">
        <f t="shared" si="5"/>
        <v>0</v>
      </c>
      <c r="U9" s="29">
        <f t="shared" si="6"/>
        <v>0</v>
      </c>
      <c r="V9" s="48"/>
      <c r="W9" s="39">
        <f t="shared" si="7"/>
        <v>0.05</v>
      </c>
      <c r="X9" s="25"/>
      <c r="Y9" s="25"/>
      <c r="Z9" s="25"/>
      <c r="AA9" s="25"/>
      <c r="AB9" s="25"/>
      <c r="AC9" s="25"/>
      <c r="AD9" s="25"/>
      <c r="AE9" s="25"/>
      <c r="AF9" s="25"/>
      <c r="AG9" s="25"/>
      <c r="AH9" s="25"/>
      <c r="AI9" s="25"/>
      <c r="AJ9" s="25"/>
      <c r="AK9" s="25"/>
      <c r="AL9" s="25"/>
    </row>
    <row r="10" ht="12.75" customHeight="1">
      <c r="A10" s="22">
        <f t="shared" si="8"/>
        <v>8</v>
      </c>
      <c r="B10" s="26"/>
      <c r="C10" s="49">
        <f>IFERROR(__xludf.DUMMYFUNCTION("IF(IFERROR(filter(targets_quant!$N:$N,(targets_quant!$B:$B=$A10)*(targets_quant!$J:$J=D$2)*(targets_quant!$N:$N=""zero_policy"")),"""")=""zero_policy"",1,0)"),0.0)</f>
        <v>0</v>
      </c>
      <c r="D10" s="26"/>
      <c r="E10" s="26"/>
      <c r="F10" s="49">
        <f>IFERROR(__xludf.DUMMYFUNCTION("iferror(min(filter(targets_quant!$P:$P,(targets_quant!$J:$J=$D$2)*(targets_quant!$B:$B=$A10)*(targets_quant!$N:$N=$E$2))),0)"),0.0)</f>
        <v>0</v>
      </c>
      <c r="G10" s="26"/>
      <c r="H10" s="26"/>
      <c r="I10" s="29">
        <f t="shared" si="1"/>
        <v>0</v>
      </c>
      <c r="J10" s="29">
        <f t="shared" si="2"/>
        <v>0</v>
      </c>
      <c r="K10" s="29">
        <f t="shared" si="3"/>
        <v>0</v>
      </c>
      <c r="L10" s="48"/>
      <c r="M10" s="49">
        <f>IFERROR(__xludf.DUMMYFUNCTION("IF(IFERROR(filter(targets_quant!$N:$N,(targets_quant!$B:$B=$A10)*(targets_quant!$J:$J=N$2)*(targets_quant!$N:$N=""zero_policy"")),"""")=""zero_policy"",1,0)"),0.0)</f>
        <v>0</v>
      </c>
      <c r="N10" s="26"/>
      <c r="O10" s="26"/>
      <c r="P10" s="49">
        <f>IFERROR(__xludf.DUMMYFUNCTION("IFERROR(min(filter(targets_quant!$P:$P,(targets_quant!$J:$J=$N$2)*(targets_quant!$B:$B=$A10)*(targets_quant!$N:$N=$O$2))),0)"),0.0)</f>
        <v>0</v>
      </c>
      <c r="Q10" s="26"/>
      <c r="R10" s="26"/>
      <c r="S10" s="29">
        <f t="shared" si="4"/>
        <v>0</v>
      </c>
      <c r="T10" s="29">
        <f t="shared" si="5"/>
        <v>0</v>
      </c>
      <c r="U10" s="29">
        <f t="shared" si="6"/>
        <v>0</v>
      </c>
      <c r="V10" s="48"/>
      <c r="W10" s="39">
        <f t="shared" si="7"/>
        <v>0</v>
      </c>
      <c r="X10" s="25"/>
      <c r="Y10" s="25"/>
      <c r="Z10" s="25"/>
      <c r="AA10" s="25"/>
      <c r="AB10" s="25"/>
      <c r="AC10" s="25"/>
      <c r="AD10" s="25"/>
      <c r="AE10" s="25"/>
      <c r="AF10" s="25"/>
      <c r="AG10" s="25"/>
      <c r="AH10" s="25"/>
      <c r="AI10" s="25"/>
      <c r="AJ10" s="25"/>
      <c r="AK10" s="25"/>
      <c r="AL10" s="25"/>
    </row>
    <row r="11" ht="12.75" customHeight="1">
      <c r="A11" s="22">
        <f t="shared" si="8"/>
        <v>9</v>
      </c>
      <c r="B11" s="26"/>
      <c r="C11" s="49">
        <f>IFERROR(__xludf.DUMMYFUNCTION("IF(IFERROR(filter(targets_quant!$N:$N,(targets_quant!$B:$B=$A11)*(targets_quant!$J:$J=D$2)*(targets_quant!$N:$N=""zero_policy"")),"""")=""zero_policy"",1,0)"),1.0)</f>
        <v>1</v>
      </c>
      <c r="D11" s="26"/>
      <c r="E11" s="26"/>
      <c r="F11" s="49">
        <f>IFERROR(__xludf.DUMMYFUNCTION("iferror(min(filter(targets_quant!$P:$P,(targets_quant!$J:$J=$D$2)*(targets_quant!$B:$B=$A11)*(targets_quant!$N:$N=$E$2))),0)"),0.0)</f>
        <v>0</v>
      </c>
      <c r="G11" s="26"/>
      <c r="H11" s="26"/>
      <c r="I11" s="29">
        <f t="shared" si="1"/>
        <v>0</v>
      </c>
      <c r="J11" s="29">
        <f t="shared" si="2"/>
        <v>1</v>
      </c>
      <c r="K11" s="29">
        <f t="shared" si="3"/>
        <v>0.05</v>
      </c>
      <c r="L11" s="48"/>
      <c r="M11" s="49">
        <f>IFERROR(__xludf.DUMMYFUNCTION("IF(IFERROR(filter(targets_quant!$N:$N,(targets_quant!$B:$B=$A11)*(targets_quant!$J:$J=N$2)*(targets_quant!$N:$N=""zero_policy"")),"""")=""zero_policy"",1,0)"),0.0)</f>
        <v>0</v>
      </c>
      <c r="N11" s="26"/>
      <c r="O11" s="26"/>
      <c r="P11" s="49">
        <f>IFERROR(__xludf.DUMMYFUNCTION("IFERROR(min(filter(targets_quant!$P:$P,(targets_quant!$J:$J=$N$2)*(targets_quant!$B:$B=$A11)*(targets_quant!$N:$N=$O$2))),0)"),2040.0)</f>
        <v>2040</v>
      </c>
      <c r="Q11" s="26"/>
      <c r="R11" s="26"/>
      <c r="S11" s="29">
        <f t="shared" si="4"/>
        <v>1</v>
      </c>
      <c r="T11" s="29">
        <f t="shared" si="5"/>
        <v>0.3333333333</v>
      </c>
      <c r="U11" s="29">
        <f t="shared" si="6"/>
        <v>0.01666666667</v>
      </c>
      <c r="V11" s="48"/>
      <c r="W11" s="39">
        <f t="shared" si="7"/>
        <v>0.06666666667</v>
      </c>
      <c r="X11" s="25"/>
      <c r="Y11" s="25"/>
      <c r="Z11" s="25"/>
      <c r="AA11" s="25"/>
      <c r="AB11" s="25"/>
      <c r="AC11" s="25"/>
      <c r="AD11" s="25"/>
      <c r="AE11" s="25"/>
      <c r="AF11" s="25"/>
      <c r="AG11" s="25"/>
      <c r="AH11" s="25"/>
      <c r="AI11" s="25"/>
      <c r="AJ11" s="25"/>
      <c r="AK11" s="25"/>
      <c r="AL11" s="25"/>
    </row>
    <row r="12" ht="12.75" customHeight="1">
      <c r="A12" s="22">
        <f t="shared" si="8"/>
        <v>10</v>
      </c>
      <c r="B12" s="26"/>
      <c r="C12" s="49">
        <f>IFERROR(__xludf.DUMMYFUNCTION("IF(IFERROR(filter(targets_quant!$N:$N,(targets_quant!$B:$B=$A12)*(targets_quant!$J:$J=D$2)*(targets_quant!$N:$N=""zero_policy"")),"""")=""zero_policy"",1,0)"),0.0)</f>
        <v>0</v>
      </c>
      <c r="D12" s="26"/>
      <c r="E12" s="26"/>
      <c r="F12" s="49">
        <f>IFERROR(__xludf.DUMMYFUNCTION("iferror(min(filter(targets_quant!$P:$P,(targets_quant!$J:$J=$D$2)*(targets_quant!$B:$B=$A12)*(targets_quant!$N:$N=$E$2))),0)"),0.0)</f>
        <v>0</v>
      </c>
      <c r="G12" s="26"/>
      <c r="H12" s="26"/>
      <c r="I12" s="29">
        <f t="shared" si="1"/>
        <v>0</v>
      </c>
      <c r="J12" s="29">
        <f t="shared" si="2"/>
        <v>0</v>
      </c>
      <c r="K12" s="29">
        <f t="shared" si="3"/>
        <v>0</v>
      </c>
      <c r="L12" s="48"/>
      <c r="M12" s="49">
        <f>IFERROR(__xludf.DUMMYFUNCTION("IF(IFERROR(filter(targets_quant!$N:$N,(targets_quant!$B:$B=$A12)*(targets_quant!$J:$J=N$2)*(targets_quant!$N:$N=""zero_policy"")),"""")=""zero_policy"",1,0)"),0.0)</f>
        <v>0</v>
      </c>
      <c r="N12" s="26"/>
      <c r="O12" s="26"/>
      <c r="P12" s="49">
        <f>IFERROR(__xludf.DUMMYFUNCTION("IFERROR(min(filter(targets_quant!$P:$P,(targets_quant!$J:$J=$N$2)*(targets_quant!$B:$B=$A12)*(targets_quant!$N:$N=$O$2))),0)"),0.0)</f>
        <v>0</v>
      </c>
      <c r="Q12" s="26"/>
      <c r="R12" s="26"/>
      <c r="S12" s="29">
        <f t="shared" si="4"/>
        <v>0</v>
      </c>
      <c r="T12" s="29">
        <f t="shared" si="5"/>
        <v>0</v>
      </c>
      <c r="U12" s="29">
        <f t="shared" si="6"/>
        <v>0</v>
      </c>
      <c r="V12" s="48"/>
      <c r="W12" s="39">
        <f t="shared" si="7"/>
        <v>0</v>
      </c>
      <c r="X12" s="25"/>
      <c r="Y12" s="25"/>
      <c r="Z12" s="25"/>
      <c r="AA12" s="25"/>
      <c r="AB12" s="25"/>
      <c r="AC12" s="25"/>
      <c r="AD12" s="25"/>
      <c r="AE12" s="25"/>
      <c r="AF12" s="25"/>
      <c r="AG12" s="25"/>
      <c r="AH12" s="25"/>
      <c r="AI12" s="25"/>
      <c r="AJ12" s="25"/>
      <c r="AK12" s="25"/>
      <c r="AL12" s="25"/>
    </row>
    <row r="13" ht="12.75" customHeight="1">
      <c r="A13" s="22">
        <f t="shared" si="8"/>
        <v>11</v>
      </c>
      <c r="B13" s="26"/>
      <c r="C13" s="49">
        <f>IFERROR(__xludf.DUMMYFUNCTION("IF(IFERROR(filter(targets_quant!$N:$N,(targets_quant!$B:$B=$A13)*(targets_quant!$J:$J=D$2)*(targets_quant!$N:$N=""zero_policy"")),"""")=""zero_policy"",1,0)"),0.0)</f>
        <v>0</v>
      </c>
      <c r="D13" s="26"/>
      <c r="E13" s="26"/>
      <c r="F13" s="49">
        <f>IFERROR(__xludf.DUMMYFUNCTION("iferror(min(filter(targets_quant!$P:$P,(targets_quant!$J:$J=$D$2)*(targets_quant!$B:$B=$A13)*(targets_quant!$N:$N=$E$2))),0)"),0.0)</f>
        <v>0</v>
      </c>
      <c r="G13" s="26"/>
      <c r="H13" s="26"/>
      <c r="I13" s="29">
        <f t="shared" si="1"/>
        <v>0</v>
      </c>
      <c r="J13" s="29">
        <f t="shared" si="2"/>
        <v>0</v>
      </c>
      <c r="K13" s="29">
        <f t="shared" si="3"/>
        <v>0</v>
      </c>
      <c r="L13" s="48"/>
      <c r="M13" s="49">
        <f>IFERROR(__xludf.DUMMYFUNCTION("IF(IFERROR(filter(targets_quant!$N:$N,(targets_quant!$B:$B=$A13)*(targets_quant!$J:$J=N$2)*(targets_quant!$N:$N=""zero_policy"")),"""")=""zero_policy"",1,0)"),0.0)</f>
        <v>0</v>
      </c>
      <c r="N13" s="26"/>
      <c r="O13" s="26"/>
      <c r="P13" s="49">
        <f>IFERROR(__xludf.DUMMYFUNCTION("IFERROR(min(filter(targets_quant!$P:$P,(targets_quant!$J:$J=$N$2)*(targets_quant!$B:$B=$A13)*(targets_quant!$N:$N=$O$2))),0)"),0.0)</f>
        <v>0</v>
      </c>
      <c r="Q13" s="26"/>
      <c r="R13" s="26"/>
      <c r="S13" s="29">
        <f t="shared" si="4"/>
        <v>0</v>
      </c>
      <c r="T13" s="29">
        <f t="shared" si="5"/>
        <v>0</v>
      </c>
      <c r="U13" s="29">
        <f t="shared" si="6"/>
        <v>0</v>
      </c>
      <c r="V13" s="48"/>
      <c r="W13" s="39">
        <f t="shared" si="7"/>
        <v>0</v>
      </c>
      <c r="X13" s="25"/>
      <c r="Y13" s="25"/>
      <c r="Z13" s="25"/>
      <c r="AA13" s="25"/>
      <c r="AB13" s="25"/>
      <c r="AC13" s="25"/>
      <c r="AD13" s="25"/>
      <c r="AE13" s="25"/>
      <c r="AF13" s="25"/>
      <c r="AG13" s="25"/>
      <c r="AH13" s="25"/>
      <c r="AI13" s="25"/>
      <c r="AJ13" s="25"/>
      <c r="AK13" s="25"/>
      <c r="AL13" s="25"/>
    </row>
    <row r="14" ht="12.75" customHeight="1">
      <c r="A14" s="22">
        <f t="shared" si="8"/>
        <v>12</v>
      </c>
      <c r="B14" s="26"/>
      <c r="C14" s="49">
        <f>IFERROR(__xludf.DUMMYFUNCTION("IF(IFERROR(filter(targets_quant!$N:$N,(targets_quant!$B:$B=$A14)*(targets_quant!$J:$J=D$2)*(targets_quant!$N:$N=""zero_policy"")),"""")=""zero_policy"",1,0)"),0.0)</f>
        <v>0</v>
      </c>
      <c r="D14" s="26"/>
      <c r="E14" s="26"/>
      <c r="F14" s="49">
        <f>IFERROR(__xludf.DUMMYFUNCTION("iferror(min(filter(targets_quant!$P:$P,(targets_quant!$J:$J=$D$2)*(targets_quant!$B:$B=$A14)*(targets_quant!$N:$N=$E$2))),0)"),0.0)</f>
        <v>0</v>
      </c>
      <c r="G14" s="26"/>
      <c r="H14" s="26"/>
      <c r="I14" s="29">
        <f t="shared" si="1"/>
        <v>0</v>
      </c>
      <c r="J14" s="29">
        <f t="shared" si="2"/>
        <v>0</v>
      </c>
      <c r="K14" s="29">
        <f t="shared" si="3"/>
        <v>0</v>
      </c>
      <c r="L14" s="48"/>
      <c r="M14" s="49">
        <f>IFERROR(__xludf.DUMMYFUNCTION("IF(IFERROR(filter(targets_quant!$N:$N,(targets_quant!$B:$B=$A14)*(targets_quant!$J:$J=N$2)*(targets_quant!$N:$N=""zero_policy"")),"""")=""zero_policy"",1,0)"),0.0)</f>
        <v>0</v>
      </c>
      <c r="N14" s="26"/>
      <c r="O14" s="26"/>
      <c r="P14" s="49">
        <f>IFERROR(__xludf.DUMMYFUNCTION("IFERROR(min(filter(targets_quant!$P:$P,(targets_quant!$J:$J=$N$2)*(targets_quant!$B:$B=$A14)*(targets_quant!$N:$N=$O$2))),0)"),0.0)</f>
        <v>0</v>
      </c>
      <c r="Q14" s="26"/>
      <c r="R14" s="26"/>
      <c r="S14" s="29">
        <f t="shared" si="4"/>
        <v>0</v>
      </c>
      <c r="T14" s="29">
        <f t="shared" si="5"/>
        <v>0</v>
      </c>
      <c r="U14" s="29">
        <f t="shared" si="6"/>
        <v>0</v>
      </c>
      <c r="V14" s="48"/>
      <c r="W14" s="39">
        <f t="shared" si="7"/>
        <v>0</v>
      </c>
      <c r="X14" s="25"/>
      <c r="Y14" s="25"/>
      <c r="Z14" s="25"/>
      <c r="AA14" s="25"/>
      <c r="AB14" s="25"/>
      <c r="AC14" s="25"/>
      <c r="AD14" s="25"/>
      <c r="AE14" s="25"/>
      <c r="AF14" s="25"/>
      <c r="AG14" s="25"/>
      <c r="AH14" s="25"/>
      <c r="AI14" s="25"/>
      <c r="AJ14" s="25"/>
      <c r="AK14" s="25"/>
      <c r="AL14" s="25"/>
    </row>
    <row r="15" ht="12.75" customHeight="1">
      <c r="A15" s="22">
        <f t="shared" si="8"/>
        <v>13</v>
      </c>
      <c r="B15" s="26"/>
      <c r="C15" s="49">
        <f>IFERROR(__xludf.DUMMYFUNCTION("IF(IFERROR(filter(targets_quant!$N:$N,(targets_quant!$B:$B=$A15)*(targets_quant!$J:$J=D$2)*(targets_quant!$N:$N=""zero_policy"")),"""")=""zero_policy"",1,0)"),0.0)</f>
        <v>0</v>
      </c>
      <c r="D15" s="26"/>
      <c r="E15" s="26"/>
      <c r="F15" s="49">
        <f>IFERROR(__xludf.DUMMYFUNCTION("iferror(min(filter(targets_quant!$P:$P,(targets_quant!$J:$J=$D$2)*(targets_quant!$B:$B=$A15)*(targets_quant!$N:$N=$E$2))),0)"),2027.0)</f>
        <v>2027</v>
      </c>
      <c r="G15" s="26"/>
      <c r="H15" s="26"/>
      <c r="I15" s="29">
        <f t="shared" si="1"/>
        <v>1</v>
      </c>
      <c r="J15" s="29">
        <f t="shared" si="2"/>
        <v>0.7666666667</v>
      </c>
      <c r="K15" s="29">
        <f t="shared" si="3"/>
        <v>0.03833333333</v>
      </c>
      <c r="L15" s="48"/>
      <c r="M15" s="49">
        <f>IFERROR(__xludf.DUMMYFUNCTION("IF(IFERROR(filter(targets_quant!$N:$N,(targets_quant!$B:$B=$A15)*(targets_quant!$J:$J=N$2)*(targets_quant!$N:$N=""zero_policy"")),"""")=""zero_policy"",1,0)"),0.0)</f>
        <v>0</v>
      </c>
      <c r="N15" s="26"/>
      <c r="O15" s="26"/>
      <c r="P15" s="49">
        <f>IFERROR(__xludf.DUMMYFUNCTION("IFERROR(min(filter(targets_quant!$P:$P,(targets_quant!$J:$J=$N$2)*(targets_quant!$B:$B=$A15)*(targets_quant!$N:$N=$O$2))),0)"),0.0)</f>
        <v>0</v>
      </c>
      <c r="Q15" s="26"/>
      <c r="R15" s="26"/>
      <c r="S15" s="29">
        <f t="shared" si="4"/>
        <v>0</v>
      </c>
      <c r="T15" s="29">
        <f t="shared" si="5"/>
        <v>0</v>
      </c>
      <c r="U15" s="29">
        <f t="shared" si="6"/>
        <v>0</v>
      </c>
      <c r="V15" s="48"/>
      <c r="W15" s="39">
        <f t="shared" si="7"/>
        <v>0.03833333333</v>
      </c>
      <c r="X15" s="25"/>
      <c r="Y15" s="25"/>
      <c r="Z15" s="25"/>
      <c r="AA15" s="25"/>
      <c r="AB15" s="25"/>
      <c r="AC15" s="25"/>
      <c r="AD15" s="25"/>
      <c r="AE15" s="25"/>
      <c r="AF15" s="25"/>
      <c r="AG15" s="25"/>
      <c r="AH15" s="25"/>
      <c r="AI15" s="25"/>
      <c r="AJ15" s="25"/>
      <c r="AK15" s="25"/>
      <c r="AL15" s="25"/>
    </row>
    <row r="16" ht="12.75" customHeight="1">
      <c r="A16" s="22">
        <f t="shared" si="8"/>
        <v>14</v>
      </c>
      <c r="B16" s="26"/>
      <c r="C16" s="49">
        <f>IFERROR(__xludf.DUMMYFUNCTION("IF(IFERROR(filter(targets_quant!$N:$N,(targets_quant!$B:$B=$A16)*(targets_quant!$J:$J=D$2)*(targets_quant!$N:$N=""zero_policy"")),"""")=""zero_policy"",1,0)"),0.0)</f>
        <v>0</v>
      </c>
      <c r="D16" s="26"/>
      <c r="E16" s="26"/>
      <c r="F16" s="49">
        <f>IFERROR(__xludf.DUMMYFUNCTION("iferror(min(filter(targets_quant!$P:$P,(targets_quant!$J:$J=$D$2)*(targets_quant!$B:$B=$A16)*(targets_quant!$N:$N=$E$2))),0)"),0.0)</f>
        <v>0</v>
      </c>
      <c r="G16" s="26"/>
      <c r="H16" s="26"/>
      <c r="I16" s="29">
        <f t="shared" si="1"/>
        <v>0</v>
      </c>
      <c r="J16" s="29">
        <f t="shared" si="2"/>
        <v>0</v>
      </c>
      <c r="K16" s="29">
        <f t="shared" si="3"/>
        <v>0</v>
      </c>
      <c r="L16" s="48"/>
      <c r="M16" s="49">
        <f>IFERROR(__xludf.DUMMYFUNCTION("IF(IFERROR(filter(targets_quant!$N:$N,(targets_quant!$B:$B=$A16)*(targets_quant!$J:$J=N$2)*(targets_quant!$N:$N=""zero_policy"")),"""")=""zero_policy"",1,0)"),0.0)</f>
        <v>0</v>
      </c>
      <c r="N16" s="26"/>
      <c r="O16" s="26"/>
      <c r="P16" s="49">
        <f>IFERROR(__xludf.DUMMYFUNCTION("IFERROR(min(filter(targets_quant!$P:$P,(targets_quant!$J:$J=$N$2)*(targets_quant!$B:$B=$A16)*(targets_quant!$N:$N=$O$2))),0)"),0.0)</f>
        <v>0</v>
      </c>
      <c r="Q16" s="26"/>
      <c r="R16" s="26"/>
      <c r="S16" s="29">
        <f t="shared" si="4"/>
        <v>0</v>
      </c>
      <c r="T16" s="29">
        <f t="shared" si="5"/>
        <v>0</v>
      </c>
      <c r="U16" s="29">
        <f t="shared" si="6"/>
        <v>0</v>
      </c>
      <c r="V16" s="48"/>
      <c r="W16" s="39">
        <f t="shared" si="7"/>
        <v>0</v>
      </c>
      <c r="X16" s="25"/>
      <c r="Y16" s="25"/>
      <c r="Z16" s="25"/>
      <c r="AA16" s="25"/>
      <c r="AB16" s="25"/>
      <c r="AC16" s="25"/>
      <c r="AD16" s="25"/>
      <c r="AE16" s="25"/>
      <c r="AF16" s="25"/>
      <c r="AG16" s="25"/>
      <c r="AH16" s="25"/>
      <c r="AI16" s="25"/>
      <c r="AJ16" s="25"/>
      <c r="AK16" s="25"/>
      <c r="AL16" s="25"/>
    </row>
    <row r="17" ht="12.75" customHeight="1">
      <c r="A17" s="22">
        <f t="shared" si="8"/>
        <v>15</v>
      </c>
      <c r="B17" s="26"/>
      <c r="C17" s="49">
        <f>IFERROR(__xludf.DUMMYFUNCTION("IF(IFERROR(filter(targets_quant!$N:$N,(targets_quant!$B:$B=$A17)*(targets_quant!$J:$J=D$2)*(targets_quant!$N:$N=""zero_policy"")),"""")=""zero_policy"",1,0)"),0.0)</f>
        <v>0</v>
      </c>
      <c r="D17" s="26"/>
      <c r="E17" s="26"/>
      <c r="F17" s="49">
        <f>IFERROR(__xludf.DUMMYFUNCTION("iferror(min(filter(targets_quant!$P:$P,(targets_quant!$J:$J=$D$2)*(targets_quant!$B:$B=$A17)*(targets_quant!$N:$N=$E$2))),0)"),2035.0)</f>
        <v>2035</v>
      </c>
      <c r="G17" s="26"/>
      <c r="H17" s="26"/>
      <c r="I17" s="29">
        <f t="shared" si="1"/>
        <v>1</v>
      </c>
      <c r="J17" s="29">
        <f t="shared" si="2"/>
        <v>0.5</v>
      </c>
      <c r="K17" s="29">
        <f t="shared" si="3"/>
        <v>0.025</v>
      </c>
      <c r="L17" s="48"/>
      <c r="M17" s="49">
        <f>IFERROR(__xludf.DUMMYFUNCTION("IF(IFERROR(filter(targets_quant!$N:$N,(targets_quant!$B:$B=$A17)*(targets_quant!$J:$J=N$2)*(targets_quant!$N:$N=""zero_policy"")),"""")=""zero_policy"",1,0)"),0.0)</f>
        <v>0</v>
      </c>
      <c r="N17" s="26"/>
      <c r="O17" s="26"/>
      <c r="P17" s="49">
        <f>IFERROR(__xludf.DUMMYFUNCTION("IFERROR(min(filter(targets_quant!$P:$P,(targets_quant!$J:$J=$N$2)*(targets_quant!$B:$B=$A17)*(targets_quant!$N:$N=$O$2))),0)"),0.0)</f>
        <v>0</v>
      </c>
      <c r="Q17" s="26"/>
      <c r="R17" s="26"/>
      <c r="S17" s="29">
        <f t="shared" si="4"/>
        <v>0</v>
      </c>
      <c r="T17" s="29">
        <f t="shared" si="5"/>
        <v>0</v>
      </c>
      <c r="U17" s="29">
        <f t="shared" si="6"/>
        <v>0</v>
      </c>
      <c r="V17" s="48"/>
      <c r="W17" s="39">
        <f t="shared" si="7"/>
        <v>0.025</v>
      </c>
      <c r="X17" s="25"/>
      <c r="Y17" s="25"/>
      <c r="Z17" s="25"/>
      <c r="AA17" s="25"/>
      <c r="AB17" s="25"/>
      <c r="AC17" s="25"/>
      <c r="AD17" s="25"/>
      <c r="AE17" s="25"/>
      <c r="AF17" s="25"/>
      <c r="AG17" s="25"/>
      <c r="AH17" s="25"/>
      <c r="AI17" s="25"/>
      <c r="AJ17" s="25"/>
      <c r="AK17" s="25"/>
      <c r="AL17" s="25"/>
    </row>
    <row r="18" ht="12.75" customHeight="1">
      <c r="A18" s="22">
        <f t="shared" si="8"/>
        <v>16</v>
      </c>
      <c r="B18" s="26"/>
      <c r="C18" s="49">
        <f>IFERROR(__xludf.DUMMYFUNCTION("IF(IFERROR(filter(targets_quant!$N:$N,(targets_quant!$B:$B=$A18)*(targets_quant!$J:$J=D$2)*(targets_quant!$N:$N=""zero_policy"")),"""")=""zero_policy"",1,0)"),0.0)</f>
        <v>0</v>
      </c>
      <c r="D18" s="26"/>
      <c r="E18" s="26"/>
      <c r="F18" s="49">
        <f>IFERROR(__xludf.DUMMYFUNCTION("iferror(min(filter(targets_quant!$P:$P,(targets_quant!$J:$J=$D$2)*(targets_quant!$B:$B=$A18)*(targets_quant!$N:$N=$E$2))),0)"),0.0)</f>
        <v>0</v>
      </c>
      <c r="G18" s="26"/>
      <c r="H18" s="26"/>
      <c r="I18" s="29">
        <f t="shared" si="1"/>
        <v>0</v>
      </c>
      <c r="J18" s="29">
        <f t="shared" si="2"/>
        <v>0</v>
      </c>
      <c r="K18" s="29">
        <f t="shared" si="3"/>
        <v>0</v>
      </c>
      <c r="L18" s="48"/>
      <c r="M18" s="49">
        <f>IFERROR(__xludf.DUMMYFUNCTION("IF(IFERROR(filter(targets_quant!$N:$N,(targets_quant!$B:$B=$A18)*(targets_quant!$J:$J=N$2)*(targets_quant!$N:$N=""zero_policy"")),"""")=""zero_policy"",1,0)"),0.0)</f>
        <v>0</v>
      </c>
      <c r="N18" s="26"/>
      <c r="O18" s="26"/>
      <c r="P18" s="49">
        <f>IFERROR(__xludf.DUMMYFUNCTION("IFERROR(min(filter(targets_quant!$P:$P,(targets_quant!$J:$J=$N$2)*(targets_quant!$B:$B=$A18)*(targets_quant!$N:$N=$O$2))),0)"),2050.0)</f>
        <v>2050</v>
      </c>
      <c r="Q18" s="26"/>
      <c r="R18" s="26"/>
      <c r="S18" s="29">
        <f t="shared" si="4"/>
        <v>1</v>
      </c>
      <c r="T18" s="29">
        <f t="shared" si="5"/>
        <v>0</v>
      </c>
      <c r="U18" s="29">
        <f t="shared" si="6"/>
        <v>0</v>
      </c>
      <c r="V18" s="48"/>
      <c r="W18" s="39">
        <f t="shared" si="7"/>
        <v>0</v>
      </c>
      <c r="X18" s="25"/>
      <c r="Y18" s="25"/>
      <c r="Z18" s="25"/>
      <c r="AA18" s="25"/>
      <c r="AB18" s="25"/>
      <c r="AC18" s="25"/>
      <c r="AD18" s="25"/>
      <c r="AE18" s="25"/>
      <c r="AF18" s="25"/>
      <c r="AG18" s="25"/>
      <c r="AH18" s="25"/>
      <c r="AI18" s="25"/>
      <c r="AJ18" s="25"/>
      <c r="AK18" s="25"/>
      <c r="AL18" s="25"/>
    </row>
    <row r="19" ht="12.75" customHeight="1">
      <c r="A19" s="22">
        <f t="shared" si="8"/>
        <v>17</v>
      </c>
      <c r="B19" s="26"/>
      <c r="C19" s="49">
        <f>IFERROR(__xludf.DUMMYFUNCTION("IF(IFERROR(filter(targets_quant!$N:$N,(targets_quant!$B:$B=$A19)*(targets_quant!$J:$J=D$2)*(targets_quant!$N:$N=""zero_policy"")),"""")=""zero_policy"",1,0)"),0.0)</f>
        <v>0</v>
      </c>
      <c r="D19" s="26"/>
      <c r="E19" s="26"/>
      <c r="F19" s="49">
        <f>IFERROR(__xludf.DUMMYFUNCTION("iferror(min(filter(targets_quant!$P:$P,(targets_quant!$J:$J=$D$2)*(targets_quant!$B:$B=$A19)*(targets_quant!$N:$N=$E$2))),0)"),0.0)</f>
        <v>0</v>
      </c>
      <c r="G19" s="26"/>
      <c r="H19" s="26"/>
      <c r="I19" s="29">
        <f t="shared" si="1"/>
        <v>0</v>
      </c>
      <c r="J19" s="29">
        <f t="shared" si="2"/>
        <v>0</v>
      </c>
      <c r="K19" s="29">
        <f t="shared" si="3"/>
        <v>0</v>
      </c>
      <c r="L19" s="48"/>
      <c r="M19" s="49">
        <f>IFERROR(__xludf.DUMMYFUNCTION("IF(IFERROR(filter(targets_quant!$N:$N,(targets_quant!$B:$B=$A19)*(targets_quant!$J:$J=N$2)*(targets_quant!$N:$N=""zero_policy"")),"""")=""zero_policy"",1,0)"),0.0)</f>
        <v>0</v>
      </c>
      <c r="N19" s="26"/>
      <c r="O19" s="26"/>
      <c r="P19" s="49">
        <f>IFERROR(__xludf.DUMMYFUNCTION("IFERROR(min(filter(targets_quant!$P:$P,(targets_quant!$J:$J=$N$2)*(targets_quant!$B:$B=$A19)*(targets_quant!$N:$N=$O$2))),0)"),0.0)</f>
        <v>0</v>
      </c>
      <c r="Q19" s="26"/>
      <c r="R19" s="26"/>
      <c r="S19" s="29">
        <f t="shared" si="4"/>
        <v>0</v>
      </c>
      <c r="T19" s="29">
        <f t="shared" si="5"/>
        <v>0</v>
      </c>
      <c r="U19" s="29">
        <f t="shared" si="6"/>
        <v>0</v>
      </c>
      <c r="V19" s="48"/>
      <c r="W19" s="39">
        <f t="shared" si="7"/>
        <v>0</v>
      </c>
      <c r="X19" s="25"/>
      <c r="Y19" s="25"/>
      <c r="Z19" s="25"/>
      <c r="AA19" s="25"/>
      <c r="AB19" s="25"/>
      <c r="AC19" s="25"/>
      <c r="AD19" s="25"/>
      <c r="AE19" s="25"/>
      <c r="AF19" s="25"/>
      <c r="AG19" s="25"/>
      <c r="AH19" s="25"/>
      <c r="AI19" s="25"/>
      <c r="AJ19" s="25"/>
      <c r="AK19" s="25"/>
      <c r="AL19" s="25"/>
    </row>
    <row r="20" ht="12.75" customHeight="1">
      <c r="A20" s="22">
        <f t="shared" si="8"/>
        <v>18</v>
      </c>
      <c r="B20" s="26"/>
      <c r="C20" s="49">
        <f>IFERROR(__xludf.DUMMYFUNCTION("IF(IFERROR(filter(targets_quant!$N:$N,(targets_quant!$B:$B=$A20)*(targets_quant!$J:$J=D$2)*(targets_quant!$N:$N=""zero_policy"")),"""")=""zero_policy"",1,0)"),1.0)</f>
        <v>1</v>
      </c>
      <c r="D20" s="26"/>
      <c r="E20" s="26"/>
      <c r="F20" s="49">
        <f>IFERROR(__xludf.DUMMYFUNCTION("iferror(min(filter(targets_quant!$P:$P,(targets_quant!$J:$J=$D$2)*(targets_quant!$B:$B=$A20)*(targets_quant!$N:$N=$E$2))),0)"),2040.0)</f>
        <v>2040</v>
      </c>
      <c r="G20" s="26"/>
      <c r="H20" s="26"/>
      <c r="I20" s="29">
        <f t="shared" si="1"/>
        <v>1</v>
      </c>
      <c r="J20" s="29">
        <f t="shared" si="2"/>
        <v>1.333333333</v>
      </c>
      <c r="K20" s="29">
        <f t="shared" si="3"/>
        <v>0.06666666667</v>
      </c>
      <c r="L20" s="48"/>
      <c r="M20" s="49">
        <f>IFERROR(__xludf.DUMMYFUNCTION("IF(IFERROR(filter(targets_quant!$N:$N,(targets_quant!$B:$B=$A20)*(targets_quant!$J:$J=N$2)*(targets_quant!$N:$N=""zero_policy"")),"""")=""zero_policy"",1,0)"),0.0)</f>
        <v>0</v>
      </c>
      <c r="N20" s="26"/>
      <c r="O20" s="26"/>
      <c r="P20" s="49">
        <f>IFERROR(__xludf.DUMMYFUNCTION("IFERROR(min(filter(targets_quant!$P:$P,(targets_quant!$J:$J=$N$2)*(targets_quant!$B:$B=$A20)*(targets_quant!$N:$N=$O$2))),0)"),2050.0)</f>
        <v>2050</v>
      </c>
      <c r="Q20" s="26"/>
      <c r="R20" s="26"/>
      <c r="S20" s="29">
        <f t="shared" si="4"/>
        <v>1</v>
      </c>
      <c r="T20" s="29">
        <f t="shared" si="5"/>
        <v>0</v>
      </c>
      <c r="U20" s="29">
        <f t="shared" si="6"/>
        <v>0</v>
      </c>
      <c r="V20" s="48"/>
      <c r="W20" s="39">
        <f t="shared" si="7"/>
        <v>0.06666666667</v>
      </c>
      <c r="X20" s="25"/>
      <c r="Y20" s="25"/>
      <c r="Z20" s="25"/>
      <c r="AA20" s="25"/>
      <c r="AB20" s="25"/>
      <c r="AC20" s="25"/>
      <c r="AD20" s="25"/>
      <c r="AE20" s="25"/>
      <c r="AF20" s="25"/>
      <c r="AG20" s="25"/>
      <c r="AH20" s="25"/>
      <c r="AI20" s="25"/>
      <c r="AJ20" s="25"/>
      <c r="AK20" s="25"/>
      <c r="AL20" s="25"/>
    </row>
    <row r="21" ht="12.75" customHeight="1">
      <c r="A21" s="22">
        <f t="shared" si="8"/>
        <v>19</v>
      </c>
      <c r="B21" s="26"/>
      <c r="C21" s="49">
        <f>IFERROR(__xludf.DUMMYFUNCTION("IF(IFERROR(filter(targets_quant!$N:$N,(targets_quant!$B:$B=$A21)*(targets_quant!$J:$J=D$2)*(targets_quant!$N:$N=""zero_policy"")),"""")=""zero_policy"",1,0)"),0.0)</f>
        <v>0</v>
      </c>
      <c r="D21" s="26"/>
      <c r="E21" s="26"/>
      <c r="F21" s="49">
        <f>IFERROR(__xludf.DUMMYFUNCTION("iferror(min(filter(targets_quant!$P:$P,(targets_quant!$J:$J=$D$2)*(targets_quant!$B:$B=$A21)*(targets_quant!$N:$N=$E$2))),0)"),0.0)</f>
        <v>0</v>
      </c>
      <c r="G21" s="26"/>
      <c r="H21" s="26"/>
      <c r="I21" s="29">
        <f t="shared" si="1"/>
        <v>0</v>
      </c>
      <c r="J21" s="29">
        <f t="shared" si="2"/>
        <v>0</v>
      </c>
      <c r="K21" s="29">
        <f t="shared" si="3"/>
        <v>0</v>
      </c>
      <c r="L21" s="48"/>
      <c r="M21" s="49">
        <f>IFERROR(__xludf.DUMMYFUNCTION("IF(IFERROR(filter(targets_quant!$N:$N,(targets_quant!$B:$B=$A21)*(targets_quant!$J:$J=N$2)*(targets_quant!$N:$N=""zero_policy"")),"""")=""zero_policy"",1,0)"),0.0)</f>
        <v>0</v>
      </c>
      <c r="N21" s="26"/>
      <c r="O21" s="26"/>
      <c r="P21" s="49">
        <f>IFERROR(__xludf.DUMMYFUNCTION("IFERROR(min(filter(targets_quant!$P:$P,(targets_quant!$J:$J=$N$2)*(targets_quant!$B:$B=$A21)*(targets_quant!$N:$N=$O$2))),0)"),0.0)</f>
        <v>0</v>
      </c>
      <c r="Q21" s="26"/>
      <c r="R21" s="26"/>
      <c r="S21" s="29">
        <f t="shared" si="4"/>
        <v>0</v>
      </c>
      <c r="T21" s="29">
        <f t="shared" si="5"/>
        <v>0</v>
      </c>
      <c r="U21" s="29">
        <f t="shared" si="6"/>
        <v>0</v>
      </c>
      <c r="V21" s="48"/>
      <c r="W21" s="39">
        <f t="shared" si="7"/>
        <v>0</v>
      </c>
      <c r="X21" s="25"/>
      <c r="Y21" s="25"/>
      <c r="Z21" s="25"/>
      <c r="AA21" s="25"/>
      <c r="AB21" s="25"/>
      <c r="AC21" s="25"/>
      <c r="AD21" s="25"/>
      <c r="AE21" s="25"/>
      <c r="AF21" s="25"/>
      <c r="AG21" s="25"/>
      <c r="AH21" s="25"/>
      <c r="AI21" s="25"/>
      <c r="AJ21" s="25"/>
      <c r="AK21" s="25"/>
      <c r="AL21" s="25"/>
    </row>
    <row r="22" ht="12.75" customHeight="1">
      <c r="A22" s="30">
        <v>66.0</v>
      </c>
      <c r="B22" s="26"/>
      <c r="C22" s="49">
        <f>IFERROR(__xludf.DUMMYFUNCTION("IF(IFERROR(filter(targets_quant!$N:$N,(targets_quant!$B:$B=$A22)*(targets_quant!$J:$J=D$2)*(targets_quant!$N:$N=""zero_policy"")),"""")=""zero_policy"",1,0)"),1.0)</f>
        <v>1</v>
      </c>
      <c r="D22" s="26"/>
      <c r="E22" s="26"/>
      <c r="F22" s="49">
        <f>IFERROR(__xludf.DUMMYFUNCTION("iferror(min(filter(targets_quant!$P:$P,(targets_quant!$J:$J=$D$2)*(targets_quant!$B:$B=$A22)*(targets_quant!$N:$N=$E$2))),0)"),0.0)</f>
        <v>0</v>
      </c>
      <c r="G22" s="26"/>
      <c r="H22" s="26"/>
      <c r="I22" s="29">
        <f t="shared" si="1"/>
        <v>0</v>
      </c>
      <c r="J22" s="29">
        <f t="shared" si="2"/>
        <v>1</v>
      </c>
      <c r="K22" s="29">
        <f t="shared" si="3"/>
        <v>0.05</v>
      </c>
      <c r="L22" s="48"/>
      <c r="M22" s="49">
        <f>IFERROR(__xludf.DUMMYFUNCTION("IF(IFERROR(filter(targets_quant!$N:$N,(targets_quant!$B:$B=$A22)*(targets_quant!$J:$J=N$2)*(targets_quant!$N:$N=""zero_policy"")),"""")=""zero_policy"",1,0)"),0.0)</f>
        <v>0</v>
      </c>
      <c r="N22" s="26"/>
      <c r="O22" s="26"/>
      <c r="P22" s="49">
        <f>IFERROR(__xludf.DUMMYFUNCTION("IFERROR(min(filter(targets_quant!$P:$P,(targets_quant!$J:$J=$N$2)*(targets_quant!$B:$B=$A22)*(targets_quant!$N:$N=$O$2))),0)"),2030.0)</f>
        <v>2030</v>
      </c>
      <c r="Q22" s="26"/>
      <c r="R22" s="26"/>
      <c r="S22" s="29">
        <f t="shared" si="4"/>
        <v>1</v>
      </c>
      <c r="T22" s="29">
        <f t="shared" si="5"/>
        <v>0.6666666667</v>
      </c>
      <c r="U22" s="29">
        <f t="shared" si="6"/>
        <v>0.03333333333</v>
      </c>
      <c r="V22" s="48"/>
      <c r="W22" s="39">
        <f t="shared" si="7"/>
        <v>0.08333333333</v>
      </c>
      <c r="X22" s="25"/>
      <c r="Y22" s="25"/>
      <c r="Z22" s="25"/>
      <c r="AA22" s="25"/>
      <c r="AB22" s="25"/>
      <c r="AC22" s="25"/>
      <c r="AD22" s="25"/>
      <c r="AE22" s="25"/>
      <c r="AF22" s="25"/>
      <c r="AG22" s="25"/>
      <c r="AH22" s="25"/>
      <c r="AI22" s="25"/>
      <c r="AJ22" s="25"/>
      <c r="AK22" s="25"/>
      <c r="AL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c r="R1" s="18"/>
      <c r="S1" s="18"/>
      <c r="T1" s="18"/>
      <c r="U1" s="18"/>
      <c r="V1" s="18"/>
      <c r="W1" s="18"/>
      <c r="X1" s="18" t="s">
        <v>602</v>
      </c>
      <c r="Y1" s="18" t="s">
        <v>587</v>
      </c>
      <c r="Z1" s="18" t="s">
        <v>588</v>
      </c>
      <c r="AA1" s="19" t="s">
        <v>531</v>
      </c>
      <c r="AB1" s="20" t="s">
        <v>548</v>
      </c>
      <c r="AC1" s="45"/>
    </row>
    <row r="2">
      <c r="A2" s="22"/>
      <c r="B2" s="23"/>
      <c r="C2" s="23" t="s">
        <v>603</v>
      </c>
      <c r="D2" s="23" t="s">
        <v>598</v>
      </c>
      <c r="E2" s="47" t="s">
        <v>582</v>
      </c>
      <c r="F2" s="47" t="s">
        <v>604</v>
      </c>
      <c r="G2" s="47" t="s">
        <v>601</v>
      </c>
      <c r="H2" s="47" t="s">
        <v>605</v>
      </c>
      <c r="I2" s="47" t="s">
        <v>606</v>
      </c>
      <c r="J2" s="47" t="s">
        <v>607</v>
      </c>
      <c r="K2" s="47" t="s">
        <v>608</v>
      </c>
      <c r="L2" s="47" t="s">
        <v>609</v>
      </c>
      <c r="M2" s="47" t="s">
        <v>610</v>
      </c>
      <c r="N2" s="47" t="s">
        <v>611</v>
      </c>
      <c r="O2" s="47" t="s">
        <v>612</v>
      </c>
      <c r="P2" s="47" t="s">
        <v>534</v>
      </c>
      <c r="Q2" s="47" t="s">
        <v>613</v>
      </c>
      <c r="R2" s="47" t="s">
        <v>614</v>
      </c>
      <c r="S2" s="47" t="s">
        <v>615</v>
      </c>
      <c r="T2" s="47" t="s">
        <v>616</v>
      </c>
      <c r="U2" s="47" t="s">
        <v>617</v>
      </c>
      <c r="V2" s="47"/>
      <c r="W2" s="47"/>
      <c r="X2" s="47"/>
      <c r="Y2" s="51">
        <v>0.0</v>
      </c>
      <c r="Z2" s="51">
        <v>0.05</v>
      </c>
      <c r="AA2" s="24"/>
      <c r="AB2" s="24">
        <v>0.05</v>
      </c>
      <c r="AC2" s="46"/>
      <c r="AD2" s="25"/>
      <c r="AE2" s="25"/>
      <c r="AF2" s="25"/>
      <c r="AG2" s="25"/>
      <c r="AH2" s="25"/>
      <c r="AI2" s="25"/>
    </row>
    <row r="3" ht="12.75" customHeight="1">
      <c r="A3" s="22">
        <v>1.0</v>
      </c>
      <c r="B3" s="26"/>
      <c r="C3" s="26"/>
      <c r="D3" s="26"/>
      <c r="E3" s="26"/>
      <c r="F3" s="26"/>
      <c r="G3" s="49">
        <f>IFERROR(__xludf.DUMMYFUNCTION("IFERROR(min(filter(targets_quant!$P:$P,(targets_quant!$B:$B=test6_1!$A3)*(targets_quant!$F:$F=C$2)*(targets_quant!$J:$J=D$2)*(targets_quant!$G:$G=E$2))),"""")"),2030.0)</f>
        <v>2030</v>
      </c>
      <c r="H3" s="26">
        <f>IFERROR(__xludf.DUMMYFUNCTION("IF(G3, max(filter(targets_quant!$A:$A,(targets_quant!$B:$B=$A3)*(targets_quant!$P:$P=$G3)*(targets_quant!$F:$F=C$2)*(targets_quant!$G:$G=$E$2)*(targets_quant!$J:$J=$D$2))),"""")"),5.0)</f>
        <v>5</v>
      </c>
      <c r="I3" s="26">
        <f>IFERROR(__xludf.DUMMYFUNCTION("if(G3, filter(targets_quant!$O:$O,targets_quant!$A:$A=$H3),"""")"),2019.0)</f>
        <v>2019</v>
      </c>
      <c r="J3" s="26">
        <f>IFERROR(__xludf.DUMMYFUNCTION("IF($G3, filter(ghg!$F:$F,(ghg!$B:$B=$A3)*(ghg!$E:$E=$I3)),"""")"),4050000.0)</f>
        <v>4050000</v>
      </c>
      <c r="K3" s="26">
        <f>IFERROR(__xludf.DUMMYFUNCTION("IF($G3, filter(ghg!$G:$G,(ghg!$B:$B=$A3)*(ghg!$E:$E=$I3)),"""")"),1780000.0)</f>
        <v>1780000</v>
      </c>
      <c r="L3" s="26">
        <f>IFERROR(__xludf.DUMMYFUNCTION("IF($G3, filter(ghg!$H:$H,(ghg!$B:$B=$A3)*(ghg!$E:$E=$I3)),"""")"),1320000.0)</f>
        <v>1320000</v>
      </c>
      <c r="M3" s="26">
        <f t="shared" ref="M3:M22" si="1">J3+min(K3:L3)</f>
        <v>5370000</v>
      </c>
      <c r="N3" s="52">
        <f>IFERROR(__xludf.DUMMYFUNCTION("IF($G3, filter(targets_quant!$N:$N,targets_quant!$A:$A=$H3),"""")"),0.5)</f>
        <v>0.5</v>
      </c>
      <c r="O3" s="26">
        <f t="shared" ref="O3:O22" si="2">(1-N3)*M3</f>
        <v>2685000</v>
      </c>
      <c r="P3" s="26">
        <f>VLOOKUP($A3,reporting!$A:$D,COLUMN(reporting!$D:$D),FALSE)</f>
        <v>2020</v>
      </c>
      <c r="Q3" s="26">
        <f>IFERROR(__xludf.DUMMYFUNCTION("IF($G3, filter(ghg!$F:$F,(ghg!$B:$B=$A3)*(ghg!$E:$E=$P3)),"""")"),3600000.0)</f>
        <v>3600000</v>
      </c>
      <c r="R3" s="26">
        <f>IFERROR(__xludf.DUMMYFUNCTION("IF($G3, filter(ghg!$G:$G,(ghg!$B:$B=$A3)*(ghg!$E:$E=$P3)),"""")"),1680000.0)</f>
        <v>1680000</v>
      </c>
      <c r="S3" s="26">
        <f>IFERROR(__xludf.DUMMYFUNCTION("IF($G3, filter(ghg!$H:$H,(ghg!$B:$B=$A3)*(ghg!$E:$E=$P3)),"""")"),1250000.0)</f>
        <v>1250000</v>
      </c>
      <c r="T3" s="26">
        <f t="shared" ref="T3:T22" si="3">Q3+min(R3:S3)</f>
        <v>4850000</v>
      </c>
      <c r="U3" s="53">
        <f t="shared" ref="U3:U22" si="4">if($G3,((T3-O3)/T3)/(G3-P3),"")</f>
        <v>0.04463917526</v>
      </c>
      <c r="V3" s="26"/>
      <c r="W3" s="26"/>
      <c r="X3" s="26"/>
      <c r="Y3" s="26"/>
      <c r="Z3" s="26"/>
      <c r="AA3" s="29">
        <f t="shared" ref="AA3:AA22" si="5">max(0,min(1,($U3-$Y$2)/$Z$2))</f>
        <v>0.8927835052</v>
      </c>
      <c r="AB3" s="29">
        <f t="shared" ref="AB3:AB22" si="6">AB$2*AA3</f>
        <v>0.04463917526</v>
      </c>
      <c r="AC3" s="48"/>
      <c r="AD3" s="25"/>
      <c r="AE3" s="25"/>
      <c r="AF3" s="25"/>
      <c r="AG3" s="25"/>
      <c r="AH3" s="25"/>
      <c r="AI3" s="25"/>
    </row>
    <row r="4" ht="12.75" customHeight="1">
      <c r="A4" s="22">
        <f t="shared" ref="A4:A21" si="7">A3+1</f>
        <v>2</v>
      </c>
      <c r="B4" s="26"/>
      <c r="C4" s="26"/>
      <c r="D4" s="26"/>
      <c r="E4" s="26"/>
      <c r="F4" s="26"/>
      <c r="G4" s="49">
        <f>IFERROR(__xludf.DUMMYFUNCTION("IFERROR(min(filter(targets_quant!$P:$P,(targets_quant!$B:$B=test6_1!$A4)*(targets_quant!$F:$F=C$2)*(targets_quant!$J:$J=D$2)*(targets_quant!$G:$G=E$2))),"""")"),2030.0)</f>
        <v>2030</v>
      </c>
      <c r="H4" s="26">
        <f>IFERROR(__xludf.DUMMYFUNCTION("IF(G4, max(filter(targets_quant!$A:$A,(targets_quant!$B:$B=$A4)*(targets_quant!$P:$P=$G4)*(targets_quant!$F:$F=C$2)*(targets_quant!$G:$G=$E$2)*(targets_quant!$J:$J=$D$2))),"""")"),8.0)</f>
        <v>8</v>
      </c>
      <c r="I4" s="26">
        <f>IFERROR(__xludf.DUMMYFUNCTION("if(G4, filter(targets_quant!$O:$O,targets_quant!$A:$A=$H4),"""")"),2018.0)</f>
        <v>2018</v>
      </c>
      <c r="J4" s="26">
        <f>IFERROR(__xludf.DUMMYFUNCTION("if(G4, filter(ghg!$F:$F,(ghg!$B:$B=$A4)*(ghg!$E:$E=$I4)),"""")"),539000.0)</f>
        <v>539000</v>
      </c>
      <c r="K4" s="26">
        <f>IFERROR(__xludf.DUMMYFUNCTION("IF($G4, filter(ghg!$G:$G,(ghg!$B:$B=$A4)*(ghg!$E:$E=$I4)),"""")"),517000.0)</f>
        <v>517000</v>
      </c>
      <c r="L4" s="26">
        <f>IFERROR(__xludf.DUMMYFUNCTION("IF($G4, filter(ghg!$H:$H,(ghg!$B:$B=$A4)*(ghg!$E:$E=$I4)),"""")"),441000.0)</f>
        <v>441000</v>
      </c>
      <c r="M4" s="26">
        <f t="shared" si="1"/>
        <v>980000</v>
      </c>
      <c r="N4" s="52">
        <f>IFERROR(__xludf.DUMMYFUNCTION("IF($G4, filter(targets_quant!$N:$N,targets_quant!$A:$A=$H4),"""")"),0.3)</f>
        <v>0.3</v>
      </c>
      <c r="O4" s="26">
        <f t="shared" si="2"/>
        <v>686000</v>
      </c>
      <c r="P4" s="26">
        <f>VLOOKUP($A4,reporting!$A:$D,COLUMN(reporting!$D:$D),FALSE)</f>
        <v>2020</v>
      </c>
      <c r="Q4" s="26">
        <f>IFERROR(__xludf.DUMMYFUNCTION("IF($G4, filter(ghg!$F:$F,(ghg!$B:$B=$A4)*(ghg!$E:$E=$P4)),"""")"),500000.0)</f>
        <v>500000</v>
      </c>
      <c r="R4" s="26">
        <f>IFERROR(__xludf.DUMMYFUNCTION("IF($G4, filter(ghg!$G:$G,(ghg!$B:$B=$A4)*(ghg!$E:$E=$P4)),"""")"),480000.0)</f>
        <v>480000</v>
      </c>
      <c r="S4" s="26">
        <f>IFERROR(__xludf.DUMMYFUNCTION("IF($G4, filter(ghg!$H:$H,(ghg!$B:$B=$A4)*(ghg!$E:$E=$P4)),"""")"),406000.0)</f>
        <v>406000</v>
      </c>
      <c r="T4" s="26">
        <f t="shared" si="3"/>
        <v>906000</v>
      </c>
      <c r="U4" s="53">
        <f t="shared" si="4"/>
        <v>0.02428256071</v>
      </c>
      <c r="V4" s="26"/>
      <c r="W4" s="26"/>
      <c r="X4" s="26"/>
      <c r="Y4" s="26"/>
      <c r="Z4" s="26"/>
      <c r="AA4" s="29">
        <f t="shared" si="5"/>
        <v>0.4856512141</v>
      </c>
      <c r="AB4" s="29">
        <f t="shared" si="6"/>
        <v>0.02428256071</v>
      </c>
      <c r="AC4" s="48"/>
      <c r="AD4" s="25"/>
      <c r="AE4" s="25"/>
      <c r="AF4" s="25"/>
      <c r="AG4" s="25"/>
      <c r="AH4" s="25"/>
      <c r="AI4" s="25"/>
    </row>
    <row r="5" ht="12.75" customHeight="1">
      <c r="A5" s="22">
        <f t="shared" si="7"/>
        <v>3</v>
      </c>
      <c r="B5" s="26"/>
      <c r="C5" s="26"/>
      <c r="D5" s="26"/>
      <c r="E5" s="26"/>
      <c r="F5" s="26"/>
      <c r="G5" s="49">
        <f>IFERROR(__xludf.DUMMYFUNCTION("IFERROR(min(filter(targets_quant!$P:$P,(targets_quant!$B:$B=test6_1!$A5)*(targets_quant!$F:$F=C$2)*(targets_quant!$J:$J=D$2)*(targets_quant!$G:$G=E$2))),"""")"),2025.0)</f>
        <v>2025</v>
      </c>
      <c r="H5" s="26">
        <f>IFERROR(__xludf.DUMMYFUNCTION("IF(G5, max(filter(targets_quant!$A:$A,(targets_quant!$B:$B=$A5)*(targets_quant!$P:$P=$G5)*(targets_quant!$F:$F=C$2)*(targets_quant!$G:$G=$E$2)*(targets_quant!$J:$J=$D$2))),"""")"),9.0)</f>
        <v>9</v>
      </c>
      <c r="I5" s="26">
        <f>IFERROR(__xludf.DUMMYFUNCTION("if(G5, filter(targets_quant!$O:$O,targets_quant!$A:$A=$H5),"""")"),2015.0)</f>
        <v>2015</v>
      </c>
      <c r="J5" s="54">
        <f>IFERROR(__xludf.DUMMYFUNCTION("if(G5, filter(ghg!$F:$F,(ghg!$B:$B=$A5)*(ghg!$E:$E=$I5)),"""")"),305000.0)</f>
        <v>305000</v>
      </c>
      <c r="K5" s="26" t="str">
        <f>IFERROR(__xludf.DUMMYFUNCTION("IF($G5, filter(ghg!$G:$G,(ghg!$B:$B=$A5)*(ghg!$E:$E=$I5)),"""")"),"")</f>
        <v/>
      </c>
      <c r="L5" s="26">
        <f>IFERROR(__xludf.DUMMYFUNCTION("IF($G5, filter(ghg!$H:$H,(ghg!$B:$B=$A5)*(ghg!$E:$E=$I5)),"""")"),305000.0)</f>
        <v>305000</v>
      </c>
      <c r="M5" s="26">
        <f t="shared" si="1"/>
        <v>610000</v>
      </c>
      <c r="N5" s="52">
        <f>IFERROR(__xludf.DUMMYFUNCTION("IF($G5, filter(targets_quant!$N:$N,targets_quant!$A:$A=$H5),"""")"),0.25)</f>
        <v>0.25</v>
      </c>
      <c r="O5" s="26">
        <f t="shared" si="2"/>
        <v>457500</v>
      </c>
      <c r="P5" s="26">
        <f>VLOOKUP($A5,reporting!$A:$D,COLUMN(reporting!$D:$D),FALSE)</f>
        <v>2020</v>
      </c>
      <c r="Q5" s="26">
        <f>IFERROR(__xludf.DUMMYFUNCTION("IF($G5, filter(ghg!$F:$F,(ghg!$B:$B=$A5)*(ghg!$E:$E=$P5)),"""")"),265000.0)</f>
        <v>265000</v>
      </c>
      <c r="R5" s="26">
        <f>IFERROR(__xludf.DUMMYFUNCTION("IF($G5, filter(ghg!$G:$G,(ghg!$B:$B=$A5)*(ghg!$E:$E=$P5)),"""")"),313000.0)</f>
        <v>313000</v>
      </c>
      <c r="S5" s="26">
        <f>IFERROR(__xludf.DUMMYFUNCTION("IF($G5, filter(ghg!$H:$H,(ghg!$B:$B=$A5)*(ghg!$E:$E=$P5)),"""")"),243000.0)</f>
        <v>243000</v>
      </c>
      <c r="T5" s="26">
        <f t="shared" si="3"/>
        <v>508000</v>
      </c>
      <c r="U5" s="53">
        <f t="shared" si="4"/>
        <v>0.01988188976</v>
      </c>
      <c r="V5" s="26"/>
      <c r="W5" s="26"/>
      <c r="X5" s="26"/>
      <c r="Y5" s="26"/>
      <c r="Z5" s="26"/>
      <c r="AA5" s="29">
        <f t="shared" si="5"/>
        <v>0.3976377953</v>
      </c>
      <c r="AB5" s="29">
        <f t="shared" si="6"/>
        <v>0.01988188976</v>
      </c>
      <c r="AC5" s="48"/>
      <c r="AD5" s="25"/>
      <c r="AE5" s="25"/>
      <c r="AF5" s="25"/>
      <c r="AG5" s="25"/>
      <c r="AH5" s="25"/>
      <c r="AI5" s="25"/>
    </row>
    <row r="6" ht="12.75" customHeight="1">
      <c r="A6" s="22">
        <f t="shared" si="7"/>
        <v>4</v>
      </c>
      <c r="B6" s="26"/>
      <c r="C6" s="26"/>
      <c r="D6" s="26"/>
      <c r="E6" s="26"/>
      <c r="F6" s="26"/>
      <c r="G6" s="49">
        <f>IFERROR(__xludf.DUMMYFUNCTION("IFERROR(min(filter(targets_quant!$P:$P,(targets_quant!$B:$B=test6_1!$A6)*(targets_quant!$F:$F=C$2)*(targets_quant!$J:$J=D$2)*(targets_quant!$G:$G=E$2))),"""")"),2025.0)</f>
        <v>2025</v>
      </c>
      <c r="H6" s="26">
        <f>IFERROR(__xludf.DUMMYFUNCTION("IF(G6, max(filter(targets_quant!$A:$A,(targets_quant!$B:$B=$A6)*(targets_quant!$P:$P=$G6)*(targets_quant!$F:$F=C$2)*(targets_quant!$G:$G=$E$2)*(targets_quant!$J:$J=$D$2))),"""")"),12.0)</f>
        <v>12</v>
      </c>
      <c r="I6" s="26">
        <f>IFERROR(__xludf.DUMMYFUNCTION("if(G6, filter(targets_quant!$O:$O,targets_quant!$A:$A=$H6),"""")"),2016.0)</f>
        <v>2016</v>
      </c>
      <c r="J6" s="54">
        <f>IFERROR(__xludf.DUMMYFUNCTION("if(G6, filter(ghg!$F:$F,(ghg!$B:$B=$A6)*(ghg!$E:$E=$I6)),"""")"),22183.0)</f>
        <v>22183</v>
      </c>
      <c r="K6" s="26" t="str">
        <f>IFERROR(__xludf.DUMMYFUNCTION("IF($G6, filter(ghg!$G:$G,(ghg!$B:$B=$A6)*(ghg!$E:$E=$I6)),"""")"),"")</f>
        <v/>
      </c>
      <c r="L6" s="26">
        <f>IFERROR(__xludf.DUMMYFUNCTION("IF($G6, filter(ghg!$H:$H,(ghg!$B:$B=$A6)*(ghg!$E:$E=$I6)),"""")"),218855.0)</f>
        <v>218855</v>
      </c>
      <c r="M6" s="26">
        <f t="shared" si="1"/>
        <v>241038</v>
      </c>
      <c r="N6" s="52">
        <f>IFERROR(__xludf.DUMMYFUNCTION("IF($G6, filter(targets_quant!$N:$N,targets_quant!$A:$A=$H6),"""")"),0.65)</f>
        <v>0.65</v>
      </c>
      <c r="O6" s="26">
        <f t="shared" si="2"/>
        <v>84363.3</v>
      </c>
      <c r="P6" s="26">
        <f>VLOOKUP($A6,reporting!$A:$D,COLUMN(reporting!$D:$D),FALSE)</f>
        <v>2020</v>
      </c>
      <c r="Q6" s="26">
        <f>IFERROR(__xludf.DUMMYFUNCTION("IF($G6, filter(ghg!$F:$F,(ghg!$B:$B=$A6)*(ghg!$E:$E=$P6)),"""")"),13945.0)</f>
        <v>13945</v>
      </c>
      <c r="R6" s="26">
        <f>IFERROR(__xludf.DUMMYFUNCTION("IF($G6, filter(ghg!$G:$G,(ghg!$B:$B=$A6)*(ghg!$E:$E=$P6)),"""")"),228373.0)</f>
        <v>228373</v>
      </c>
      <c r="S6" s="26">
        <f>IFERROR(__xludf.DUMMYFUNCTION("IF($G6, filter(ghg!$H:$H,(ghg!$B:$B=$A6)*(ghg!$E:$E=$P6)),"""")"),162983.0)</f>
        <v>162983</v>
      </c>
      <c r="T6" s="26">
        <f t="shared" si="3"/>
        <v>176928</v>
      </c>
      <c r="U6" s="53">
        <f t="shared" si="4"/>
        <v>0.1046354449</v>
      </c>
      <c r="V6" s="26"/>
      <c r="W6" s="26"/>
      <c r="X6" s="26"/>
      <c r="Y6" s="26"/>
      <c r="Z6" s="26"/>
      <c r="AA6" s="29">
        <f t="shared" si="5"/>
        <v>1</v>
      </c>
      <c r="AB6" s="29">
        <f t="shared" si="6"/>
        <v>0.05</v>
      </c>
      <c r="AC6" s="48"/>
      <c r="AD6" s="25"/>
      <c r="AE6" s="25"/>
      <c r="AF6" s="25"/>
      <c r="AG6" s="25"/>
      <c r="AH6" s="25"/>
      <c r="AI6" s="25"/>
    </row>
    <row r="7" ht="12.75" customHeight="1">
      <c r="A7" s="22">
        <f t="shared" si="7"/>
        <v>5</v>
      </c>
      <c r="B7" s="26"/>
      <c r="C7" s="26"/>
      <c r="D7" s="26"/>
      <c r="E7" s="26"/>
      <c r="F7" s="26"/>
      <c r="G7" s="49">
        <f>IFERROR(__xludf.DUMMYFUNCTION("IFERROR(min(filter(targets_quant!$P:$P,(targets_quant!$B:$B=test6_1!$A7)*(targets_quant!$F:$F=C$2)*(targets_quant!$J:$J=D$2)*(targets_quant!$G:$G=E$2))),"""")"),2025.0)</f>
        <v>2025</v>
      </c>
      <c r="H7" s="26">
        <f>IFERROR(__xludf.DUMMYFUNCTION("IF(G7, max(filter(targets_quant!$A:$A,(targets_quant!$B:$B=$A7)*(targets_quant!$P:$P=$G7)*(targets_quant!$F:$F=C$2)*(targets_quant!$G:$G=$E$2)*(targets_quant!$J:$J=$D$2))),"""")"),15.0)</f>
        <v>15</v>
      </c>
      <c r="I7" s="26">
        <f>IFERROR(__xludf.DUMMYFUNCTION("if(G7, filter(targets_quant!$O:$O,targets_quant!$A:$A=$H7),"""")"),2018.0)</f>
        <v>2018</v>
      </c>
      <c r="J7" s="26">
        <f>IFERROR(__xludf.DUMMYFUNCTION("if(G7, filter(ghg!$F:$F,(ghg!$B:$B=$A7)*(ghg!$E:$E=$I7)),"""")"),12119.0)</f>
        <v>12119</v>
      </c>
      <c r="K7" s="26">
        <f>IFERROR(__xludf.DUMMYFUNCTION("IF($G7, filter(ghg!$G:$G,(ghg!$B:$B=$A7)*(ghg!$E:$E=$I7)),"""")"),58874.0)</f>
        <v>58874</v>
      </c>
      <c r="L7" s="26">
        <f>IFERROR(__xludf.DUMMYFUNCTION("IF($G7, filter(ghg!$H:$H,(ghg!$B:$B=$A7)*(ghg!$E:$E=$I7)),"""")"),47871.0)</f>
        <v>47871</v>
      </c>
      <c r="M7" s="26">
        <f t="shared" si="1"/>
        <v>59990</v>
      </c>
      <c r="N7" s="52">
        <f>IFERROR(__xludf.DUMMYFUNCTION("IF($G7, filter(targets_quant!$N:$N,targets_quant!$A:$A=$H7),"""")"),0.35)</f>
        <v>0.35</v>
      </c>
      <c r="O7" s="26">
        <f t="shared" si="2"/>
        <v>38993.5</v>
      </c>
      <c r="P7" s="26">
        <f>VLOOKUP($A7,reporting!$A:$D,COLUMN(reporting!$D:$D),FALSE)</f>
        <v>2020</v>
      </c>
      <c r="Q7" s="26">
        <f>IFERROR(__xludf.DUMMYFUNCTION("IF($G7, filter(ghg!$F:$F,(ghg!$B:$B=$A7)*(ghg!$E:$E=$P7)),"""")"),9842.0)</f>
        <v>9842</v>
      </c>
      <c r="R7" s="26">
        <f>IFERROR(__xludf.DUMMYFUNCTION("IF($G7, filter(ghg!$G:$G,(ghg!$B:$B=$A7)*(ghg!$E:$E=$P7)),"""")"),51176.0)</f>
        <v>51176</v>
      </c>
      <c r="S7" s="26">
        <f>IFERROR(__xludf.DUMMYFUNCTION("IF($G7, filter(ghg!$H:$H,(ghg!$B:$B=$A7)*(ghg!$E:$E=$P7)),"""")"),34540.0)</f>
        <v>34540</v>
      </c>
      <c r="T7" s="26">
        <f t="shared" si="3"/>
        <v>44382</v>
      </c>
      <c r="U7" s="53">
        <f t="shared" si="4"/>
        <v>0.02428236673</v>
      </c>
      <c r="V7" s="26"/>
      <c r="W7" s="26"/>
      <c r="X7" s="26"/>
      <c r="Y7" s="26"/>
      <c r="Z7" s="26"/>
      <c r="AA7" s="29">
        <f t="shared" si="5"/>
        <v>0.4856473345</v>
      </c>
      <c r="AB7" s="29">
        <f t="shared" si="6"/>
        <v>0.02428236673</v>
      </c>
      <c r="AC7" s="48"/>
      <c r="AD7" s="25"/>
      <c r="AE7" s="25"/>
      <c r="AF7" s="25"/>
      <c r="AG7" s="25"/>
      <c r="AH7" s="25"/>
      <c r="AI7" s="25"/>
    </row>
    <row r="8" ht="12.75" customHeight="1">
      <c r="A8" s="22">
        <f t="shared" si="7"/>
        <v>6</v>
      </c>
      <c r="B8" s="26"/>
      <c r="C8" s="26"/>
      <c r="D8" s="26"/>
      <c r="E8" s="26"/>
      <c r="F8" s="26"/>
      <c r="G8" s="49" t="str">
        <f>IFERROR(__xludf.DUMMYFUNCTION("IFERROR(min(filter(targets_quant!$P:$P,(targets_quant!$B:$B=test6_1!$A8)*(targets_quant!$F:$F=C$2)*(targets_quant!$J:$J=D$2)*(targets_quant!$G:$G=E$2))),"""")"),"")</f>
        <v/>
      </c>
      <c r="H8" s="26" t="str">
        <f>IFERROR(__xludf.DUMMYFUNCTION("IF(G8, max(filter(targets_quant!$A:$A,(targets_quant!$B:$B=$A8)*(targets_quant!$P:$P=$G8)*(targets_quant!$F:$F=C$2)*(targets_quant!$G:$G=$E$2)*(targets_quant!$J:$J=$D$2))),"""")"),"")</f>
        <v/>
      </c>
      <c r="I8" s="26" t="str">
        <f>IFERROR(__xludf.DUMMYFUNCTION("if(G8, filter(targets_quant!$O:$O,targets_quant!$A:$A=$H8),"""")"),"")</f>
        <v/>
      </c>
      <c r="J8" s="26" t="str">
        <f>IFERROR(__xludf.DUMMYFUNCTION("if(G8, filter(ghg!$F:$F,(ghg!$B:$B=$A8)*(ghg!$E:$E=$I8)),"""")"),"")</f>
        <v/>
      </c>
      <c r="K8" s="26" t="str">
        <f>IFERROR(__xludf.DUMMYFUNCTION("IF($G8, filter(ghg!$G:$G,(ghg!$B:$B=$A8)*(ghg!$E:$E=$I8)),"""")"),"")</f>
        <v/>
      </c>
      <c r="L8" s="26" t="str">
        <f>IFERROR(__xludf.DUMMYFUNCTION("IF($G8, filter(ghg!$H:$H,(ghg!$B:$B=$A8)*(ghg!$E:$E=$I8)),"""")"),"")</f>
        <v/>
      </c>
      <c r="M8" s="26">
        <f t="shared" si="1"/>
        <v>0</v>
      </c>
      <c r="N8" s="26" t="str">
        <f>IFERROR(__xludf.DUMMYFUNCTION("IF($G8, filter(targets_quant!$N:$N,targets_quant!$A:$A=$H8),"""")"),"")</f>
        <v/>
      </c>
      <c r="O8" s="26">
        <f t="shared" si="2"/>
        <v>0</v>
      </c>
      <c r="P8" s="26">
        <f>VLOOKUP($A8,reporting!$A:$D,COLUMN(reporting!$D:$D),FALSE)</f>
        <v>2020</v>
      </c>
      <c r="Q8" s="26" t="str">
        <f>IFERROR(__xludf.DUMMYFUNCTION("IF($G8, filter(ghg!$F:$F,(ghg!$B:$B=$A8)*(ghg!$E:$E=$P8)),"""")"),"")</f>
        <v/>
      </c>
      <c r="R8" s="26" t="str">
        <f>IFERROR(__xludf.DUMMYFUNCTION("IF($G8, filter(ghg!$G:$G,(ghg!$B:$B=$A8)*(ghg!$E:$E=$P8)),"""")"),"")</f>
        <v/>
      </c>
      <c r="S8" s="26" t="str">
        <f>IFERROR(__xludf.DUMMYFUNCTION("IF($G8, filter(ghg!$H:$H,(ghg!$B:$B=$A8)*(ghg!$E:$E=$P8)),"""")"),"")</f>
        <v/>
      </c>
      <c r="T8" s="26">
        <f t="shared" si="3"/>
        <v>0</v>
      </c>
      <c r="U8" s="53" t="str">
        <f t="shared" si="4"/>
        <v/>
      </c>
      <c r="V8" s="26"/>
      <c r="W8" s="26"/>
      <c r="X8" s="26"/>
      <c r="Y8" s="26"/>
      <c r="Z8" s="26"/>
      <c r="AA8" s="29">
        <f t="shared" si="5"/>
        <v>0</v>
      </c>
      <c r="AB8" s="29">
        <f t="shared" si="6"/>
        <v>0</v>
      </c>
      <c r="AC8" s="48"/>
      <c r="AD8" s="25"/>
      <c r="AE8" s="25"/>
      <c r="AF8" s="25"/>
      <c r="AG8" s="25"/>
      <c r="AH8" s="25"/>
      <c r="AI8" s="25"/>
    </row>
    <row r="9" ht="12.75" customHeight="1">
      <c r="A9" s="22">
        <f t="shared" si="7"/>
        <v>7</v>
      </c>
      <c r="B9" s="26"/>
      <c r="C9" s="26"/>
      <c r="D9" s="26"/>
      <c r="E9" s="26"/>
      <c r="F9" s="26"/>
      <c r="G9" s="49" t="str">
        <f>IFERROR(__xludf.DUMMYFUNCTION("IFERROR(min(filter(targets_quant!$P:$P,(targets_quant!$B:$B=test6_1!$A9)*(targets_quant!$F:$F=C$2)*(targets_quant!$J:$J=D$2)*(targets_quant!$G:$G=E$2))),"""")"),"")</f>
        <v/>
      </c>
      <c r="H9" s="26" t="str">
        <f>IFERROR(__xludf.DUMMYFUNCTION("IF(G9, max(filter(targets_quant!$A:$A,(targets_quant!$B:$B=$A9)*(targets_quant!$P:$P=$G9)*(targets_quant!$F:$F=C$2)*(targets_quant!$G:$G=$E$2)*(targets_quant!$J:$J=$D$2))),"""")"),"")</f>
        <v/>
      </c>
      <c r="I9" s="26" t="str">
        <f>IFERROR(__xludf.DUMMYFUNCTION("if(G9, filter(targets_quant!$O:$O,targets_quant!$A:$A=$H9),"""")"),"")</f>
        <v/>
      </c>
      <c r="J9" s="26" t="str">
        <f>IFERROR(__xludf.DUMMYFUNCTION("if(G9, filter(ghg!$F:$F,(ghg!$B:$B=$A9)*(ghg!$E:$E=$I9)),"""")"),"")</f>
        <v/>
      </c>
      <c r="K9" s="26" t="str">
        <f>IFERROR(__xludf.DUMMYFUNCTION("IF($G9, filter(ghg!$G:$G,(ghg!$B:$B=$A9)*(ghg!$E:$E=$I9)),"""")"),"")</f>
        <v/>
      </c>
      <c r="L9" s="26" t="str">
        <f>IFERROR(__xludf.DUMMYFUNCTION("IF($G9, filter(ghg!$H:$H,(ghg!$B:$B=$A9)*(ghg!$E:$E=$I9)),"""")"),"")</f>
        <v/>
      </c>
      <c r="M9" s="26">
        <f t="shared" si="1"/>
        <v>0</v>
      </c>
      <c r="N9" s="26" t="str">
        <f>IFERROR(__xludf.DUMMYFUNCTION("IF($G9, filter(targets_quant!$N:$N,targets_quant!$A:$A=$H9),"""")"),"")</f>
        <v/>
      </c>
      <c r="O9" s="26">
        <f t="shared" si="2"/>
        <v>0</v>
      </c>
      <c r="P9" s="26">
        <f>VLOOKUP($A9,reporting!$A:$D,COLUMN(reporting!$D:$D),FALSE)</f>
        <v>2019</v>
      </c>
      <c r="Q9" s="26" t="str">
        <f>IFERROR(__xludf.DUMMYFUNCTION("IF($G9, filter(ghg!$F:$F,(ghg!$B:$B=$A9)*(ghg!$E:$E=$P9)),"""")"),"")</f>
        <v/>
      </c>
      <c r="R9" s="26" t="str">
        <f>IFERROR(__xludf.DUMMYFUNCTION("IF($G9, filter(ghg!$G:$G,(ghg!$B:$B=$A9)*(ghg!$E:$E=$P9)),"""")"),"")</f>
        <v/>
      </c>
      <c r="S9" s="26" t="str">
        <f>IFERROR(__xludf.DUMMYFUNCTION("IF($G9, filter(ghg!$H:$H,(ghg!$B:$B=$A9)*(ghg!$E:$E=$P9)),"""")"),"")</f>
        <v/>
      </c>
      <c r="T9" s="26">
        <f t="shared" si="3"/>
        <v>0</v>
      </c>
      <c r="U9" s="53" t="str">
        <f t="shared" si="4"/>
        <v/>
      </c>
      <c r="V9" s="26"/>
      <c r="W9" s="26"/>
      <c r="X9" s="26"/>
      <c r="Y9" s="26"/>
      <c r="Z9" s="26"/>
      <c r="AA9" s="29">
        <f t="shared" si="5"/>
        <v>0</v>
      </c>
      <c r="AB9" s="29">
        <f t="shared" si="6"/>
        <v>0</v>
      </c>
      <c r="AC9" s="48"/>
      <c r="AD9" s="25"/>
      <c r="AE9" s="25"/>
      <c r="AF9" s="25"/>
      <c r="AG9" s="25"/>
      <c r="AH9" s="25"/>
      <c r="AI9" s="25"/>
    </row>
    <row r="10" ht="12.75" customHeight="1">
      <c r="A10" s="22">
        <f t="shared" si="7"/>
        <v>8</v>
      </c>
      <c r="B10" s="26"/>
      <c r="C10" s="26"/>
      <c r="D10" s="26"/>
      <c r="E10" s="26"/>
      <c r="F10" s="26"/>
      <c r="G10" s="49">
        <f>IFERROR(__xludf.DUMMYFUNCTION("IFERROR(min(filter(targets_quant!$P:$P,(targets_quant!$B:$B=test6_1!$A10)*(targets_quant!$F:$F=C$2)*(targets_quant!$J:$J=D$2)*(targets_quant!$G:$G=E$2))),"""")"),2030.0)</f>
        <v>2030</v>
      </c>
      <c r="H10" s="26">
        <f>IFERROR(__xludf.DUMMYFUNCTION("IF(G10, max(filter(targets_quant!$A:$A,(targets_quant!$B:$B=$A10)*(targets_quant!$P:$P=$G10)*(targets_quant!$F:$F=C$2)*(targets_quant!$G:$G=$E$2)*(targets_quant!$J:$J=$D$2))),"""")"),21.0)</f>
        <v>21</v>
      </c>
      <c r="I10" s="26">
        <f>IFERROR(__xludf.DUMMYFUNCTION("if(G10, filter(targets_quant!$O:$O,targets_quant!$A:$A=$H10),"""")"),2017.0)</f>
        <v>2017</v>
      </c>
      <c r="J10" s="26">
        <f>IFERROR(__xludf.DUMMYFUNCTION("if(G10, filter(ghg!$F:$F,(ghg!$B:$B=$A10)*(ghg!$E:$E=$I10)),"""")"),167720.0)</f>
        <v>167720</v>
      </c>
      <c r="K10" s="26" t="str">
        <f>IFERROR(__xludf.DUMMYFUNCTION("IF($G10, filter(ghg!$G:$G,(ghg!$B:$B=$A10)*(ghg!$E:$E=$I10)),"""")"),"")</f>
        <v/>
      </c>
      <c r="L10" s="26">
        <f>IFERROR(__xludf.DUMMYFUNCTION("IF($G10, filter(ghg!$H:$H,(ghg!$B:$B=$A10)*(ghg!$E:$E=$I10)),"""")"),169287.0)</f>
        <v>169287</v>
      </c>
      <c r="M10" s="26">
        <f t="shared" si="1"/>
        <v>337007</v>
      </c>
      <c r="N10" s="52">
        <f>IFERROR(__xludf.DUMMYFUNCTION("IF($G10, filter(targets_quant!$N:$N,targets_quant!$A:$A=$H10),"""")"),0.55)</f>
        <v>0.55</v>
      </c>
      <c r="O10" s="26">
        <f t="shared" si="2"/>
        <v>151653.15</v>
      </c>
      <c r="P10" s="26">
        <f>VLOOKUP($A10,reporting!$A:$D,COLUMN(reporting!$D:$D),FALSE)</f>
        <v>2020</v>
      </c>
      <c r="Q10" s="26">
        <f>IFERROR(__xludf.DUMMYFUNCTION("IF($G10, filter(ghg!$F:$F,(ghg!$B:$B=$A10)*(ghg!$E:$E=$P10)),"""")"),139868.0)</f>
        <v>139868</v>
      </c>
      <c r="R10" s="26">
        <f>IFERROR(__xludf.DUMMYFUNCTION("IF($G10, filter(ghg!$G:$G,(ghg!$B:$B=$A10)*(ghg!$E:$E=$P10)),"""")"),144140.0)</f>
        <v>144140</v>
      </c>
      <c r="S10" s="26">
        <f>IFERROR(__xludf.DUMMYFUNCTION("IF($G10, filter(ghg!$H:$H,(ghg!$B:$B=$A10)*(ghg!$E:$E=$P10)),"""")"),141100.0)</f>
        <v>141100</v>
      </c>
      <c r="T10" s="26">
        <f t="shared" si="3"/>
        <v>280968</v>
      </c>
      <c r="U10" s="53">
        <f t="shared" si="4"/>
        <v>0.04602476083</v>
      </c>
      <c r="V10" s="26"/>
      <c r="W10" s="26"/>
      <c r="X10" s="26"/>
      <c r="Y10" s="26"/>
      <c r="Z10" s="26"/>
      <c r="AA10" s="29">
        <f t="shared" si="5"/>
        <v>0.9204952165</v>
      </c>
      <c r="AB10" s="29">
        <f t="shared" si="6"/>
        <v>0.04602476083</v>
      </c>
      <c r="AC10" s="48"/>
      <c r="AD10" s="25"/>
      <c r="AE10" s="25"/>
      <c r="AF10" s="25"/>
      <c r="AG10" s="25"/>
      <c r="AH10" s="25"/>
      <c r="AI10" s="25"/>
    </row>
    <row r="11" ht="12.75" customHeight="1">
      <c r="A11" s="22">
        <f t="shared" si="7"/>
        <v>9</v>
      </c>
      <c r="B11" s="26"/>
      <c r="C11" s="26"/>
      <c r="D11" s="26"/>
      <c r="E11" s="26"/>
      <c r="F11" s="26"/>
      <c r="G11" s="49" t="str">
        <f>IFERROR(__xludf.DUMMYFUNCTION("IFERROR(min(filter(targets_quant!$P:$P,(targets_quant!$B:$B=test6_1!$A11)*(targets_quant!$F:$F=C$2)*(targets_quant!$J:$J=D$2)*(targets_quant!$G:$G=E$2))),"""")"),"")</f>
        <v/>
      </c>
      <c r="H11" s="26" t="str">
        <f>IFERROR(__xludf.DUMMYFUNCTION("IF(G11, max(filter(targets_quant!$A:$A,(targets_quant!$B:$B=$A11)*(targets_quant!$P:$P=$G11)*(targets_quant!$F:$F=C$2)*(targets_quant!$G:$G=$E$2)*(targets_quant!$J:$J=$D$2))),"""")"),"")</f>
        <v/>
      </c>
      <c r="I11" s="26" t="str">
        <f>IFERROR(__xludf.DUMMYFUNCTION("if(G11, filter(targets_quant!$O:$O,targets_quant!$A:$A=$H11),"""")"),"")</f>
        <v/>
      </c>
      <c r="J11" s="26" t="str">
        <f>IFERROR(__xludf.DUMMYFUNCTION("if(G11, filter(ghg!$F:$F,(ghg!$B:$B=$A11)*(ghg!$E:$E=$I11)),"""")"),"")</f>
        <v/>
      </c>
      <c r="K11" s="26" t="str">
        <f>IFERROR(__xludf.DUMMYFUNCTION("IF($G11, filter(ghg!$G:$G,(ghg!$B:$B=$A11)*(ghg!$E:$E=$I11)),"""")"),"")</f>
        <v/>
      </c>
      <c r="L11" s="26" t="str">
        <f>IFERROR(__xludf.DUMMYFUNCTION("IF($G11, filter(ghg!$H:$H,(ghg!$B:$B=$A11)*(ghg!$E:$E=$I11)),"""")"),"")</f>
        <v/>
      </c>
      <c r="M11" s="26">
        <f t="shared" si="1"/>
        <v>0</v>
      </c>
      <c r="N11" s="26" t="str">
        <f>IFERROR(__xludf.DUMMYFUNCTION("IF($G11, filter(targets_quant!$N:$N,targets_quant!$A:$A=$H11),"""")"),"")</f>
        <v/>
      </c>
      <c r="O11" s="26">
        <f t="shared" si="2"/>
        <v>0</v>
      </c>
      <c r="P11" s="26">
        <f>VLOOKUP($A11,reporting!$A:$D,COLUMN(reporting!$D:$D),FALSE)</f>
        <v>2020</v>
      </c>
      <c r="Q11" s="26" t="str">
        <f>IFERROR(__xludf.DUMMYFUNCTION("IF($G11, filter(ghg!$F:$F,(ghg!$B:$B=$A11)*(ghg!$E:$E=$P11)),"""")"),"")</f>
        <v/>
      </c>
      <c r="R11" s="26" t="str">
        <f>IFERROR(__xludf.DUMMYFUNCTION("IF($G11, filter(ghg!$G:$G,(ghg!$B:$B=$A11)*(ghg!$E:$E=$P11)),"""")"),"")</f>
        <v/>
      </c>
      <c r="S11" s="26" t="str">
        <f>IFERROR(__xludf.DUMMYFUNCTION("IF($G11, filter(ghg!$H:$H,(ghg!$B:$B=$A11)*(ghg!$E:$E=$P11)),"""")"),"")</f>
        <v/>
      </c>
      <c r="T11" s="26">
        <f t="shared" si="3"/>
        <v>0</v>
      </c>
      <c r="U11" s="53" t="str">
        <f t="shared" si="4"/>
        <v/>
      </c>
      <c r="V11" s="26"/>
      <c r="W11" s="26"/>
      <c r="X11" s="26"/>
      <c r="Y11" s="26"/>
      <c r="Z11" s="26"/>
      <c r="AA11" s="29">
        <f t="shared" si="5"/>
        <v>0</v>
      </c>
      <c r="AB11" s="29">
        <f t="shared" si="6"/>
        <v>0</v>
      </c>
      <c r="AC11" s="48"/>
      <c r="AD11" s="25"/>
      <c r="AE11" s="25"/>
      <c r="AF11" s="25"/>
      <c r="AG11" s="25"/>
      <c r="AH11" s="25"/>
      <c r="AI11" s="25"/>
    </row>
    <row r="12" ht="12.75" customHeight="1">
      <c r="A12" s="22">
        <f t="shared" si="7"/>
        <v>10</v>
      </c>
      <c r="B12" s="26"/>
      <c r="C12" s="26"/>
      <c r="D12" s="26"/>
      <c r="E12" s="26"/>
      <c r="F12" s="26"/>
      <c r="G12" s="49" t="str">
        <f>IFERROR(__xludf.DUMMYFUNCTION("IFERROR(min(filter(targets_quant!$P:$P,(targets_quant!$B:$B=test6_1!$A12)*(targets_quant!$F:$F=C$2)*(targets_quant!$J:$J=D$2)*(targets_quant!$G:$G=E$2))),"""")"),"")</f>
        <v/>
      </c>
      <c r="H12" s="26" t="str">
        <f>IFERROR(__xludf.DUMMYFUNCTION("IF(G12, max(filter(targets_quant!$A:$A,(targets_quant!$B:$B=$A12)*(targets_quant!$P:$P=$G12)*(targets_quant!$F:$F=C$2)*(targets_quant!$G:$G=$E$2)*(targets_quant!$J:$J=$D$2))),"""")"),"")</f>
        <v/>
      </c>
      <c r="I12" s="26" t="str">
        <f>IFERROR(__xludf.DUMMYFUNCTION("if(G12, filter(targets_quant!$O:$O,targets_quant!$A:$A=$H12),"""")"),"")</f>
        <v/>
      </c>
      <c r="J12" s="26" t="str">
        <f>IFERROR(__xludf.DUMMYFUNCTION("if(G12, filter(ghg!$F:$F,(ghg!$B:$B=$A12)*(ghg!$E:$E=$I12)),"""")"),"")</f>
        <v/>
      </c>
      <c r="K12" s="26" t="str">
        <f>IFERROR(__xludf.DUMMYFUNCTION("IF($G12, filter(ghg!$G:$G,(ghg!$B:$B=$A12)*(ghg!$E:$E=$I12)),"""")"),"")</f>
        <v/>
      </c>
      <c r="L12" s="26" t="str">
        <f>IFERROR(__xludf.DUMMYFUNCTION("IF($G12, filter(ghg!$H:$H,(ghg!$B:$B=$A12)*(ghg!$E:$E=$I12)),"""")"),"")</f>
        <v/>
      </c>
      <c r="M12" s="26">
        <f t="shared" si="1"/>
        <v>0</v>
      </c>
      <c r="N12" s="26" t="str">
        <f>IFERROR(__xludf.DUMMYFUNCTION("IF($G12, filter(targets_quant!$N:$N,targets_quant!$A:$A=$H12),"""")"),"")</f>
        <v/>
      </c>
      <c r="O12" s="26">
        <f t="shared" si="2"/>
        <v>0</v>
      </c>
      <c r="P12" s="26">
        <f>VLOOKUP($A12,reporting!$A:$D,COLUMN(reporting!$D:$D),FALSE)</f>
        <v>2019</v>
      </c>
      <c r="Q12" s="26" t="str">
        <f>IFERROR(__xludf.DUMMYFUNCTION("IF($G12, filter(ghg!$F:$F,(ghg!$B:$B=$A12)*(ghg!$E:$E=$P12)),"""")"),"")</f>
        <v/>
      </c>
      <c r="R12" s="26" t="str">
        <f>IFERROR(__xludf.DUMMYFUNCTION("IF($G12, filter(ghg!$G:$G,(ghg!$B:$B=$A12)*(ghg!$E:$E=$P12)),"""")"),"")</f>
        <v/>
      </c>
      <c r="S12" s="26" t="str">
        <f>IFERROR(__xludf.DUMMYFUNCTION("IF($G12, filter(ghg!$H:$H,(ghg!$B:$B=$A12)*(ghg!$E:$E=$P12)),"""")"),"")</f>
        <v/>
      </c>
      <c r="T12" s="26">
        <f t="shared" si="3"/>
        <v>0</v>
      </c>
      <c r="U12" s="53" t="str">
        <f t="shared" si="4"/>
        <v/>
      </c>
      <c r="V12" s="26"/>
      <c r="W12" s="26"/>
      <c r="X12" s="26"/>
      <c r="Y12" s="26"/>
      <c r="Z12" s="26"/>
      <c r="AA12" s="29">
        <f t="shared" si="5"/>
        <v>0</v>
      </c>
      <c r="AB12" s="29">
        <f t="shared" si="6"/>
        <v>0</v>
      </c>
      <c r="AC12" s="48"/>
      <c r="AD12" s="25"/>
      <c r="AE12" s="25"/>
      <c r="AF12" s="25"/>
      <c r="AG12" s="25"/>
      <c r="AH12" s="25"/>
      <c r="AI12" s="25"/>
    </row>
    <row r="13" ht="12.75" customHeight="1">
      <c r="A13" s="22">
        <f t="shared" si="7"/>
        <v>11</v>
      </c>
      <c r="B13" s="26"/>
      <c r="C13" s="26"/>
      <c r="D13" s="26"/>
      <c r="E13" s="26"/>
      <c r="F13" s="26"/>
      <c r="G13" s="49" t="str">
        <f>IFERROR(__xludf.DUMMYFUNCTION("IFERROR(min(filter(targets_quant!$P:$P,(targets_quant!$B:$B=test6_1!$A13)*(targets_quant!$F:$F=C$2)*(targets_quant!$J:$J=D$2)*(targets_quant!$G:$G=E$2))),"""")"),"")</f>
        <v/>
      </c>
      <c r="H13" s="26" t="str">
        <f>IFERROR(__xludf.DUMMYFUNCTION("IF(G13, max(filter(targets_quant!$A:$A,(targets_quant!$B:$B=$A13)*(targets_quant!$P:$P=$G13)*(targets_quant!$F:$F=C$2)*(targets_quant!$G:$G=$E$2)*(targets_quant!$J:$J=$D$2))),"""")"),"")</f>
        <v/>
      </c>
      <c r="I13" s="26" t="str">
        <f>IFERROR(__xludf.DUMMYFUNCTION("if(G13, filter(targets_quant!$O:$O,targets_quant!$A:$A=$H13),"""")"),"")</f>
        <v/>
      </c>
      <c r="J13" s="26" t="str">
        <f>IFERROR(__xludf.DUMMYFUNCTION("if(G13, filter(ghg!$F:$F,(ghg!$B:$B=$A13)*(ghg!$E:$E=$I13)),"""")"),"")</f>
        <v/>
      </c>
      <c r="K13" s="26" t="str">
        <f>IFERROR(__xludf.DUMMYFUNCTION("IF($G13, filter(ghg!$G:$G,(ghg!$B:$B=$A13)*(ghg!$E:$E=$I13)),"""")"),"")</f>
        <v/>
      </c>
      <c r="L13" s="26" t="str">
        <f>IFERROR(__xludf.DUMMYFUNCTION("IF($G13, filter(ghg!$H:$H,(ghg!$B:$B=$A13)*(ghg!$E:$E=$I13)),"""")"),"")</f>
        <v/>
      </c>
      <c r="M13" s="26">
        <f t="shared" si="1"/>
        <v>0</v>
      </c>
      <c r="N13" s="26" t="str">
        <f>IFERROR(__xludf.DUMMYFUNCTION("IF($G13, filter(targets_quant!$N:$N,targets_quant!$A:$A=$H13),"""")"),"")</f>
        <v/>
      </c>
      <c r="O13" s="26">
        <f t="shared" si="2"/>
        <v>0</v>
      </c>
      <c r="P13" s="26">
        <f>VLOOKUP($A13,reporting!$A:$D,COLUMN(reporting!$D:$D),FALSE)</f>
        <v>2020</v>
      </c>
      <c r="Q13" s="26" t="str">
        <f>IFERROR(__xludf.DUMMYFUNCTION("IF($G13, filter(ghg!$F:$F,(ghg!$B:$B=$A13)*(ghg!$E:$E=$P13)),"""")"),"")</f>
        <v/>
      </c>
      <c r="R13" s="26" t="str">
        <f>IFERROR(__xludf.DUMMYFUNCTION("IF($G13, filter(ghg!$G:$G,(ghg!$B:$B=$A13)*(ghg!$E:$E=$P13)),"""")"),"")</f>
        <v/>
      </c>
      <c r="S13" s="26" t="str">
        <f>IFERROR(__xludf.DUMMYFUNCTION("IF($G13, filter(ghg!$H:$H,(ghg!$B:$B=$A13)*(ghg!$E:$E=$P13)),"""")"),"")</f>
        <v/>
      </c>
      <c r="T13" s="26">
        <f t="shared" si="3"/>
        <v>0</v>
      </c>
      <c r="U13" s="53" t="str">
        <f t="shared" si="4"/>
        <v/>
      </c>
      <c r="V13" s="26"/>
      <c r="W13" s="26"/>
      <c r="X13" s="26"/>
      <c r="Y13" s="26"/>
      <c r="Z13" s="26"/>
      <c r="AA13" s="29">
        <f t="shared" si="5"/>
        <v>0</v>
      </c>
      <c r="AB13" s="29">
        <f t="shared" si="6"/>
        <v>0</v>
      </c>
      <c r="AC13" s="48"/>
      <c r="AD13" s="25"/>
      <c r="AE13" s="25"/>
      <c r="AF13" s="25"/>
      <c r="AG13" s="25"/>
      <c r="AH13" s="25"/>
      <c r="AI13" s="25"/>
    </row>
    <row r="14" ht="12.75" customHeight="1">
      <c r="A14" s="22">
        <f t="shared" si="7"/>
        <v>12</v>
      </c>
      <c r="B14" s="26"/>
      <c r="C14" s="26"/>
      <c r="D14" s="26"/>
      <c r="E14" s="26"/>
      <c r="F14" s="26"/>
      <c r="G14" s="49" t="str">
        <f>IFERROR(__xludf.DUMMYFUNCTION("IFERROR(min(filter(targets_quant!$P:$P,(targets_quant!$B:$B=test6_1!$A14)*(targets_quant!$F:$F=C$2)*(targets_quant!$J:$J=D$2)*(targets_quant!$G:$G=E$2))),"""")"),"")</f>
        <v/>
      </c>
      <c r="H14" s="26" t="str">
        <f>IFERROR(__xludf.DUMMYFUNCTION("IF(G14, max(filter(targets_quant!$A:$A,(targets_quant!$B:$B=$A14)*(targets_quant!$P:$P=$G14)*(targets_quant!$F:$F=C$2)*(targets_quant!$G:$G=$E$2)*(targets_quant!$J:$J=$D$2))),"""")"),"")</f>
        <v/>
      </c>
      <c r="I14" s="26" t="str">
        <f>IFERROR(__xludf.DUMMYFUNCTION("if(G14, filter(targets_quant!$O:$O,targets_quant!$A:$A=$H14),"""")"),"")</f>
        <v/>
      </c>
      <c r="J14" s="26" t="str">
        <f>IFERROR(__xludf.DUMMYFUNCTION("if(G14, filter(ghg!$F:$F,(ghg!$B:$B=$A14)*(ghg!$E:$E=$I14)),"""")"),"")</f>
        <v/>
      </c>
      <c r="K14" s="26" t="str">
        <f>IFERROR(__xludf.DUMMYFUNCTION("IF($G14, filter(ghg!$G:$G,(ghg!$B:$B=$A14)*(ghg!$E:$E=$I14)),"""")"),"")</f>
        <v/>
      </c>
      <c r="L14" s="26" t="str">
        <f>IFERROR(__xludf.DUMMYFUNCTION("IF($G14, filter(ghg!$H:$H,(ghg!$B:$B=$A14)*(ghg!$E:$E=$I14)),"""")"),"")</f>
        <v/>
      </c>
      <c r="M14" s="26">
        <f t="shared" si="1"/>
        <v>0</v>
      </c>
      <c r="N14" s="26" t="str">
        <f>IFERROR(__xludf.DUMMYFUNCTION("IF($G14, filter(targets_quant!$N:$N,targets_quant!$A:$A=$H14),"""")"),"")</f>
        <v/>
      </c>
      <c r="O14" s="26">
        <f t="shared" si="2"/>
        <v>0</v>
      </c>
      <c r="P14" s="26">
        <f>VLOOKUP($A14,reporting!$A:$D,COLUMN(reporting!$D:$D),FALSE)</f>
        <v>2019</v>
      </c>
      <c r="Q14" s="26" t="str">
        <f>IFERROR(__xludf.DUMMYFUNCTION("IF($G14, filter(ghg!$F:$F,(ghg!$B:$B=$A14)*(ghg!$E:$E=$P14)),"""")"),"")</f>
        <v/>
      </c>
      <c r="R14" s="26" t="str">
        <f>IFERROR(__xludf.DUMMYFUNCTION("IF($G14, filter(ghg!$G:$G,(ghg!$B:$B=$A14)*(ghg!$E:$E=$P14)),"""")"),"")</f>
        <v/>
      </c>
      <c r="S14" s="26" t="str">
        <f>IFERROR(__xludf.DUMMYFUNCTION("IF($G14, filter(ghg!$H:$H,(ghg!$B:$B=$A14)*(ghg!$E:$E=$P14)),"""")"),"")</f>
        <v/>
      </c>
      <c r="T14" s="26">
        <f t="shared" si="3"/>
        <v>0</v>
      </c>
      <c r="U14" s="53" t="str">
        <f t="shared" si="4"/>
        <v/>
      </c>
      <c r="V14" s="26"/>
      <c r="W14" s="26"/>
      <c r="X14" s="26"/>
      <c r="Y14" s="26"/>
      <c r="Z14" s="26"/>
      <c r="AA14" s="29">
        <f t="shared" si="5"/>
        <v>0</v>
      </c>
      <c r="AB14" s="29">
        <f t="shared" si="6"/>
        <v>0</v>
      </c>
      <c r="AC14" s="48"/>
      <c r="AD14" s="25"/>
      <c r="AE14" s="25"/>
      <c r="AF14" s="25"/>
      <c r="AG14" s="25"/>
      <c r="AH14" s="25"/>
      <c r="AI14" s="25"/>
    </row>
    <row r="15" ht="12.75" customHeight="1">
      <c r="A15" s="22">
        <f t="shared" si="7"/>
        <v>13</v>
      </c>
      <c r="B15" s="26"/>
      <c r="C15" s="26"/>
      <c r="D15" s="26"/>
      <c r="E15" s="26"/>
      <c r="F15" s="26"/>
      <c r="G15" s="49">
        <f>IFERROR(__xludf.DUMMYFUNCTION("IFERROR(min(filter(targets_quant!$P:$P,(targets_quant!$B:$B=test6_1!$A15)*(targets_quant!$F:$F=C$2)*(targets_quant!$J:$J=D$2)*(targets_quant!$G:$G=E$2))),"""")"),2027.0)</f>
        <v>2027</v>
      </c>
      <c r="H15" s="26">
        <f>IFERROR(__xludf.DUMMYFUNCTION("IF(G15, max(filter(targets_quant!$A:$A,(targets_quant!$B:$B=$A15)*(targets_quant!$P:$P=$G15)*(targets_quant!$F:$F=C$2)*(targets_quant!$G:$G=$E$2)*(targets_quant!$J:$J=$D$2))),"""")"),23.0)</f>
        <v>23</v>
      </c>
      <c r="I15" s="26">
        <f>IFERROR(__xludf.DUMMYFUNCTION("if(G15, filter(targets_quant!$O:$O,targets_quant!$A:$A=$H15),"""")"),2019.0)</f>
        <v>2019</v>
      </c>
      <c r="J15" s="26">
        <f>IFERROR(__xludf.DUMMYFUNCTION("if(G15, filter(ghg!$F:$F,(ghg!$B:$B=$A15)*(ghg!$E:$E=$I15)),"""")"),135954.0)</f>
        <v>135954</v>
      </c>
      <c r="K15" s="26">
        <f>IFERROR(__xludf.DUMMYFUNCTION("IF($G15, filter(ghg!$G:$G,(ghg!$B:$B=$A15)*(ghg!$E:$E=$I15)),"""")"),173922.0)</f>
        <v>173922</v>
      </c>
      <c r="L15" s="26">
        <f>IFERROR(__xludf.DUMMYFUNCTION("IF($G15, filter(ghg!$H:$H,(ghg!$B:$B=$A15)*(ghg!$E:$E=$I15)),"""")"),160360.0)</f>
        <v>160360</v>
      </c>
      <c r="M15" s="26">
        <f t="shared" si="1"/>
        <v>296314</v>
      </c>
      <c r="N15" s="52">
        <f>IFERROR(__xludf.DUMMYFUNCTION("IF($G15, filter(targets_quant!$N:$N,targets_quant!$A:$A=$H15),"""")"),1.0)</f>
        <v>1</v>
      </c>
      <c r="O15" s="26">
        <f t="shared" si="2"/>
        <v>0</v>
      </c>
      <c r="P15" s="26">
        <f>VLOOKUP($A15,reporting!$A:$D,COLUMN(reporting!$D:$D),FALSE)</f>
        <v>2019</v>
      </c>
      <c r="Q15" s="26">
        <f>IFERROR(__xludf.DUMMYFUNCTION("IF($G15, filter(ghg!$F:$F,(ghg!$B:$B=$A15)*(ghg!$E:$E=$P15)),"""")"),135954.0)</f>
        <v>135954</v>
      </c>
      <c r="R15" s="26">
        <f>IFERROR(__xludf.DUMMYFUNCTION("IF($G15, filter(ghg!$G:$G,(ghg!$B:$B=$A15)*(ghg!$E:$E=$P15)),"""")"),173922.0)</f>
        <v>173922</v>
      </c>
      <c r="S15" s="26">
        <f>IFERROR(__xludf.DUMMYFUNCTION("IF($G15, filter(ghg!$H:$H,(ghg!$B:$B=$A15)*(ghg!$E:$E=$P15)),"""")"),160360.0)</f>
        <v>160360</v>
      </c>
      <c r="T15" s="26">
        <f t="shared" si="3"/>
        <v>296314</v>
      </c>
      <c r="U15" s="53">
        <f t="shared" si="4"/>
        <v>0.125</v>
      </c>
      <c r="V15" s="26"/>
      <c r="W15" s="26"/>
      <c r="X15" s="26"/>
      <c r="Y15" s="26"/>
      <c r="Z15" s="26"/>
      <c r="AA15" s="29">
        <f t="shared" si="5"/>
        <v>1</v>
      </c>
      <c r="AB15" s="29">
        <f t="shared" si="6"/>
        <v>0.05</v>
      </c>
      <c r="AC15" s="48"/>
      <c r="AD15" s="25"/>
      <c r="AE15" s="25"/>
      <c r="AF15" s="25"/>
      <c r="AG15" s="25"/>
      <c r="AH15" s="25"/>
      <c r="AI15" s="25"/>
    </row>
    <row r="16" ht="12.75" customHeight="1">
      <c r="A16" s="22">
        <f t="shared" si="7"/>
        <v>14</v>
      </c>
      <c r="B16" s="26"/>
      <c r="C16" s="26"/>
      <c r="D16" s="26"/>
      <c r="E16" s="26"/>
      <c r="F16" s="26"/>
      <c r="G16" s="49" t="str">
        <f>IFERROR(__xludf.DUMMYFUNCTION("IFERROR(min(filter(targets_quant!$P:$P,(targets_quant!$B:$B=test6_1!$A16)*(targets_quant!$F:$F=C$2)*(targets_quant!$J:$J=D$2)*(targets_quant!$G:$G=E$2))),"""")"),"")</f>
        <v/>
      </c>
      <c r="H16" s="26" t="str">
        <f>IFERROR(__xludf.DUMMYFUNCTION("IF(G16, max(filter(targets_quant!$A:$A,(targets_quant!$B:$B=$A16)*(targets_quant!$P:$P=$G16)*(targets_quant!$F:$F=C$2)*(targets_quant!$G:$G=$E$2)*(targets_quant!$J:$J=$D$2))),"""")"),"")</f>
        <v/>
      </c>
      <c r="I16" s="26" t="str">
        <f>IFERROR(__xludf.DUMMYFUNCTION("if(G16, filter(targets_quant!$O:$O,targets_quant!$A:$A=$H16),"""")"),"")</f>
        <v/>
      </c>
      <c r="J16" s="26" t="str">
        <f>IFERROR(__xludf.DUMMYFUNCTION("if(G16, filter(ghg!$F:$F,(ghg!$B:$B=$A16)*(ghg!$E:$E=$I16)),"""")"),"")</f>
        <v/>
      </c>
      <c r="K16" s="26" t="str">
        <f>IFERROR(__xludf.DUMMYFUNCTION("IF($G16, filter(ghg!$G:$G,(ghg!$B:$B=$A16)*(ghg!$E:$E=$I16)),"""")"),"")</f>
        <v/>
      </c>
      <c r="L16" s="26" t="str">
        <f>IFERROR(__xludf.DUMMYFUNCTION("IF($G16, filter(ghg!$H:$H,(ghg!$B:$B=$A16)*(ghg!$E:$E=$I16)),"""")"),"")</f>
        <v/>
      </c>
      <c r="M16" s="26">
        <f t="shared" si="1"/>
        <v>0</v>
      </c>
      <c r="N16" s="26" t="str">
        <f>IFERROR(__xludf.DUMMYFUNCTION("IF($G16, filter(targets_quant!$N:$N,targets_quant!$A:$A=$H16),"""")"),"")</f>
        <v/>
      </c>
      <c r="O16" s="26">
        <f t="shared" si="2"/>
        <v>0</v>
      </c>
      <c r="P16" s="26">
        <f>VLOOKUP($A16,reporting!$A:$D,COLUMN(reporting!$D:$D),FALSE)</f>
        <v>2020</v>
      </c>
      <c r="Q16" s="26" t="str">
        <f>IFERROR(__xludf.DUMMYFUNCTION("IF($G16, filter(ghg!$F:$F,(ghg!$B:$B=$A16)*(ghg!$E:$E=$P16)),"""")"),"")</f>
        <v/>
      </c>
      <c r="R16" s="26" t="str">
        <f>IFERROR(__xludf.DUMMYFUNCTION("IF($G16, filter(ghg!$G:$G,(ghg!$B:$B=$A16)*(ghg!$E:$E=$P16)),"""")"),"")</f>
        <v/>
      </c>
      <c r="S16" s="26" t="str">
        <f>IFERROR(__xludf.DUMMYFUNCTION("IF($G16, filter(ghg!$H:$H,(ghg!$B:$B=$A16)*(ghg!$E:$E=$P16)),"""")"),"")</f>
        <v/>
      </c>
      <c r="T16" s="26">
        <f t="shared" si="3"/>
        <v>0</v>
      </c>
      <c r="U16" s="53" t="str">
        <f t="shared" si="4"/>
        <v/>
      </c>
      <c r="V16" s="26"/>
      <c r="W16" s="26"/>
      <c r="X16" s="26"/>
      <c r="Y16" s="26"/>
      <c r="Z16" s="26"/>
      <c r="AA16" s="29">
        <f t="shared" si="5"/>
        <v>0</v>
      </c>
      <c r="AB16" s="29">
        <f t="shared" si="6"/>
        <v>0</v>
      </c>
      <c r="AC16" s="48"/>
      <c r="AD16" s="25"/>
      <c r="AE16" s="25"/>
      <c r="AF16" s="25"/>
      <c r="AG16" s="25"/>
      <c r="AH16" s="25"/>
      <c r="AI16" s="25"/>
    </row>
    <row r="17" ht="12.75" customHeight="1">
      <c r="A17" s="22">
        <f t="shared" si="7"/>
        <v>15</v>
      </c>
      <c r="B17" s="26"/>
      <c r="C17" s="26"/>
      <c r="D17" s="26"/>
      <c r="E17" s="26"/>
      <c r="F17" s="26"/>
      <c r="G17" s="49">
        <f>IFERROR(__xludf.DUMMYFUNCTION("IFERROR(min(filter(targets_quant!$P:$P,(targets_quant!$B:$B=test6_1!$A17)*(targets_quant!$F:$F=C$2)*(targets_quant!$J:$J=D$2)*(targets_quant!$G:$G=E$2))),"""")"),2030.0)</f>
        <v>2030</v>
      </c>
      <c r="H17" s="26">
        <f>IFERROR(__xludf.DUMMYFUNCTION("IF(G17, max(filter(targets_quant!$A:$A,(targets_quant!$B:$B=$A17)*(targets_quant!$P:$P=$G17)*(targets_quant!$F:$F=C$2)*(targets_quant!$G:$G=$E$2)*(targets_quant!$J:$J=$D$2))),"""")"),26.0)</f>
        <v>26</v>
      </c>
      <c r="I17" s="26">
        <f>IFERROR(__xludf.DUMMYFUNCTION("if(G17, filter(targets_quant!$O:$O,targets_quant!$A:$A=$H17),"""")"),2015.0)</f>
        <v>2015</v>
      </c>
      <c r="J17" s="26">
        <f>IFERROR(__xludf.DUMMYFUNCTION("if(G17, filter(ghg!$F:$F,(ghg!$B:$B=$A17)*(ghg!$E:$E=$I17)),"""")"),1134340.0)</f>
        <v>1134340</v>
      </c>
      <c r="K17" s="26">
        <f>IFERROR(__xludf.DUMMYFUNCTION("IF($G17, filter(ghg!$G:$G,(ghg!$B:$B=$A17)*(ghg!$E:$E=$I17)),"""")"),7694918.0)</f>
        <v>7694918</v>
      </c>
      <c r="L17" s="26" t="str">
        <f>IFERROR(__xludf.DUMMYFUNCTION("IF($G17, filter(ghg!$H:$H,(ghg!$B:$B=$A17)*(ghg!$E:$E=$I17)),"""")"),"")</f>
        <v/>
      </c>
      <c r="M17" s="26">
        <f t="shared" si="1"/>
        <v>8829258</v>
      </c>
      <c r="N17" s="52">
        <f>IFERROR(__xludf.DUMMYFUNCTION("IF($G17, filter(targets_quant!$N:$N,targets_quant!$A:$A=$H17),"""")"),0.63)</f>
        <v>0.63</v>
      </c>
      <c r="O17" s="26">
        <f t="shared" si="2"/>
        <v>3266825.46</v>
      </c>
      <c r="P17" s="26">
        <f>VLOOKUP($A17,reporting!$A:$D,COLUMN(reporting!$D:$D),FALSE)</f>
        <v>2019</v>
      </c>
      <c r="Q17" s="26">
        <f>IFERROR(__xludf.DUMMYFUNCTION("IF($G17, filter(ghg!$F:$F,(ghg!$B:$B=$A17)*(ghg!$E:$E=$P17)),"""")"),990955.0)</f>
        <v>990955</v>
      </c>
      <c r="R17" s="26">
        <f>IFERROR(__xludf.DUMMYFUNCTION("IF($G17, filter(ghg!$G:$G,(ghg!$B:$B=$A17)*(ghg!$E:$E=$P17)),"""")"),6015122.0)</f>
        <v>6015122</v>
      </c>
      <c r="S17" s="26">
        <f>IFERROR(__xludf.DUMMYFUNCTION("IF($G17, filter(ghg!$H:$H,(ghg!$B:$B=$A17)*(ghg!$E:$E=$P17)),"""")"),5534088.0)</f>
        <v>5534088</v>
      </c>
      <c r="T17" s="26">
        <f t="shared" si="3"/>
        <v>6525043</v>
      </c>
      <c r="U17" s="53">
        <f t="shared" si="4"/>
        <v>0.04539458124</v>
      </c>
      <c r="V17" s="26"/>
      <c r="W17" s="26"/>
      <c r="X17" s="26"/>
      <c r="Y17" s="26"/>
      <c r="Z17" s="26"/>
      <c r="AA17" s="29">
        <f t="shared" si="5"/>
        <v>0.9078916248</v>
      </c>
      <c r="AB17" s="29">
        <f t="shared" si="6"/>
        <v>0.04539458124</v>
      </c>
      <c r="AC17" s="48"/>
      <c r="AD17" s="25"/>
      <c r="AE17" s="25"/>
      <c r="AF17" s="25"/>
      <c r="AG17" s="25"/>
      <c r="AH17" s="25"/>
      <c r="AI17" s="25"/>
    </row>
    <row r="18" ht="12.75" customHeight="1">
      <c r="A18" s="22">
        <f t="shared" si="7"/>
        <v>16</v>
      </c>
      <c r="B18" s="26"/>
      <c r="C18" s="26"/>
      <c r="D18" s="26"/>
      <c r="E18" s="26"/>
      <c r="F18" s="26"/>
      <c r="G18" s="49" t="str">
        <f>IFERROR(__xludf.DUMMYFUNCTION("IFERROR(min(filter(targets_quant!$P:$P,(targets_quant!$B:$B=test6_1!$A18)*(targets_quant!$F:$F=C$2)*(targets_quant!$J:$J=D$2)*(targets_quant!$G:$G=E$2))),"""")"),"")</f>
        <v/>
      </c>
      <c r="H18" s="26" t="str">
        <f>IFERROR(__xludf.DUMMYFUNCTION("IF(G18, max(filter(targets_quant!$A:$A,(targets_quant!$B:$B=$A18)*(targets_quant!$P:$P=$G18)*(targets_quant!$F:$F=C$2)*(targets_quant!$G:$G=$E$2)*(targets_quant!$J:$J=$D$2))),"""")"),"")</f>
        <v/>
      </c>
      <c r="I18" s="26" t="str">
        <f>IFERROR(__xludf.DUMMYFUNCTION("if(G18, filter(targets_quant!$O:$O,targets_quant!$A:$A=$H18),"""")"),"")</f>
        <v/>
      </c>
      <c r="J18" s="26" t="str">
        <f>IFERROR(__xludf.DUMMYFUNCTION("if(G18, filter(ghg!$F:$F,(ghg!$B:$B=$A18)*(ghg!$E:$E=$I18)),"""")"),"")</f>
        <v/>
      </c>
      <c r="K18" s="26" t="str">
        <f>IFERROR(__xludf.DUMMYFUNCTION("IF($G18, filter(ghg!$G:$G,(ghg!$B:$B=$A18)*(ghg!$E:$E=$I18)),"""")"),"")</f>
        <v/>
      </c>
      <c r="L18" s="26" t="str">
        <f>IFERROR(__xludf.DUMMYFUNCTION("IF($G18, filter(ghg!$H:$H,(ghg!$B:$B=$A18)*(ghg!$E:$E=$I18)),"""")"),"")</f>
        <v/>
      </c>
      <c r="M18" s="26">
        <f t="shared" si="1"/>
        <v>0</v>
      </c>
      <c r="N18" s="26" t="str">
        <f>IFERROR(__xludf.DUMMYFUNCTION("IF($G18, filter(targets_quant!$N:$N,targets_quant!$A:$A=$H18),"""")"),"")</f>
        <v/>
      </c>
      <c r="O18" s="26">
        <f t="shared" si="2"/>
        <v>0</v>
      </c>
      <c r="P18" s="26">
        <f>VLOOKUP($A18,reporting!$A:$D,COLUMN(reporting!$D:$D),FALSE)</f>
        <v>2020</v>
      </c>
      <c r="Q18" s="26" t="str">
        <f>IFERROR(__xludf.DUMMYFUNCTION("IF($G18, filter(ghg!$F:$F,(ghg!$B:$B=$A18)*(ghg!$E:$E=$P18)),"""")"),"")</f>
        <v/>
      </c>
      <c r="R18" s="26" t="str">
        <f>IFERROR(__xludf.DUMMYFUNCTION("IF($G18, filter(ghg!$G:$G,(ghg!$B:$B=$A18)*(ghg!$E:$E=$P18)),"""")"),"")</f>
        <v/>
      </c>
      <c r="S18" s="26" t="str">
        <f>IFERROR(__xludf.DUMMYFUNCTION("IF($G18, filter(ghg!$H:$H,(ghg!$B:$B=$A18)*(ghg!$E:$E=$P18)),"""")"),"")</f>
        <v/>
      </c>
      <c r="T18" s="26">
        <f t="shared" si="3"/>
        <v>0</v>
      </c>
      <c r="U18" s="53" t="str">
        <f t="shared" si="4"/>
        <v/>
      </c>
      <c r="V18" s="26"/>
      <c r="W18" s="26"/>
      <c r="X18" s="26"/>
      <c r="Y18" s="26"/>
      <c r="Z18" s="26"/>
      <c r="AA18" s="29">
        <f t="shared" si="5"/>
        <v>0</v>
      </c>
      <c r="AB18" s="29">
        <f t="shared" si="6"/>
        <v>0</v>
      </c>
      <c r="AC18" s="48"/>
      <c r="AD18" s="25"/>
      <c r="AE18" s="25"/>
      <c r="AF18" s="25"/>
      <c r="AG18" s="25"/>
      <c r="AH18" s="25"/>
      <c r="AI18" s="25"/>
    </row>
    <row r="19" ht="12.75" customHeight="1">
      <c r="A19" s="22">
        <f t="shared" si="7"/>
        <v>17</v>
      </c>
      <c r="B19" s="26"/>
      <c r="C19" s="26"/>
      <c r="D19" s="26"/>
      <c r="E19" s="26"/>
      <c r="F19" s="26"/>
      <c r="G19" s="49" t="str">
        <f>IFERROR(__xludf.DUMMYFUNCTION("IFERROR(min(filter(targets_quant!$P:$P,(targets_quant!$B:$B=test6_1!$A19)*(targets_quant!$F:$F=C$2)*(targets_quant!$J:$J=D$2)*(targets_quant!$G:$G=E$2))),"""")"),"")</f>
        <v/>
      </c>
      <c r="H19" s="26" t="str">
        <f>IFERROR(__xludf.DUMMYFUNCTION("IF(G19, max(filter(targets_quant!$A:$A,(targets_quant!$B:$B=$A19)*(targets_quant!$P:$P=$G19)*(targets_quant!$F:$F=C$2)*(targets_quant!$G:$G=$E$2)*(targets_quant!$J:$J=$D$2))),"""")"),"")</f>
        <v/>
      </c>
      <c r="I19" s="26" t="str">
        <f>IFERROR(__xludf.DUMMYFUNCTION("if(G19, filter(targets_quant!$O:$O,targets_quant!$A:$A=$H19),"""")"),"")</f>
        <v/>
      </c>
      <c r="J19" s="26" t="str">
        <f>IFERROR(__xludf.DUMMYFUNCTION("if(G19, filter(ghg!$F:$F,(ghg!$B:$B=$A19)*(ghg!$E:$E=$I19)),"""")"),"")</f>
        <v/>
      </c>
      <c r="K19" s="26" t="str">
        <f>IFERROR(__xludf.DUMMYFUNCTION("IF($G19, filter(ghg!$G:$G,(ghg!$B:$B=$A19)*(ghg!$E:$E=$I19)),"""")"),"")</f>
        <v/>
      </c>
      <c r="L19" s="26" t="str">
        <f>IFERROR(__xludf.DUMMYFUNCTION("IF($G19, filter(ghg!$H:$H,(ghg!$B:$B=$A19)*(ghg!$E:$E=$I19)),"""")"),"")</f>
        <v/>
      </c>
      <c r="M19" s="26">
        <f t="shared" si="1"/>
        <v>0</v>
      </c>
      <c r="N19" s="26" t="str">
        <f>IFERROR(__xludf.DUMMYFUNCTION("IF($G19, filter(targets_quant!$N:$N,targets_quant!$A:$A=$H19),"""")"),"")</f>
        <v/>
      </c>
      <c r="O19" s="26">
        <f t="shared" si="2"/>
        <v>0</v>
      </c>
      <c r="P19" s="26" t="str">
        <f>VLOOKUP($A19,reporting!$A:$D,COLUMN(reporting!$D:$D),FALSE)</f>
        <v>NR</v>
      </c>
      <c r="Q19" s="26" t="str">
        <f>IFERROR(__xludf.DUMMYFUNCTION("IF($G19, filter(ghg!$F:$F,(ghg!$B:$B=$A19)*(ghg!$E:$E=$P19)),"""")"),"")</f>
        <v/>
      </c>
      <c r="R19" s="26" t="str">
        <f>IFERROR(__xludf.DUMMYFUNCTION("IF($G19, filter(ghg!$G:$G,(ghg!$B:$B=$A19)*(ghg!$E:$E=$P19)),"""")"),"")</f>
        <v/>
      </c>
      <c r="S19" s="26" t="str">
        <f>IFERROR(__xludf.DUMMYFUNCTION("IF($G19, filter(ghg!$H:$H,(ghg!$B:$B=$A19)*(ghg!$E:$E=$P19)),"""")"),"")</f>
        <v/>
      </c>
      <c r="T19" s="26">
        <f t="shared" si="3"/>
        <v>0</v>
      </c>
      <c r="U19" s="53" t="str">
        <f t="shared" si="4"/>
        <v/>
      </c>
      <c r="V19" s="26"/>
      <c r="W19" s="26"/>
      <c r="X19" s="26"/>
      <c r="Y19" s="26"/>
      <c r="Z19" s="26"/>
      <c r="AA19" s="29">
        <f t="shared" si="5"/>
        <v>0</v>
      </c>
      <c r="AB19" s="29">
        <f t="shared" si="6"/>
        <v>0</v>
      </c>
      <c r="AC19" s="48"/>
      <c r="AD19" s="25"/>
      <c r="AE19" s="25"/>
      <c r="AF19" s="25"/>
      <c r="AG19" s="25"/>
      <c r="AH19" s="25"/>
      <c r="AI19" s="25"/>
    </row>
    <row r="20" ht="12.75" customHeight="1">
      <c r="A20" s="22">
        <f t="shared" si="7"/>
        <v>18</v>
      </c>
      <c r="B20" s="26"/>
      <c r="C20" s="26"/>
      <c r="D20" s="26"/>
      <c r="E20" s="26"/>
      <c r="F20" s="26"/>
      <c r="G20" s="49">
        <f>IFERROR(__xludf.DUMMYFUNCTION("IFERROR(min(filter(targets_quant!$P:$P,(targets_quant!$B:$B=test6_1!$A20)*(targets_quant!$F:$F=C$2)*(targets_quant!$J:$J=D$2)*(targets_quant!$G:$G=E$2))),"""")"),2032.0)</f>
        <v>2032</v>
      </c>
      <c r="H20" s="26">
        <f>IFERROR(__xludf.DUMMYFUNCTION("IF(G20, max(filter(targets_quant!$A:$A,(targets_quant!$B:$B=$A20)*(targets_quant!$P:$P=$G20)*(targets_quant!$F:$F=C$2)*(targets_quant!$G:$G=$E$2)*(targets_quant!$J:$J=$D$2))),"""")"),31.0)</f>
        <v>31</v>
      </c>
      <c r="I20" s="26">
        <f>IFERROR(__xludf.DUMMYFUNCTION("if(G20, filter(targets_quant!$O:$O,targets_quant!$A:$A=$H20),"""")"),2019.0)</f>
        <v>2019</v>
      </c>
      <c r="J20" s="26">
        <f>IFERROR(__xludf.DUMMYFUNCTION("if(G20, filter(ghg!$F:$F,(ghg!$B:$B=$A20)*(ghg!$E:$E=$I20)),"""")"),67447.0)</f>
        <v>67447</v>
      </c>
      <c r="K20" s="26">
        <f>IFERROR(__xludf.DUMMYFUNCTION("IF($G20, filter(ghg!$G:$G,(ghg!$B:$B=$A20)*(ghg!$E:$E=$I20)),"""")"),37712.0)</f>
        <v>37712</v>
      </c>
      <c r="L20" s="26">
        <f>IFERROR(__xludf.DUMMYFUNCTION("IF($G20, filter(ghg!$H:$H,(ghg!$B:$B=$A20)*(ghg!$E:$E=$I20)),"""")"),106.0)</f>
        <v>106</v>
      </c>
      <c r="M20" s="26">
        <f t="shared" si="1"/>
        <v>67553</v>
      </c>
      <c r="N20" s="52">
        <f>IFERROR(__xludf.DUMMYFUNCTION("IF($G20, filter(targets_quant!$N:$N,targets_quant!$A:$A=$H20),"""")"),0.55)</f>
        <v>0.55</v>
      </c>
      <c r="O20" s="26">
        <f t="shared" si="2"/>
        <v>30398.85</v>
      </c>
      <c r="P20" s="26">
        <f>VLOOKUP($A20,reporting!$A:$D,COLUMN(reporting!$D:$D),FALSE)</f>
        <v>2020</v>
      </c>
      <c r="Q20" s="26">
        <f>IFERROR(__xludf.DUMMYFUNCTION("IF($G20, filter(ghg!$F:$F,(ghg!$B:$B=$A20)*(ghg!$E:$E=$P20)),"""")"),57553.0)</f>
        <v>57553</v>
      </c>
      <c r="R20" s="26">
        <f>IFERROR(__xludf.DUMMYFUNCTION("IF($G20, filter(ghg!$G:$G,(ghg!$B:$B=$A20)*(ghg!$E:$E=$P20)),"""")"),36953.0)</f>
        <v>36953</v>
      </c>
      <c r="S20" s="26">
        <f>IFERROR(__xludf.DUMMYFUNCTION("IF($G20, filter(ghg!$H:$H,(ghg!$B:$B=$A20)*(ghg!$E:$E=$P20)),"""")"),183.0)</f>
        <v>183</v>
      </c>
      <c r="T20" s="26">
        <f t="shared" si="3"/>
        <v>57736</v>
      </c>
      <c r="U20" s="53">
        <f t="shared" si="4"/>
        <v>0.03945711226</v>
      </c>
      <c r="V20" s="26"/>
      <c r="W20" s="26"/>
      <c r="X20" s="26"/>
      <c r="Y20" s="26"/>
      <c r="Z20" s="26"/>
      <c r="AA20" s="29">
        <f t="shared" si="5"/>
        <v>0.7891422452</v>
      </c>
      <c r="AB20" s="29">
        <f t="shared" si="6"/>
        <v>0.03945711226</v>
      </c>
      <c r="AC20" s="48"/>
      <c r="AD20" s="25"/>
      <c r="AE20" s="25"/>
      <c r="AF20" s="25"/>
      <c r="AG20" s="25"/>
      <c r="AH20" s="25"/>
      <c r="AI20" s="25"/>
    </row>
    <row r="21" ht="12.75" customHeight="1">
      <c r="A21" s="22">
        <f t="shared" si="7"/>
        <v>19</v>
      </c>
      <c r="B21" s="26"/>
      <c r="C21" s="26"/>
      <c r="D21" s="26"/>
      <c r="E21" s="26"/>
      <c r="F21" s="26"/>
      <c r="G21" s="49" t="str">
        <f>IFERROR(__xludf.DUMMYFUNCTION("IFERROR(min(filter(targets_quant!$P:$P,(targets_quant!$B:$B=test6_1!$A21)*(targets_quant!$F:$F=C$2)*(targets_quant!$J:$J=D$2)*(targets_quant!$G:$G=E$2))),"""")"),"")</f>
        <v/>
      </c>
      <c r="H21" s="26" t="str">
        <f>IFERROR(__xludf.DUMMYFUNCTION("IF(G21, max(filter(targets_quant!$A:$A,(targets_quant!$B:$B=$A21)*(targets_quant!$P:$P=$G21)*(targets_quant!$F:$F=C$2)*(targets_quant!$G:$G=$E$2)*(targets_quant!$J:$J=$D$2))),"""")"),"")</f>
        <v/>
      </c>
      <c r="I21" s="26" t="str">
        <f>IFERROR(__xludf.DUMMYFUNCTION("if(G21, filter(targets_quant!$O:$O,targets_quant!$A:$A=$H21),"""")"),"")</f>
        <v/>
      </c>
      <c r="J21" s="26" t="str">
        <f>IFERROR(__xludf.DUMMYFUNCTION("if(G21, filter(ghg!$F:$F,(ghg!$B:$B=$A21)*(ghg!$E:$E=$I21)),"""")"),"")</f>
        <v/>
      </c>
      <c r="K21" s="26" t="str">
        <f>IFERROR(__xludf.DUMMYFUNCTION("IF($G21, filter(ghg!$G:$G,(ghg!$B:$B=$A21)*(ghg!$E:$E=$I21)),"""")"),"")</f>
        <v/>
      </c>
      <c r="L21" s="26" t="str">
        <f>IFERROR(__xludf.DUMMYFUNCTION("IF($G21, filter(ghg!$H:$H,(ghg!$B:$B=$A21)*(ghg!$E:$E=$I21)),"""")"),"")</f>
        <v/>
      </c>
      <c r="M21" s="26">
        <f t="shared" si="1"/>
        <v>0</v>
      </c>
      <c r="N21" s="26" t="str">
        <f>IFERROR(__xludf.DUMMYFUNCTION("IF($G21, filter(targets_quant!$N:$N,targets_quant!$A:$A=$H21),"""")"),"")</f>
        <v/>
      </c>
      <c r="O21" s="26">
        <f t="shared" si="2"/>
        <v>0</v>
      </c>
      <c r="P21" s="26">
        <f>VLOOKUP($A21,reporting!$A:$D,COLUMN(reporting!$D:$D),FALSE)</f>
        <v>2020</v>
      </c>
      <c r="Q21" s="26" t="str">
        <f>IFERROR(__xludf.DUMMYFUNCTION("IF($G21, filter(ghg!$F:$F,(ghg!$B:$B=$A21)*(ghg!$E:$E=$P21)),"""")"),"")</f>
        <v/>
      </c>
      <c r="R21" s="26" t="str">
        <f>IFERROR(__xludf.DUMMYFUNCTION("IF($G21, filter(ghg!$G:$G,(ghg!$B:$B=$A21)*(ghg!$E:$E=$P21)),"""")"),"")</f>
        <v/>
      </c>
      <c r="S21" s="26" t="str">
        <f>IFERROR(__xludf.DUMMYFUNCTION("IF($G21, filter(ghg!$H:$H,(ghg!$B:$B=$A21)*(ghg!$E:$E=$P21)),"""")"),"")</f>
        <v/>
      </c>
      <c r="T21" s="26">
        <f t="shared" si="3"/>
        <v>0</v>
      </c>
      <c r="U21" s="53" t="str">
        <f t="shared" si="4"/>
        <v/>
      </c>
      <c r="V21" s="26"/>
      <c r="W21" s="26"/>
      <c r="X21" s="26"/>
      <c r="Y21" s="26"/>
      <c r="Z21" s="26"/>
      <c r="AA21" s="29">
        <f t="shared" si="5"/>
        <v>0</v>
      </c>
      <c r="AB21" s="29">
        <f t="shared" si="6"/>
        <v>0</v>
      </c>
      <c r="AC21" s="48"/>
      <c r="AD21" s="25"/>
      <c r="AE21" s="25"/>
      <c r="AF21" s="25"/>
      <c r="AG21" s="25"/>
      <c r="AH21" s="25"/>
      <c r="AI21" s="25"/>
    </row>
    <row r="22" ht="12.75" customHeight="1">
      <c r="A22" s="30">
        <v>66.0</v>
      </c>
      <c r="B22" s="26"/>
      <c r="C22" s="26"/>
      <c r="D22" s="26"/>
      <c r="E22" s="26"/>
      <c r="F22" s="26"/>
      <c r="G22" s="49" t="str">
        <f>IFERROR(__xludf.DUMMYFUNCTION("IFERROR(min(filter(targets_quant!$P:$P,(targets_quant!$B:$B=test6_1!$A22)*(targets_quant!$F:$F=C$2)*(targets_quant!$J:$J=D$2)*(targets_quant!$G:$G=E$2))),"""")"),"")</f>
        <v/>
      </c>
      <c r="H22" s="26" t="str">
        <f>IFERROR(__xludf.DUMMYFUNCTION("IF(G22, max(filter(targets_quant!$A:$A,(targets_quant!$B:$B=$A22)*(targets_quant!$P:$P=$G22)*(targets_quant!$F:$F=C$2)*(targets_quant!$G:$G=$E$2)*(targets_quant!$J:$J=$D$2))),"""")"),"")</f>
        <v/>
      </c>
      <c r="I22" s="26" t="str">
        <f>IFERROR(__xludf.DUMMYFUNCTION("if(G22, filter(targets_quant!$O:$O,targets_quant!$A:$A=$H22),"""")"),"")</f>
        <v/>
      </c>
      <c r="J22" s="26" t="str">
        <f>IFERROR(__xludf.DUMMYFUNCTION("if(G22, filter(ghg!$F:$F,(ghg!$B:$B=$A22)*(ghg!$E:$E=$I22)),"""")"),"")</f>
        <v/>
      </c>
      <c r="K22" s="26" t="str">
        <f>IFERROR(__xludf.DUMMYFUNCTION("IF($G22, filter(ghg!$G:$G,(ghg!$B:$B=$A22)*(ghg!$E:$E=$I22)),"""")"),"")</f>
        <v/>
      </c>
      <c r="L22" s="26" t="str">
        <f>IFERROR(__xludf.DUMMYFUNCTION("IF($G22, filter(ghg!$H:$H,(ghg!$B:$B=$A22)*(ghg!$E:$E=$I22)),"""")"),"")</f>
        <v/>
      </c>
      <c r="M22" s="26">
        <f t="shared" si="1"/>
        <v>0</v>
      </c>
      <c r="N22" s="26" t="str">
        <f>IFERROR(__xludf.DUMMYFUNCTION("IF($G22, filter(targets_quant!$N:$N,targets_quant!$A:$A=$H22),"""")"),"")</f>
        <v/>
      </c>
      <c r="O22" s="26">
        <f t="shared" si="2"/>
        <v>0</v>
      </c>
      <c r="P22" s="26">
        <f>VLOOKUP($A22,reporting!$A:$D,COLUMN(reporting!$D:$D),FALSE)</f>
        <v>2020</v>
      </c>
      <c r="Q22" s="26" t="str">
        <f>IFERROR(__xludf.DUMMYFUNCTION("IF($G22, filter(ghg!$F:$F,(ghg!$B:$B=$A22)*(ghg!$E:$E=$P22)),"""")"),"")</f>
        <v/>
      </c>
      <c r="R22" s="26" t="str">
        <f>IFERROR(__xludf.DUMMYFUNCTION("IF($G22, filter(ghg!$G:$G,(ghg!$B:$B=$A22)*(ghg!$E:$E=$P22)),"""")"),"")</f>
        <v/>
      </c>
      <c r="S22" s="26" t="str">
        <f>IFERROR(__xludf.DUMMYFUNCTION("IF($G22, filter(ghg!$H:$H,(ghg!$B:$B=$A22)*(ghg!$E:$E=$P22)),"""")"),"")</f>
        <v/>
      </c>
      <c r="T22" s="26">
        <f t="shared" si="3"/>
        <v>0</v>
      </c>
      <c r="U22" s="53" t="str">
        <f t="shared" si="4"/>
        <v/>
      </c>
      <c r="V22" s="26"/>
      <c r="W22" s="26"/>
      <c r="X22" s="26"/>
      <c r="Y22" s="26"/>
      <c r="Z22" s="26"/>
      <c r="AA22" s="29">
        <f t="shared" si="5"/>
        <v>0</v>
      </c>
      <c r="AB22" s="29">
        <f t="shared" si="6"/>
        <v>0</v>
      </c>
      <c r="AC22" s="48"/>
      <c r="AD22" s="25"/>
      <c r="AE22" s="25"/>
      <c r="AF22" s="25"/>
      <c r="AG22" s="25"/>
      <c r="AH22" s="25"/>
      <c r="AI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c r="R1" s="18"/>
      <c r="S1" s="18"/>
      <c r="T1" s="18"/>
      <c r="U1" s="18"/>
      <c r="V1" s="18"/>
      <c r="W1" s="18"/>
      <c r="X1" s="18"/>
      <c r="Y1" s="18"/>
      <c r="Z1" s="18" t="s">
        <v>602</v>
      </c>
      <c r="AA1" s="18" t="s">
        <v>587</v>
      </c>
      <c r="AB1" s="18" t="s">
        <v>588</v>
      </c>
      <c r="AC1" s="19" t="s">
        <v>531</v>
      </c>
      <c r="AD1" s="20" t="s">
        <v>548</v>
      </c>
      <c r="AE1" s="45"/>
    </row>
    <row r="2">
      <c r="A2" s="22"/>
      <c r="B2" s="23"/>
      <c r="C2" s="23" t="s">
        <v>603</v>
      </c>
      <c r="D2" s="23" t="s">
        <v>593</v>
      </c>
      <c r="E2" s="47" t="s">
        <v>582</v>
      </c>
      <c r="F2" s="47" t="s">
        <v>604</v>
      </c>
      <c r="G2" s="47" t="s">
        <v>601</v>
      </c>
      <c r="H2" s="47" t="s">
        <v>605</v>
      </c>
      <c r="I2" s="47" t="s">
        <v>606</v>
      </c>
      <c r="J2" s="47" t="s">
        <v>607</v>
      </c>
      <c r="K2" s="47" t="s">
        <v>608</v>
      </c>
      <c r="L2" s="47" t="s">
        <v>609</v>
      </c>
      <c r="M2" s="47" t="s">
        <v>618</v>
      </c>
      <c r="N2" s="47" t="s">
        <v>619</v>
      </c>
      <c r="O2" s="47" t="s">
        <v>611</v>
      </c>
      <c r="P2" s="47" t="s">
        <v>612</v>
      </c>
      <c r="Q2" s="47" t="s">
        <v>534</v>
      </c>
      <c r="R2" s="47" t="s">
        <v>613</v>
      </c>
      <c r="S2" s="47" t="s">
        <v>614</v>
      </c>
      <c r="T2" s="47" t="s">
        <v>615</v>
      </c>
      <c r="U2" s="47" t="s">
        <v>620</v>
      </c>
      <c r="V2" s="47" t="s">
        <v>621</v>
      </c>
      <c r="W2" s="47" t="s">
        <v>617</v>
      </c>
      <c r="X2" s="47"/>
      <c r="Y2" s="47"/>
      <c r="Z2" s="47"/>
      <c r="AA2" s="51">
        <v>0.0</v>
      </c>
      <c r="AB2" s="51">
        <v>0.05</v>
      </c>
      <c r="AC2" s="24"/>
      <c r="AD2" s="24">
        <v>0.05</v>
      </c>
      <c r="AE2" s="46"/>
      <c r="AF2" s="25"/>
      <c r="AG2" s="25"/>
      <c r="AH2" s="25"/>
      <c r="AI2" s="25"/>
      <c r="AJ2" s="25"/>
      <c r="AK2" s="25"/>
    </row>
    <row r="3" ht="12.75" customHeight="1">
      <c r="A3" s="22">
        <v>1.0</v>
      </c>
      <c r="B3" s="26"/>
      <c r="C3" s="26"/>
      <c r="D3" s="26"/>
      <c r="E3" s="26"/>
      <c r="F3" s="26"/>
      <c r="G3" s="49" t="str">
        <f>IFERROR(__xludf.DUMMYFUNCTION("IFERROR(min(filter(targets_quant!$P:$P,(targets_quant!$B:$B=test6_2!$A3)*(targets_quant!$F:$F=C$2)*(targets_quant!$J:$J=D$2)*(targets_quant!$G:$G=E$2))),"""")"),"")</f>
        <v/>
      </c>
      <c r="H3" s="26" t="str">
        <f>IFERROR(__xludf.DUMMYFUNCTION("IF(G3, max(filter(targets_quant!$A:$A,(targets_quant!$B:$B=$A3)*(targets_quant!$P:$P=$G3)*(targets_quant!$F:$F=C$2)*(targets_quant!$G:$G=$E$2)*(targets_quant!$J:$J=$D$2))),"""")"),"")</f>
        <v/>
      </c>
      <c r="I3" s="26" t="str">
        <f>IFERROR(__xludf.DUMMYFUNCTION("if(G3, filter(targets_quant!$O:$O,targets_quant!$A:$A=$H3),"""")"),"")</f>
        <v/>
      </c>
      <c r="J3" s="26" t="str">
        <f>IFERROR(__xludf.DUMMYFUNCTION("IF($G3, filter(ghg!$F:$F,(ghg!$B:$B=$A3)*(ghg!$E:$E=$I3)),"""")"),"")</f>
        <v/>
      </c>
      <c r="K3" s="26" t="str">
        <f>IFERROR(__xludf.DUMMYFUNCTION("IF($G3, filter(ghg!$G:$G,(ghg!$B:$B=$A3)*(ghg!$E:$E=$I3)),"""")"),"")</f>
        <v/>
      </c>
      <c r="L3" s="26" t="str">
        <f>IFERROR(__xludf.DUMMYFUNCTION("IF($G3, filter(ghg!$H:$H,(ghg!$B:$B=$A3)*(ghg!$E:$E=$I3)),"""")"),"")</f>
        <v/>
      </c>
      <c r="M3" s="26" t="str">
        <f>IFERROR(__xludf.DUMMYFUNCTION("IF($G3, filter(ghg!$J:$J,(ghg!$B:$B=$A3)*(ghg!$E:$E=$I3)),"""")"),"")</f>
        <v/>
      </c>
      <c r="N3" s="26">
        <f t="shared" ref="N3:N22" si="1">J3+min(K3:L3)+M3</f>
        <v>0</v>
      </c>
      <c r="O3" s="26" t="str">
        <f>IFERROR(__xludf.DUMMYFUNCTION("IF($G3, filter(targets_quant!$N:$N,targets_quant!$A:$A=$H3),"""")"),"")</f>
        <v/>
      </c>
      <c r="P3" s="26">
        <f t="shared" ref="P3:P22" si="2">(1-O3)*N3</f>
        <v>0</v>
      </c>
      <c r="Q3" s="26">
        <f>VLOOKUP($A3,reporting!$A:$D,COLUMN(reporting!$D:$D),FALSE)</f>
        <v>2020</v>
      </c>
      <c r="R3" s="26" t="str">
        <f>IFERROR(__xludf.DUMMYFUNCTION("IF($G3, filter(ghg!$F:$F,(ghg!$B:$B=$A3)*(ghg!$E:$E=$Q3)),"""")"),"")</f>
        <v/>
      </c>
      <c r="S3" s="26" t="str">
        <f>IFERROR(__xludf.DUMMYFUNCTION("IF($G3, filter(ghg!$G:$G,(ghg!$B:$B=$A3)*(ghg!$E:$E=$Q3)),"""")"),"")</f>
        <v/>
      </c>
      <c r="T3" s="26" t="str">
        <f>IFERROR(__xludf.DUMMYFUNCTION("IF($G3, filter(ghg!$H:$H,(ghg!$B:$B=$A3)*(ghg!$E:$E=$Q3)),"""")"),"")</f>
        <v/>
      </c>
      <c r="U3" s="26" t="str">
        <f>IFERROR(__xludf.DUMMYFUNCTION("IF($G3, filter(ghg!$J:$J,(ghg!$B:$B=$A3)*(ghg!$E:$E=$Q3)),"""")"),"")</f>
        <v/>
      </c>
      <c r="V3" s="26">
        <f t="shared" ref="V3:V22" si="3">R3+min(S3:T3)+U3</f>
        <v>0</v>
      </c>
      <c r="W3" s="53" t="str">
        <f t="shared" ref="W3:W22" si="4">IF($G3,max(0,((V3-P3)/V3)/(G3-Q3)),"")</f>
        <v/>
      </c>
      <c r="X3" s="26"/>
      <c r="Y3" s="26"/>
      <c r="Z3" s="26"/>
      <c r="AA3" s="26"/>
      <c r="AB3" s="26"/>
      <c r="AC3" s="29">
        <f t="shared" ref="AC3:AC22" si="5">max(0,min(1,($W3-$AA$2)/$AB$2))</f>
        <v>0</v>
      </c>
      <c r="AD3" s="29">
        <f t="shared" ref="AD3:AD22" si="6">AD$2*AC3</f>
        <v>0</v>
      </c>
      <c r="AE3" s="48"/>
      <c r="AF3" s="25"/>
      <c r="AG3" s="25"/>
      <c r="AH3" s="25"/>
      <c r="AI3" s="25"/>
      <c r="AJ3" s="25"/>
      <c r="AK3" s="25"/>
    </row>
    <row r="4" ht="12.75" customHeight="1">
      <c r="A4" s="22">
        <f t="shared" ref="A4:A21" si="7">A3+1</f>
        <v>2</v>
      </c>
      <c r="B4" s="26"/>
      <c r="C4" s="26"/>
      <c r="D4" s="26"/>
      <c r="E4" s="26"/>
      <c r="F4" s="26"/>
      <c r="G4" s="49" t="str">
        <f>IFERROR(__xludf.DUMMYFUNCTION("IFERROR(min(filter(targets_quant!$P:$P,(targets_quant!$B:$B=test6_2!$A4)*(targets_quant!$F:$F=C$2)*(targets_quant!$J:$J=D$2)*(targets_quant!$G:$G=E$2))),"""")"),"")</f>
        <v/>
      </c>
      <c r="H4" s="26" t="str">
        <f>IFERROR(__xludf.DUMMYFUNCTION("IF(G4, max(filter(targets_quant!$A:$A,(targets_quant!$B:$B=$A4)*(targets_quant!$P:$P=$G4)*(targets_quant!$F:$F=C$2)*(targets_quant!$G:$G=$E$2)*(targets_quant!$J:$J=$D$2))),"""")"),"")</f>
        <v/>
      </c>
      <c r="I4" s="26" t="str">
        <f>IFERROR(__xludf.DUMMYFUNCTION("if(G4, filter(targets_quant!$O:$O,targets_quant!$A:$A=$H4),"""")"),"")</f>
        <v/>
      </c>
      <c r="J4" s="26" t="str">
        <f>IFERROR(__xludf.DUMMYFUNCTION("if(G4, filter(ghg!$F:$F,(ghg!$B:$B=$A4)*(ghg!$E:$E=$I4)),"""")"),"")</f>
        <v/>
      </c>
      <c r="K4" s="26" t="str">
        <f>IFERROR(__xludf.DUMMYFUNCTION("IF($G4, filter(ghg!$G:$G,(ghg!$B:$B=$A4)*(ghg!$E:$E=$I4)),"""")"),"")</f>
        <v/>
      </c>
      <c r="L4" s="26" t="str">
        <f>IFERROR(__xludf.DUMMYFUNCTION("IF($G4, filter(ghg!$H:$H,(ghg!$B:$B=$A4)*(ghg!$E:$E=$I4)),"""")"),"")</f>
        <v/>
      </c>
      <c r="M4" s="26" t="str">
        <f>IFERROR(__xludf.DUMMYFUNCTION("IF($G4, filter(ghg!$J:$J,(ghg!$B:$B=$A4)*(ghg!$E:$E=$I4)),"""")"),"")</f>
        <v/>
      </c>
      <c r="N4" s="26">
        <f t="shared" si="1"/>
        <v>0</v>
      </c>
      <c r="O4" s="26" t="str">
        <f>IFERROR(__xludf.DUMMYFUNCTION("IF($G4, filter(targets_quant!$N:$N,targets_quant!$A:$A=$H4),"""")"),"")</f>
        <v/>
      </c>
      <c r="P4" s="26">
        <f t="shared" si="2"/>
        <v>0</v>
      </c>
      <c r="Q4" s="26">
        <f>VLOOKUP($A4,reporting!$A:$D,COLUMN(reporting!$D:$D),FALSE)</f>
        <v>2020</v>
      </c>
      <c r="R4" s="26" t="str">
        <f>IFERROR(__xludf.DUMMYFUNCTION("IF($G4, filter(ghg!$F:$F,(ghg!$B:$B=$A4)*(ghg!$E:$E=$Q4)),"""")"),"")</f>
        <v/>
      </c>
      <c r="S4" s="26" t="str">
        <f>IFERROR(__xludf.DUMMYFUNCTION("IF($G4, filter(ghg!$G:$G,(ghg!$B:$B=$A4)*(ghg!$E:$E=$Q4)),"""")"),"")</f>
        <v/>
      </c>
      <c r="T4" s="26" t="str">
        <f>IFERROR(__xludf.DUMMYFUNCTION("IF($G4, filter(ghg!$H:$H,(ghg!$B:$B=$A4)*(ghg!$E:$E=$Q4)),"""")"),"")</f>
        <v/>
      </c>
      <c r="U4" s="26" t="str">
        <f>IFERROR(__xludf.DUMMYFUNCTION("IF($G4, filter(ghg!$J:$J,(ghg!$B:$B=$A4)*(ghg!$E:$E=$Q4)),"""")"),"")</f>
        <v/>
      </c>
      <c r="V4" s="26">
        <f t="shared" si="3"/>
        <v>0</v>
      </c>
      <c r="W4" s="53" t="str">
        <f t="shared" si="4"/>
        <v/>
      </c>
      <c r="X4" s="26"/>
      <c r="Y4" s="26"/>
      <c r="Z4" s="26"/>
      <c r="AA4" s="26"/>
      <c r="AB4" s="26"/>
      <c r="AC4" s="29">
        <f t="shared" si="5"/>
        <v>0</v>
      </c>
      <c r="AD4" s="29">
        <f t="shared" si="6"/>
        <v>0</v>
      </c>
      <c r="AE4" s="48"/>
      <c r="AF4" s="25"/>
      <c r="AG4" s="25"/>
      <c r="AH4" s="25"/>
      <c r="AI4" s="25"/>
      <c r="AJ4" s="25"/>
      <c r="AK4" s="25"/>
    </row>
    <row r="5" ht="12.75" customHeight="1">
      <c r="A5" s="22">
        <f t="shared" si="7"/>
        <v>3</v>
      </c>
      <c r="B5" s="26"/>
      <c r="C5" s="26"/>
      <c r="D5" s="26"/>
      <c r="E5" s="26"/>
      <c r="F5" s="26"/>
      <c r="G5" s="49" t="str">
        <f>IFERROR(__xludf.DUMMYFUNCTION("IFERROR(min(filter(targets_quant!$P:$P,(targets_quant!$B:$B=test6_2!$A5)*(targets_quant!$F:$F=C$2)*(targets_quant!$J:$J=D$2)*(targets_quant!$G:$G=E$2))),"""")"),"")</f>
        <v/>
      </c>
      <c r="H5" s="26" t="str">
        <f>IFERROR(__xludf.DUMMYFUNCTION("IF(G5, max(filter(targets_quant!$A:$A,(targets_quant!$B:$B=$A5)*(targets_quant!$P:$P=$G5)*(targets_quant!$F:$F=C$2)*(targets_quant!$G:$G=$E$2)*(targets_quant!$J:$J=$D$2))),"""")"),"")</f>
        <v/>
      </c>
      <c r="I5" s="26" t="str">
        <f>IFERROR(__xludf.DUMMYFUNCTION("if(G5, filter(targets_quant!$O:$O,targets_quant!$A:$A=$H5),"""")"),"")</f>
        <v/>
      </c>
      <c r="J5" s="54" t="str">
        <f>IFERROR(__xludf.DUMMYFUNCTION("if(G5, filter(ghg!$F:$F,(ghg!$B:$B=$A5)*(ghg!$E:$E=$I5)),"""")"),"")</f>
        <v/>
      </c>
      <c r="K5" s="26" t="str">
        <f>IFERROR(__xludf.DUMMYFUNCTION("IF($G5, filter(ghg!$G:$G,(ghg!$B:$B=$A5)*(ghg!$E:$E=$I5)),"""")"),"")</f>
        <v/>
      </c>
      <c r="L5" s="26" t="str">
        <f>IFERROR(__xludf.DUMMYFUNCTION("IF($G5, filter(ghg!$H:$H,(ghg!$B:$B=$A5)*(ghg!$E:$E=$I5)),"""")"),"")</f>
        <v/>
      </c>
      <c r="M5" s="26" t="str">
        <f>IFERROR(__xludf.DUMMYFUNCTION("IF($G5, filter(ghg!$J:$J,(ghg!$B:$B=$A5)*(ghg!$E:$E=$I5)),"""")"),"")</f>
        <v/>
      </c>
      <c r="N5" s="26">
        <f t="shared" si="1"/>
        <v>0</v>
      </c>
      <c r="O5" s="26" t="str">
        <f>IFERROR(__xludf.DUMMYFUNCTION("IF($G5, filter(targets_quant!$N:$N,targets_quant!$A:$A=$H5),"""")"),"")</f>
        <v/>
      </c>
      <c r="P5" s="26">
        <f t="shared" si="2"/>
        <v>0</v>
      </c>
      <c r="Q5" s="26">
        <f>VLOOKUP($A5,reporting!$A:$D,COLUMN(reporting!$D:$D),FALSE)</f>
        <v>2020</v>
      </c>
      <c r="R5" s="26" t="str">
        <f>IFERROR(__xludf.DUMMYFUNCTION("IF($G5, filter(ghg!$F:$F,(ghg!$B:$B=$A5)*(ghg!$E:$E=$Q5)),"""")"),"")</f>
        <v/>
      </c>
      <c r="S5" s="26" t="str">
        <f>IFERROR(__xludf.DUMMYFUNCTION("IF($G5, filter(ghg!$G:$G,(ghg!$B:$B=$A5)*(ghg!$E:$E=$Q5)),"""")"),"")</f>
        <v/>
      </c>
      <c r="T5" s="26" t="str">
        <f>IFERROR(__xludf.DUMMYFUNCTION("IF($G5, filter(ghg!$H:$H,(ghg!$B:$B=$A5)*(ghg!$E:$E=$Q5)),"""")"),"")</f>
        <v/>
      </c>
      <c r="U5" s="26" t="str">
        <f>IFERROR(__xludf.DUMMYFUNCTION("IF($G5, filter(ghg!$J:$J,(ghg!$B:$B=$A5)*(ghg!$E:$E=$Q5)),"""")"),"")</f>
        <v/>
      </c>
      <c r="V5" s="26">
        <f t="shared" si="3"/>
        <v>0</v>
      </c>
      <c r="W5" s="53" t="str">
        <f t="shared" si="4"/>
        <v/>
      </c>
      <c r="X5" s="26"/>
      <c r="Y5" s="26"/>
      <c r="Z5" s="26"/>
      <c r="AA5" s="26"/>
      <c r="AB5" s="26"/>
      <c r="AC5" s="29">
        <f t="shared" si="5"/>
        <v>0</v>
      </c>
      <c r="AD5" s="29">
        <f t="shared" si="6"/>
        <v>0</v>
      </c>
      <c r="AE5" s="48"/>
      <c r="AF5" s="25"/>
      <c r="AG5" s="25"/>
      <c r="AH5" s="25"/>
      <c r="AI5" s="25"/>
      <c r="AJ5" s="25"/>
      <c r="AK5" s="25"/>
    </row>
    <row r="6" ht="12.75" customHeight="1">
      <c r="A6" s="22">
        <f t="shared" si="7"/>
        <v>4</v>
      </c>
      <c r="B6" s="26"/>
      <c r="C6" s="26"/>
      <c r="D6" s="26"/>
      <c r="E6" s="26"/>
      <c r="F6" s="26"/>
      <c r="G6" s="49">
        <f>IFERROR(__xludf.DUMMYFUNCTION("IFERROR(min(filter(targets_quant!$P:$P,(targets_quant!$B:$B=test6_2!$A6)*(targets_quant!$F:$F=C$2)*(targets_quant!$J:$J=D$2)*(targets_quant!$G:$G=E$2))),"""")"),2025.0)</f>
        <v>2025</v>
      </c>
      <c r="H6" s="26">
        <f>IFERROR(__xludf.DUMMYFUNCTION("IF(G6, max(filter(targets_quant!$A:$A,(targets_quant!$B:$B=$A6)*(targets_quant!$P:$P=$G6)*(targets_quant!$F:$F=C$2)*(targets_quant!$G:$G=$E$2)*(targets_quant!$J:$J=$D$2))),"""")"),11.0)</f>
        <v>11</v>
      </c>
      <c r="I6" s="26">
        <f>IFERROR(__xludf.DUMMYFUNCTION("if(G6, filter(targets_quant!$O:$O,targets_quant!$A:$A=$H6),"""")"),2016.0)</f>
        <v>2016</v>
      </c>
      <c r="J6" s="54">
        <f>IFERROR(__xludf.DUMMYFUNCTION("if(G6, filter(ghg!$F:$F,(ghg!$B:$B=$A6)*(ghg!$E:$E=$I6)),"""")"),22183.0)</f>
        <v>22183</v>
      </c>
      <c r="K6" s="26" t="str">
        <f>IFERROR(__xludf.DUMMYFUNCTION("IF($G6, filter(ghg!$G:$G,(ghg!$B:$B=$A6)*(ghg!$E:$E=$I6)),"""")"),"")</f>
        <v/>
      </c>
      <c r="L6" s="26">
        <f>IFERROR(__xludf.DUMMYFUNCTION("IF($G6, filter(ghg!$H:$H,(ghg!$B:$B=$A6)*(ghg!$E:$E=$I6)),"""")"),218855.0)</f>
        <v>218855</v>
      </c>
      <c r="M6" s="26">
        <f>IFERROR(__xludf.DUMMYFUNCTION("IF($G6, filter(ghg!$J:$J,(ghg!$B:$B=$A6)*(ghg!$E:$E=$I6)),"""")"),948756.0)</f>
        <v>948756</v>
      </c>
      <c r="N6" s="26">
        <f t="shared" si="1"/>
        <v>1189794</v>
      </c>
      <c r="O6" s="52">
        <f>IFERROR(__xludf.DUMMYFUNCTION("IF($G6, filter(targets_quant!$N:$N,targets_quant!$A:$A=$H6),"""")"),0.11)</f>
        <v>0.11</v>
      </c>
      <c r="P6" s="26">
        <f t="shared" si="2"/>
        <v>1058916.66</v>
      </c>
      <c r="Q6" s="26">
        <f>VLOOKUP($A6,reporting!$A:$D,COLUMN(reporting!$D:$D),FALSE)</f>
        <v>2020</v>
      </c>
      <c r="R6" s="26">
        <f>IFERROR(__xludf.DUMMYFUNCTION("IF($G6, filter(ghg!$F:$F,(ghg!$B:$B=$A6)*(ghg!$E:$E=$Q6)),"""")"),13945.0)</f>
        <v>13945</v>
      </c>
      <c r="S6" s="26">
        <f>IFERROR(__xludf.DUMMYFUNCTION("IF($G6, filter(ghg!$G:$G,(ghg!$B:$B=$A6)*(ghg!$E:$E=$Q6)),"""")"),228373.0)</f>
        <v>228373</v>
      </c>
      <c r="T6" s="26">
        <f>IFERROR(__xludf.DUMMYFUNCTION("IF($G6, filter(ghg!$H:$H,(ghg!$B:$B=$A6)*(ghg!$E:$E=$Q6)),"""")"),162983.0)</f>
        <v>162983</v>
      </c>
      <c r="U6" s="26">
        <f>IFERROR(__xludf.DUMMYFUNCTION("IF($G6, filter(ghg!$J:$J,(ghg!$B:$B=$A6)*(ghg!$E:$E=$Q6)),"""")"),677994.0)</f>
        <v>677994</v>
      </c>
      <c r="V6" s="26">
        <f t="shared" si="3"/>
        <v>854922</v>
      </c>
      <c r="W6" s="55">
        <f t="shared" si="4"/>
        <v>0</v>
      </c>
      <c r="X6" s="26"/>
      <c r="Y6" s="26"/>
      <c r="Z6" s="26"/>
      <c r="AA6" s="26"/>
      <c r="AB6" s="26"/>
      <c r="AC6" s="29">
        <f t="shared" si="5"/>
        <v>0</v>
      </c>
      <c r="AD6" s="29">
        <f t="shared" si="6"/>
        <v>0</v>
      </c>
      <c r="AE6" s="48"/>
      <c r="AF6" s="25"/>
      <c r="AG6" s="25"/>
      <c r="AH6" s="25"/>
      <c r="AI6" s="25"/>
      <c r="AJ6" s="25"/>
      <c r="AK6" s="25"/>
    </row>
    <row r="7" ht="12.75" customHeight="1">
      <c r="A7" s="22">
        <f t="shared" si="7"/>
        <v>5</v>
      </c>
      <c r="B7" s="26"/>
      <c r="C7" s="26"/>
      <c r="D7" s="26"/>
      <c r="E7" s="26"/>
      <c r="F7" s="26"/>
      <c r="G7" s="49" t="str">
        <f>IFERROR(__xludf.DUMMYFUNCTION("IFERROR(min(filter(targets_quant!$P:$P,(targets_quant!$B:$B=test6_2!$A7)*(targets_quant!$F:$F=C$2)*(targets_quant!$J:$J=D$2)*(targets_quant!$G:$G=E$2))),"""")"),"")</f>
        <v/>
      </c>
      <c r="H7" s="26" t="str">
        <f>IFERROR(__xludf.DUMMYFUNCTION("IF(G7, max(filter(targets_quant!$A:$A,(targets_quant!$B:$B=$A7)*(targets_quant!$P:$P=$G7)*(targets_quant!$F:$F=C$2)*(targets_quant!$G:$G=$E$2)*(targets_quant!$J:$J=$D$2))),"""")"),"")</f>
        <v/>
      </c>
      <c r="I7" s="26" t="str">
        <f>IFERROR(__xludf.DUMMYFUNCTION("if(G7, filter(targets_quant!$O:$O,targets_quant!$A:$A=$H7),"""")"),"")</f>
        <v/>
      </c>
      <c r="J7" s="26" t="str">
        <f>IFERROR(__xludf.DUMMYFUNCTION("if(G7, filter(ghg!$F:$F,(ghg!$B:$B=$A7)*(ghg!$E:$E=$I7)),"""")"),"")</f>
        <v/>
      </c>
      <c r="K7" s="26" t="str">
        <f>IFERROR(__xludf.DUMMYFUNCTION("IF($G7, filter(ghg!$G:$G,(ghg!$B:$B=$A7)*(ghg!$E:$E=$I7)),"""")"),"")</f>
        <v/>
      </c>
      <c r="L7" s="26" t="str">
        <f>IFERROR(__xludf.DUMMYFUNCTION("IF($G7, filter(ghg!$H:$H,(ghg!$B:$B=$A7)*(ghg!$E:$E=$I7)),"""")"),"")</f>
        <v/>
      </c>
      <c r="M7" s="26" t="str">
        <f>IFERROR(__xludf.DUMMYFUNCTION("IF($G7, filter(ghg!$J:$J,(ghg!$B:$B=$A7)*(ghg!$E:$E=$I7)),"""")"),"")</f>
        <v/>
      </c>
      <c r="N7" s="26">
        <f t="shared" si="1"/>
        <v>0</v>
      </c>
      <c r="O7" s="26" t="str">
        <f>IFERROR(__xludf.DUMMYFUNCTION("IF($G7, filter(targets_quant!$N:$N,targets_quant!$A:$A=$H7),"""")"),"")</f>
        <v/>
      </c>
      <c r="P7" s="26">
        <f t="shared" si="2"/>
        <v>0</v>
      </c>
      <c r="Q7" s="26">
        <f>VLOOKUP($A7,reporting!$A:$D,COLUMN(reporting!$D:$D),FALSE)</f>
        <v>2020</v>
      </c>
      <c r="R7" s="26" t="str">
        <f>IFERROR(__xludf.DUMMYFUNCTION("IF($G7, filter(ghg!$F:$F,(ghg!$B:$B=$A7)*(ghg!$E:$E=$Q7)),"""")"),"")</f>
        <v/>
      </c>
      <c r="S7" s="26" t="str">
        <f>IFERROR(__xludf.DUMMYFUNCTION("IF($G7, filter(ghg!$G:$G,(ghg!$B:$B=$A7)*(ghg!$E:$E=$Q7)),"""")"),"")</f>
        <v/>
      </c>
      <c r="T7" s="26" t="str">
        <f>IFERROR(__xludf.DUMMYFUNCTION("IF($G7, filter(ghg!$H:$H,(ghg!$B:$B=$A7)*(ghg!$E:$E=$Q7)),"""")"),"")</f>
        <v/>
      </c>
      <c r="U7" s="26" t="str">
        <f>IFERROR(__xludf.DUMMYFUNCTION("IF($G7, filter(ghg!$J:$J,(ghg!$B:$B=$A7)*(ghg!$E:$E=$Q7)),"""")"),"")</f>
        <v/>
      </c>
      <c r="V7" s="26">
        <f t="shared" si="3"/>
        <v>0</v>
      </c>
      <c r="W7" s="53" t="str">
        <f t="shared" si="4"/>
        <v/>
      </c>
      <c r="X7" s="26"/>
      <c r="Y7" s="26"/>
      <c r="Z7" s="26"/>
      <c r="AA7" s="26"/>
      <c r="AB7" s="26"/>
      <c r="AC7" s="29">
        <f t="shared" si="5"/>
        <v>0</v>
      </c>
      <c r="AD7" s="29">
        <f t="shared" si="6"/>
        <v>0</v>
      </c>
      <c r="AE7" s="48"/>
      <c r="AF7" s="25"/>
      <c r="AG7" s="25"/>
      <c r="AH7" s="25"/>
      <c r="AI7" s="25"/>
      <c r="AJ7" s="25"/>
      <c r="AK7" s="25"/>
    </row>
    <row r="8" ht="12.75" customHeight="1">
      <c r="A8" s="22">
        <f t="shared" si="7"/>
        <v>6</v>
      </c>
      <c r="B8" s="26"/>
      <c r="C8" s="26"/>
      <c r="D8" s="26"/>
      <c r="E8" s="26"/>
      <c r="F8" s="26"/>
      <c r="G8" s="49" t="str">
        <f>IFERROR(__xludf.DUMMYFUNCTION("IFERROR(min(filter(targets_quant!$P:$P,(targets_quant!$B:$B=test6_2!$A8)*(targets_quant!$F:$F=C$2)*(targets_quant!$J:$J=D$2)*(targets_quant!$G:$G=E$2))),"""")"),"")</f>
        <v/>
      </c>
      <c r="H8" s="26" t="str">
        <f>IFERROR(__xludf.DUMMYFUNCTION("IF(G8, max(filter(targets_quant!$A:$A,(targets_quant!$B:$B=$A8)*(targets_quant!$P:$P=$G8)*(targets_quant!$F:$F=C$2)*(targets_quant!$G:$G=$E$2)*(targets_quant!$J:$J=$D$2))),"""")"),"")</f>
        <v/>
      </c>
      <c r="I8" s="26" t="str">
        <f>IFERROR(__xludf.DUMMYFUNCTION("if(G8, filter(targets_quant!$O:$O,targets_quant!$A:$A=$H8),"""")"),"")</f>
        <v/>
      </c>
      <c r="J8" s="26" t="str">
        <f>IFERROR(__xludf.DUMMYFUNCTION("if(G8, filter(ghg!$F:$F,(ghg!$B:$B=$A8)*(ghg!$E:$E=$I8)),"""")"),"")</f>
        <v/>
      </c>
      <c r="K8" s="26" t="str">
        <f>IFERROR(__xludf.DUMMYFUNCTION("IF($G8, filter(ghg!$G:$G,(ghg!$B:$B=$A8)*(ghg!$E:$E=$I8)),"""")"),"")</f>
        <v/>
      </c>
      <c r="L8" s="26" t="str">
        <f>IFERROR(__xludf.DUMMYFUNCTION("IF($G8, filter(ghg!$H:$H,(ghg!$B:$B=$A8)*(ghg!$E:$E=$I8)),"""")"),"")</f>
        <v/>
      </c>
      <c r="M8" s="26" t="str">
        <f>IFERROR(__xludf.DUMMYFUNCTION("IF($G8, filter(ghg!$J:$J,(ghg!$B:$B=$A8)*(ghg!$E:$E=$I8)),"""")"),"")</f>
        <v/>
      </c>
      <c r="N8" s="26">
        <f t="shared" si="1"/>
        <v>0</v>
      </c>
      <c r="O8" s="26" t="str">
        <f>IFERROR(__xludf.DUMMYFUNCTION("IF($G8, filter(targets_quant!$N:$N,targets_quant!$A:$A=$H8),"""")"),"")</f>
        <v/>
      </c>
      <c r="P8" s="26">
        <f t="shared" si="2"/>
        <v>0</v>
      </c>
      <c r="Q8" s="26">
        <f>VLOOKUP($A8,reporting!$A:$D,COLUMN(reporting!$D:$D),FALSE)</f>
        <v>2020</v>
      </c>
      <c r="R8" s="26" t="str">
        <f>IFERROR(__xludf.DUMMYFUNCTION("IF($G8, filter(ghg!$F:$F,(ghg!$B:$B=$A8)*(ghg!$E:$E=$Q8)),"""")"),"")</f>
        <v/>
      </c>
      <c r="S8" s="26" t="str">
        <f>IFERROR(__xludf.DUMMYFUNCTION("IF($G8, filter(ghg!$G:$G,(ghg!$B:$B=$A8)*(ghg!$E:$E=$Q8)),"""")"),"")</f>
        <v/>
      </c>
      <c r="T8" s="26" t="str">
        <f>IFERROR(__xludf.DUMMYFUNCTION("IF($G8, filter(ghg!$H:$H,(ghg!$B:$B=$A8)*(ghg!$E:$E=$Q8)),"""")"),"")</f>
        <v/>
      </c>
      <c r="U8" s="26" t="str">
        <f>IFERROR(__xludf.DUMMYFUNCTION("IF($G8, filter(ghg!$J:$J,(ghg!$B:$B=$A8)*(ghg!$E:$E=$Q8)),"""")"),"")</f>
        <v/>
      </c>
      <c r="V8" s="26">
        <f t="shared" si="3"/>
        <v>0</v>
      </c>
      <c r="W8" s="53" t="str">
        <f t="shared" si="4"/>
        <v/>
      </c>
      <c r="X8" s="26"/>
      <c r="Y8" s="26"/>
      <c r="Z8" s="26"/>
      <c r="AA8" s="26"/>
      <c r="AB8" s="26"/>
      <c r="AC8" s="29">
        <f t="shared" si="5"/>
        <v>0</v>
      </c>
      <c r="AD8" s="29">
        <f t="shared" si="6"/>
        <v>0</v>
      </c>
      <c r="AE8" s="48"/>
      <c r="AF8" s="25"/>
      <c r="AG8" s="25"/>
      <c r="AH8" s="25"/>
      <c r="AI8" s="25"/>
      <c r="AJ8" s="25"/>
      <c r="AK8" s="25"/>
    </row>
    <row r="9" ht="12.75" customHeight="1">
      <c r="A9" s="22">
        <f t="shared" si="7"/>
        <v>7</v>
      </c>
      <c r="B9" s="26"/>
      <c r="C9" s="26"/>
      <c r="D9" s="26"/>
      <c r="E9" s="26"/>
      <c r="F9" s="26"/>
      <c r="G9" s="49" t="str">
        <f>IFERROR(__xludf.DUMMYFUNCTION("IFERROR(min(filter(targets_quant!$P:$P,(targets_quant!$B:$B=test6_2!$A9)*(targets_quant!$F:$F=C$2)*(targets_quant!$J:$J=D$2)*(targets_quant!$G:$G=E$2))),"""")"),"")</f>
        <v/>
      </c>
      <c r="H9" s="26" t="str">
        <f>IFERROR(__xludf.DUMMYFUNCTION("IF(G9, max(filter(targets_quant!$A:$A,(targets_quant!$B:$B=$A9)*(targets_quant!$P:$P=$G9)*(targets_quant!$F:$F=C$2)*(targets_quant!$G:$G=$E$2)*(targets_quant!$J:$J=$D$2))),"""")"),"")</f>
        <v/>
      </c>
      <c r="I9" s="26" t="str">
        <f>IFERROR(__xludf.DUMMYFUNCTION("if(G9, filter(targets_quant!$O:$O,targets_quant!$A:$A=$H9),"""")"),"")</f>
        <v/>
      </c>
      <c r="J9" s="26" t="str">
        <f>IFERROR(__xludf.DUMMYFUNCTION("if(G9, filter(ghg!$F:$F,(ghg!$B:$B=$A9)*(ghg!$E:$E=$I9)),"""")"),"")</f>
        <v/>
      </c>
      <c r="K9" s="26" t="str">
        <f>IFERROR(__xludf.DUMMYFUNCTION("IF($G9, filter(ghg!$G:$G,(ghg!$B:$B=$A9)*(ghg!$E:$E=$I9)),"""")"),"")</f>
        <v/>
      </c>
      <c r="L9" s="26" t="str">
        <f>IFERROR(__xludf.DUMMYFUNCTION("IF($G9, filter(ghg!$H:$H,(ghg!$B:$B=$A9)*(ghg!$E:$E=$I9)),"""")"),"")</f>
        <v/>
      </c>
      <c r="M9" s="26" t="str">
        <f>IFERROR(__xludf.DUMMYFUNCTION("IF($G9, filter(ghg!$J:$J,(ghg!$B:$B=$A9)*(ghg!$E:$E=$I9)),"""")"),"")</f>
        <v/>
      </c>
      <c r="N9" s="26">
        <f t="shared" si="1"/>
        <v>0</v>
      </c>
      <c r="O9" s="26" t="str">
        <f>IFERROR(__xludf.DUMMYFUNCTION("IF($G9, filter(targets_quant!$N:$N,targets_quant!$A:$A=$H9),"""")"),"")</f>
        <v/>
      </c>
      <c r="P9" s="26">
        <f t="shared" si="2"/>
        <v>0</v>
      </c>
      <c r="Q9" s="26">
        <f>VLOOKUP($A9,reporting!$A:$D,COLUMN(reporting!$D:$D),FALSE)</f>
        <v>2019</v>
      </c>
      <c r="R9" s="26" t="str">
        <f>IFERROR(__xludf.DUMMYFUNCTION("IF($G9, filter(ghg!$F:$F,(ghg!$B:$B=$A9)*(ghg!$E:$E=$Q9)),"""")"),"")</f>
        <v/>
      </c>
      <c r="S9" s="26" t="str">
        <f>IFERROR(__xludf.DUMMYFUNCTION("IF($G9, filter(ghg!$G:$G,(ghg!$B:$B=$A9)*(ghg!$E:$E=$Q9)),"""")"),"")</f>
        <v/>
      </c>
      <c r="T9" s="26" t="str">
        <f>IFERROR(__xludf.DUMMYFUNCTION("IF($G9, filter(ghg!$H:$H,(ghg!$B:$B=$A9)*(ghg!$E:$E=$Q9)),"""")"),"")</f>
        <v/>
      </c>
      <c r="U9" s="26" t="str">
        <f>IFERROR(__xludf.DUMMYFUNCTION("IF($G9, filter(ghg!$J:$J,(ghg!$B:$B=$A9)*(ghg!$E:$E=$Q9)),"""")"),"")</f>
        <v/>
      </c>
      <c r="V9" s="26">
        <f t="shared" si="3"/>
        <v>0</v>
      </c>
      <c r="W9" s="53" t="str">
        <f t="shared" si="4"/>
        <v/>
      </c>
      <c r="X9" s="26"/>
      <c r="Y9" s="26"/>
      <c r="Z9" s="26"/>
      <c r="AA9" s="26"/>
      <c r="AB9" s="26"/>
      <c r="AC9" s="29">
        <f t="shared" si="5"/>
        <v>0</v>
      </c>
      <c r="AD9" s="29">
        <f t="shared" si="6"/>
        <v>0</v>
      </c>
      <c r="AE9" s="48"/>
      <c r="AF9" s="25"/>
      <c r="AG9" s="25"/>
      <c r="AH9" s="25"/>
      <c r="AI9" s="25"/>
      <c r="AJ9" s="25"/>
      <c r="AK9" s="25"/>
    </row>
    <row r="10" ht="12.75" customHeight="1">
      <c r="A10" s="22">
        <f t="shared" si="7"/>
        <v>8</v>
      </c>
      <c r="B10" s="26"/>
      <c r="C10" s="26"/>
      <c r="D10" s="26"/>
      <c r="E10" s="26"/>
      <c r="F10" s="26"/>
      <c r="G10" s="49" t="str">
        <f>IFERROR(__xludf.DUMMYFUNCTION("IFERROR(min(filter(targets_quant!$P:$P,(targets_quant!$B:$B=test6_2!$A10)*(targets_quant!$F:$F=C$2)*(targets_quant!$J:$J=D$2)*(targets_quant!$G:$G=E$2))),"""")"),"")</f>
        <v/>
      </c>
      <c r="H10" s="26" t="str">
        <f>IFERROR(__xludf.DUMMYFUNCTION("IF(G10, max(filter(targets_quant!$A:$A,(targets_quant!$B:$B=$A10)*(targets_quant!$P:$P=$G10)*(targets_quant!$F:$F=C$2)*(targets_quant!$G:$G=$E$2)*(targets_quant!$J:$J=$D$2))),"""")"),"")</f>
        <v/>
      </c>
      <c r="I10" s="26" t="str">
        <f>IFERROR(__xludf.DUMMYFUNCTION("if(G10, filter(targets_quant!$O:$O,targets_quant!$A:$A=$H10),"""")"),"")</f>
        <v/>
      </c>
      <c r="J10" s="26" t="str">
        <f>IFERROR(__xludf.DUMMYFUNCTION("if(G10, filter(ghg!$F:$F,(ghg!$B:$B=$A10)*(ghg!$E:$E=$I10)),"""")"),"")</f>
        <v/>
      </c>
      <c r="K10" s="26" t="str">
        <f>IFERROR(__xludf.DUMMYFUNCTION("IF($G10, filter(ghg!$G:$G,(ghg!$B:$B=$A10)*(ghg!$E:$E=$I10)),"""")"),"")</f>
        <v/>
      </c>
      <c r="L10" s="26" t="str">
        <f>IFERROR(__xludf.DUMMYFUNCTION("IF($G10, filter(ghg!$H:$H,(ghg!$B:$B=$A10)*(ghg!$E:$E=$I10)),"""")"),"")</f>
        <v/>
      </c>
      <c r="M10" s="26" t="str">
        <f>IFERROR(__xludf.DUMMYFUNCTION("IF($G10, filter(ghg!$J:$J,(ghg!$B:$B=$A10)*(ghg!$E:$E=$I10)),"""")"),"")</f>
        <v/>
      </c>
      <c r="N10" s="26">
        <f t="shared" si="1"/>
        <v>0</v>
      </c>
      <c r="O10" s="26" t="str">
        <f>IFERROR(__xludf.DUMMYFUNCTION("IF($G10, filter(targets_quant!$N:$N,targets_quant!$A:$A=$H10),"""")"),"")</f>
        <v/>
      </c>
      <c r="P10" s="26">
        <f t="shared" si="2"/>
        <v>0</v>
      </c>
      <c r="Q10" s="26">
        <f>VLOOKUP($A10,reporting!$A:$D,COLUMN(reporting!$D:$D),FALSE)</f>
        <v>2020</v>
      </c>
      <c r="R10" s="26" t="str">
        <f>IFERROR(__xludf.DUMMYFUNCTION("IF($G10, filter(ghg!$F:$F,(ghg!$B:$B=$A10)*(ghg!$E:$E=$Q10)),"""")"),"")</f>
        <v/>
      </c>
      <c r="S10" s="26" t="str">
        <f>IFERROR(__xludf.DUMMYFUNCTION("IF($G10, filter(ghg!$G:$G,(ghg!$B:$B=$A10)*(ghg!$E:$E=$Q10)),"""")"),"")</f>
        <v/>
      </c>
      <c r="T10" s="26" t="str">
        <f>IFERROR(__xludf.DUMMYFUNCTION("IF($G10, filter(ghg!$H:$H,(ghg!$B:$B=$A10)*(ghg!$E:$E=$Q10)),"""")"),"")</f>
        <v/>
      </c>
      <c r="U10" s="26" t="str">
        <f>IFERROR(__xludf.DUMMYFUNCTION("IF($G10, filter(ghg!$J:$J,(ghg!$B:$B=$A10)*(ghg!$E:$E=$Q10)),"""")"),"")</f>
        <v/>
      </c>
      <c r="V10" s="26">
        <f t="shared" si="3"/>
        <v>0</v>
      </c>
      <c r="W10" s="53" t="str">
        <f t="shared" si="4"/>
        <v/>
      </c>
      <c r="X10" s="26"/>
      <c r="Y10" s="26"/>
      <c r="Z10" s="26"/>
      <c r="AA10" s="26"/>
      <c r="AB10" s="26"/>
      <c r="AC10" s="29">
        <f t="shared" si="5"/>
        <v>0</v>
      </c>
      <c r="AD10" s="29">
        <f t="shared" si="6"/>
        <v>0</v>
      </c>
      <c r="AE10" s="48"/>
      <c r="AF10" s="25"/>
      <c r="AG10" s="25"/>
      <c r="AH10" s="25"/>
      <c r="AI10" s="25"/>
      <c r="AJ10" s="25"/>
      <c r="AK10" s="25"/>
    </row>
    <row r="11" ht="12.75" customHeight="1">
      <c r="A11" s="22">
        <f t="shared" si="7"/>
        <v>9</v>
      </c>
      <c r="B11" s="26"/>
      <c r="C11" s="26"/>
      <c r="D11" s="26"/>
      <c r="E11" s="26"/>
      <c r="F11" s="26"/>
      <c r="G11" s="49" t="str">
        <f>IFERROR(__xludf.DUMMYFUNCTION("IFERROR(min(filter(targets_quant!$P:$P,(targets_quant!$B:$B=test6_2!$A11)*(targets_quant!$F:$F=C$2)*(targets_quant!$J:$J=D$2)*(targets_quant!$G:$G=E$2))),"""")"),"")</f>
        <v/>
      </c>
      <c r="H11" s="26" t="str">
        <f>IFERROR(__xludf.DUMMYFUNCTION("IF(G11, max(filter(targets_quant!$A:$A,(targets_quant!$B:$B=$A11)*(targets_quant!$P:$P=$G11)*(targets_quant!$F:$F=C$2)*(targets_quant!$G:$G=$E$2)*(targets_quant!$J:$J=$D$2))),"""")"),"")</f>
        <v/>
      </c>
      <c r="I11" s="26" t="str">
        <f>IFERROR(__xludf.DUMMYFUNCTION("if(G11, filter(targets_quant!$O:$O,targets_quant!$A:$A=$H11),"""")"),"")</f>
        <v/>
      </c>
      <c r="J11" s="26" t="str">
        <f>IFERROR(__xludf.DUMMYFUNCTION("if(G11, filter(ghg!$F:$F,(ghg!$B:$B=$A11)*(ghg!$E:$E=$I11)),"""")"),"")</f>
        <v/>
      </c>
      <c r="K11" s="26" t="str">
        <f>IFERROR(__xludf.DUMMYFUNCTION("IF($G11, filter(ghg!$G:$G,(ghg!$B:$B=$A11)*(ghg!$E:$E=$I11)),"""")"),"")</f>
        <v/>
      </c>
      <c r="L11" s="26" t="str">
        <f>IFERROR(__xludf.DUMMYFUNCTION("IF($G11, filter(ghg!$H:$H,(ghg!$B:$B=$A11)*(ghg!$E:$E=$I11)),"""")"),"")</f>
        <v/>
      </c>
      <c r="M11" s="26" t="str">
        <f>IFERROR(__xludf.DUMMYFUNCTION("IF($G11, filter(ghg!$J:$J,(ghg!$B:$B=$A11)*(ghg!$E:$E=$I11)),"""")"),"")</f>
        <v/>
      </c>
      <c r="N11" s="26">
        <f t="shared" si="1"/>
        <v>0</v>
      </c>
      <c r="O11" s="26" t="str">
        <f>IFERROR(__xludf.DUMMYFUNCTION("IF($G11, filter(targets_quant!$N:$N,targets_quant!$A:$A=$H11),"""")"),"")</f>
        <v/>
      </c>
      <c r="P11" s="26">
        <f t="shared" si="2"/>
        <v>0</v>
      </c>
      <c r="Q11" s="26">
        <f>VLOOKUP($A11,reporting!$A:$D,COLUMN(reporting!$D:$D),FALSE)</f>
        <v>2020</v>
      </c>
      <c r="R11" s="26" t="str">
        <f>IFERROR(__xludf.DUMMYFUNCTION("IF($G11, filter(ghg!$F:$F,(ghg!$B:$B=$A11)*(ghg!$E:$E=$Q11)),"""")"),"")</f>
        <v/>
      </c>
      <c r="S11" s="26" t="str">
        <f>IFERROR(__xludf.DUMMYFUNCTION("IF($G11, filter(ghg!$G:$G,(ghg!$B:$B=$A11)*(ghg!$E:$E=$Q11)),"""")"),"")</f>
        <v/>
      </c>
      <c r="T11" s="26" t="str">
        <f>IFERROR(__xludf.DUMMYFUNCTION("IF($G11, filter(ghg!$H:$H,(ghg!$B:$B=$A11)*(ghg!$E:$E=$Q11)),"""")"),"")</f>
        <v/>
      </c>
      <c r="U11" s="26" t="str">
        <f>IFERROR(__xludf.DUMMYFUNCTION("IF($G11, filter(ghg!$J:$J,(ghg!$B:$B=$A11)*(ghg!$E:$E=$Q11)),"""")"),"")</f>
        <v/>
      </c>
      <c r="V11" s="26">
        <f t="shared" si="3"/>
        <v>0</v>
      </c>
      <c r="W11" s="53" t="str">
        <f t="shared" si="4"/>
        <v/>
      </c>
      <c r="X11" s="26"/>
      <c r="Y11" s="26"/>
      <c r="Z11" s="26"/>
      <c r="AA11" s="26"/>
      <c r="AB11" s="26"/>
      <c r="AC11" s="29">
        <f t="shared" si="5"/>
        <v>0</v>
      </c>
      <c r="AD11" s="29">
        <f t="shared" si="6"/>
        <v>0</v>
      </c>
      <c r="AE11" s="48"/>
      <c r="AF11" s="25"/>
      <c r="AG11" s="25"/>
      <c r="AH11" s="25"/>
      <c r="AI11" s="25"/>
      <c r="AJ11" s="25"/>
      <c r="AK11" s="25"/>
    </row>
    <row r="12" ht="12.75" customHeight="1">
      <c r="A12" s="22">
        <f t="shared" si="7"/>
        <v>10</v>
      </c>
      <c r="B12" s="26"/>
      <c r="C12" s="26"/>
      <c r="D12" s="26"/>
      <c r="E12" s="26"/>
      <c r="F12" s="26"/>
      <c r="G12" s="49" t="str">
        <f>IFERROR(__xludf.DUMMYFUNCTION("IFERROR(min(filter(targets_quant!$P:$P,(targets_quant!$B:$B=test6_2!$A12)*(targets_quant!$F:$F=C$2)*(targets_quant!$J:$J=D$2)*(targets_quant!$G:$G=E$2))),"""")"),"")</f>
        <v/>
      </c>
      <c r="H12" s="26" t="str">
        <f>IFERROR(__xludf.DUMMYFUNCTION("IF(G12, max(filter(targets_quant!$A:$A,(targets_quant!$B:$B=$A12)*(targets_quant!$P:$P=$G12)*(targets_quant!$F:$F=C$2)*(targets_quant!$G:$G=$E$2)*(targets_quant!$J:$J=$D$2))),"""")"),"")</f>
        <v/>
      </c>
      <c r="I12" s="26" t="str">
        <f>IFERROR(__xludf.DUMMYFUNCTION("if(G12, filter(targets_quant!$O:$O,targets_quant!$A:$A=$H12),"""")"),"")</f>
        <v/>
      </c>
      <c r="J12" s="26" t="str">
        <f>IFERROR(__xludf.DUMMYFUNCTION("if(G12, filter(ghg!$F:$F,(ghg!$B:$B=$A12)*(ghg!$E:$E=$I12)),"""")"),"")</f>
        <v/>
      </c>
      <c r="K12" s="26" t="str">
        <f>IFERROR(__xludf.DUMMYFUNCTION("IF($G12, filter(ghg!$G:$G,(ghg!$B:$B=$A12)*(ghg!$E:$E=$I12)),"""")"),"")</f>
        <v/>
      </c>
      <c r="L12" s="26" t="str">
        <f>IFERROR(__xludf.DUMMYFUNCTION("IF($G12, filter(ghg!$H:$H,(ghg!$B:$B=$A12)*(ghg!$E:$E=$I12)),"""")"),"")</f>
        <v/>
      </c>
      <c r="M12" s="26" t="str">
        <f>IFERROR(__xludf.DUMMYFUNCTION("IF($G12, filter(ghg!$J:$J,(ghg!$B:$B=$A12)*(ghg!$E:$E=$I12)),"""")"),"")</f>
        <v/>
      </c>
      <c r="N12" s="26">
        <f t="shared" si="1"/>
        <v>0</v>
      </c>
      <c r="O12" s="26" t="str">
        <f>IFERROR(__xludf.DUMMYFUNCTION("IF($G12, filter(targets_quant!$N:$N,targets_quant!$A:$A=$H12),"""")"),"")</f>
        <v/>
      </c>
      <c r="P12" s="26">
        <f t="shared" si="2"/>
        <v>0</v>
      </c>
      <c r="Q12" s="26">
        <f>VLOOKUP($A12,reporting!$A:$D,COLUMN(reporting!$D:$D),FALSE)</f>
        <v>2019</v>
      </c>
      <c r="R12" s="26" t="str">
        <f>IFERROR(__xludf.DUMMYFUNCTION("IF($G12, filter(ghg!$F:$F,(ghg!$B:$B=$A12)*(ghg!$E:$E=$Q12)),"""")"),"")</f>
        <v/>
      </c>
      <c r="S12" s="26" t="str">
        <f>IFERROR(__xludf.DUMMYFUNCTION("IF($G12, filter(ghg!$G:$G,(ghg!$B:$B=$A12)*(ghg!$E:$E=$Q12)),"""")"),"")</f>
        <v/>
      </c>
      <c r="T12" s="26" t="str">
        <f>IFERROR(__xludf.DUMMYFUNCTION("IF($G12, filter(ghg!$H:$H,(ghg!$B:$B=$A12)*(ghg!$E:$E=$Q12)),"""")"),"")</f>
        <v/>
      </c>
      <c r="U12" s="26" t="str">
        <f>IFERROR(__xludf.DUMMYFUNCTION("IF($G12, filter(ghg!$J:$J,(ghg!$B:$B=$A12)*(ghg!$E:$E=$Q12)),"""")"),"")</f>
        <v/>
      </c>
      <c r="V12" s="26">
        <f t="shared" si="3"/>
        <v>0</v>
      </c>
      <c r="W12" s="53" t="str">
        <f t="shared" si="4"/>
        <v/>
      </c>
      <c r="X12" s="26"/>
      <c r="Y12" s="26"/>
      <c r="Z12" s="26"/>
      <c r="AA12" s="26"/>
      <c r="AB12" s="26"/>
      <c r="AC12" s="29">
        <f t="shared" si="5"/>
        <v>0</v>
      </c>
      <c r="AD12" s="29">
        <f t="shared" si="6"/>
        <v>0</v>
      </c>
      <c r="AE12" s="48"/>
      <c r="AF12" s="25"/>
      <c r="AG12" s="25"/>
      <c r="AH12" s="25"/>
      <c r="AI12" s="25"/>
      <c r="AJ12" s="25"/>
      <c r="AK12" s="25"/>
    </row>
    <row r="13" ht="12.75" customHeight="1">
      <c r="A13" s="22">
        <f t="shared" si="7"/>
        <v>11</v>
      </c>
      <c r="B13" s="26"/>
      <c r="C13" s="26"/>
      <c r="D13" s="26"/>
      <c r="E13" s="26"/>
      <c r="F13" s="26"/>
      <c r="G13" s="49" t="str">
        <f>IFERROR(__xludf.DUMMYFUNCTION("IFERROR(min(filter(targets_quant!$P:$P,(targets_quant!$B:$B=test6_2!$A13)*(targets_quant!$F:$F=C$2)*(targets_quant!$J:$J=D$2)*(targets_quant!$G:$G=E$2))),"""")"),"")</f>
        <v/>
      </c>
      <c r="H13" s="26" t="str">
        <f>IFERROR(__xludf.DUMMYFUNCTION("IF(G13, max(filter(targets_quant!$A:$A,(targets_quant!$B:$B=$A13)*(targets_quant!$P:$P=$G13)*(targets_quant!$F:$F=C$2)*(targets_quant!$G:$G=$E$2)*(targets_quant!$J:$J=$D$2))),"""")"),"")</f>
        <v/>
      </c>
      <c r="I13" s="26" t="str">
        <f>IFERROR(__xludf.DUMMYFUNCTION("if(G13, filter(targets_quant!$O:$O,targets_quant!$A:$A=$H13),"""")"),"")</f>
        <v/>
      </c>
      <c r="J13" s="26" t="str">
        <f>IFERROR(__xludf.DUMMYFUNCTION("if(G13, filter(ghg!$F:$F,(ghg!$B:$B=$A13)*(ghg!$E:$E=$I13)),"""")"),"")</f>
        <v/>
      </c>
      <c r="K13" s="26" t="str">
        <f>IFERROR(__xludf.DUMMYFUNCTION("IF($G13, filter(ghg!$G:$G,(ghg!$B:$B=$A13)*(ghg!$E:$E=$I13)),"""")"),"")</f>
        <v/>
      </c>
      <c r="L13" s="26" t="str">
        <f>IFERROR(__xludf.DUMMYFUNCTION("IF($G13, filter(ghg!$H:$H,(ghg!$B:$B=$A13)*(ghg!$E:$E=$I13)),"""")"),"")</f>
        <v/>
      </c>
      <c r="M13" s="26" t="str">
        <f>IFERROR(__xludf.DUMMYFUNCTION("IF($G13, filter(ghg!$J:$J,(ghg!$B:$B=$A13)*(ghg!$E:$E=$I13)),"""")"),"")</f>
        <v/>
      </c>
      <c r="N13" s="26">
        <f t="shared" si="1"/>
        <v>0</v>
      </c>
      <c r="O13" s="26" t="str">
        <f>IFERROR(__xludf.DUMMYFUNCTION("IF($G13, filter(targets_quant!$N:$N,targets_quant!$A:$A=$H13),"""")"),"")</f>
        <v/>
      </c>
      <c r="P13" s="26">
        <f t="shared" si="2"/>
        <v>0</v>
      </c>
      <c r="Q13" s="26">
        <f>VLOOKUP($A13,reporting!$A:$D,COLUMN(reporting!$D:$D),FALSE)</f>
        <v>2020</v>
      </c>
      <c r="R13" s="26" t="str">
        <f>IFERROR(__xludf.DUMMYFUNCTION("IF($G13, filter(ghg!$F:$F,(ghg!$B:$B=$A13)*(ghg!$E:$E=$Q13)),"""")"),"")</f>
        <v/>
      </c>
      <c r="S13" s="26" t="str">
        <f>IFERROR(__xludf.DUMMYFUNCTION("IF($G13, filter(ghg!$G:$G,(ghg!$B:$B=$A13)*(ghg!$E:$E=$Q13)),"""")"),"")</f>
        <v/>
      </c>
      <c r="T13" s="26" t="str">
        <f>IFERROR(__xludf.DUMMYFUNCTION("IF($G13, filter(ghg!$H:$H,(ghg!$B:$B=$A13)*(ghg!$E:$E=$Q13)),"""")"),"")</f>
        <v/>
      </c>
      <c r="U13" s="26" t="str">
        <f>IFERROR(__xludf.DUMMYFUNCTION("IF($G13, filter(ghg!$J:$J,(ghg!$B:$B=$A13)*(ghg!$E:$E=$Q13)),"""")"),"")</f>
        <v/>
      </c>
      <c r="V13" s="26">
        <f t="shared" si="3"/>
        <v>0</v>
      </c>
      <c r="W13" s="53" t="str">
        <f t="shared" si="4"/>
        <v/>
      </c>
      <c r="X13" s="26"/>
      <c r="Y13" s="26"/>
      <c r="Z13" s="26"/>
      <c r="AA13" s="26"/>
      <c r="AB13" s="26"/>
      <c r="AC13" s="29">
        <f t="shared" si="5"/>
        <v>0</v>
      </c>
      <c r="AD13" s="29">
        <f t="shared" si="6"/>
        <v>0</v>
      </c>
      <c r="AE13" s="48"/>
      <c r="AF13" s="25"/>
      <c r="AG13" s="25"/>
      <c r="AH13" s="25"/>
      <c r="AI13" s="25"/>
      <c r="AJ13" s="25"/>
      <c r="AK13" s="25"/>
    </row>
    <row r="14" ht="12.75" customHeight="1">
      <c r="A14" s="22">
        <f t="shared" si="7"/>
        <v>12</v>
      </c>
      <c r="B14" s="26"/>
      <c r="C14" s="26"/>
      <c r="D14" s="26"/>
      <c r="E14" s="26"/>
      <c r="F14" s="26"/>
      <c r="G14" s="49" t="str">
        <f>IFERROR(__xludf.DUMMYFUNCTION("IFERROR(min(filter(targets_quant!$P:$P,(targets_quant!$B:$B=test6_2!$A14)*(targets_quant!$F:$F=C$2)*(targets_quant!$J:$J=D$2)*(targets_quant!$G:$G=E$2))),"""")"),"")</f>
        <v/>
      </c>
      <c r="H14" s="26" t="str">
        <f>IFERROR(__xludf.DUMMYFUNCTION("IF(G14, max(filter(targets_quant!$A:$A,(targets_quant!$B:$B=$A14)*(targets_quant!$P:$P=$G14)*(targets_quant!$F:$F=C$2)*(targets_quant!$G:$G=$E$2)*(targets_quant!$J:$J=$D$2))),"""")"),"")</f>
        <v/>
      </c>
      <c r="I14" s="26" t="str">
        <f>IFERROR(__xludf.DUMMYFUNCTION("if(G14, filter(targets_quant!$O:$O,targets_quant!$A:$A=$H14),"""")"),"")</f>
        <v/>
      </c>
      <c r="J14" s="26" t="str">
        <f>IFERROR(__xludf.DUMMYFUNCTION("if(G14, filter(ghg!$F:$F,(ghg!$B:$B=$A14)*(ghg!$E:$E=$I14)),"""")"),"")</f>
        <v/>
      </c>
      <c r="K14" s="26" t="str">
        <f>IFERROR(__xludf.DUMMYFUNCTION("IF($G14, filter(ghg!$G:$G,(ghg!$B:$B=$A14)*(ghg!$E:$E=$I14)),"""")"),"")</f>
        <v/>
      </c>
      <c r="L14" s="26" t="str">
        <f>IFERROR(__xludf.DUMMYFUNCTION("IF($G14, filter(ghg!$H:$H,(ghg!$B:$B=$A14)*(ghg!$E:$E=$I14)),"""")"),"")</f>
        <v/>
      </c>
      <c r="M14" s="26" t="str">
        <f>IFERROR(__xludf.DUMMYFUNCTION("IF($G14, filter(ghg!$J:$J,(ghg!$B:$B=$A14)*(ghg!$E:$E=$I14)),"""")"),"")</f>
        <v/>
      </c>
      <c r="N14" s="26">
        <f t="shared" si="1"/>
        <v>0</v>
      </c>
      <c r="O14" s="26" t="str">
        <f>IFERROR(__xludf.DUMMYFUNCTION("IF($G14, filter(targets_quant!$N:$N,targets_quant!$A:$A=$H14),"""")"),"")</f>
        <v/>
      </c>
      <c r="P14" s="26">
        <f t="shared" si="2"/>
        <v>0</v>
      </c>
      <c r="Q14" s="26">
        <f>VLOOKUP($A14,reporting!$A:$D,COLUMN(reporting!$D:$D),FALSE)</f>
        <v>2019</v>
      </c>
      <c r="R14" s="26" t="str">
        <f>IFERROR(__xludf.DUMMYFUNCTION("IF($G14, filter(ghg!$F:$F,(ghg!$B:$B=$A14)*(ghg!$E:$E=$Q14)),"""")"),"")</f>
        <v/>
      </c>
      <c r="S14" s="26" t="str">
        <f>IFERROR(__xludf.DUMMYFUNCTION("IF($G14, filter(ghg!$G:$G,(ghg!$B:$B=$A14)*(ghg!$E:$E=$Q14)),"""")"),"")</f>
        <v/>
      </c>
      <c r="T14" s="26" t="str">
        <f>IFERROR(__xludf.DUMMYFUNCTION("IF($G14, filter(ghg!$H:$H,(ghg!$B:$B=$A14)*(ghg!$E:$E=$Q14)),"""")"),"")</f>
        <v/>
      </c>
      <c r="U14" s="26" t="str">
        <f>IFERROR(__xludf.DUMMYFUNCTION("IF($G14, filter(ghg!$J:$J,(ghg!$B:$B=$A14)*(ghg!$E:$E=$Q14)),"""")"),"")</f>
        <v/>
      </c>
      <c r="V14" s="26">
        <f t="shared" si="3"/>
        <v>0</v>
      </c>
      <c r="W14" s="53" t="str">
        <f t="shared" si="4"/>
        <v/>
      </c>
      <c r="X14" s="26"/>
      <c r="Y14" s="26"/>
      <c r="Z14" s="26"/>
      <c r="AA14" s="26"/>
      <c r="AB14" s="26"/>
      <c r="AC14" s="29">
        <f t="shared" si="5"/>
        <v>0</v>
      </c>
      <c r="AD14" s="29">
        <f t="shared" si="6"/>
        <v>0</v>
      </c>
      <c r="AE14" s="48"/>
      <c r="AF14" s="25"/>
      <c r="AG14" s="25"/>
      <c r="AH14" s="25"/>
      <c r="AI14" s="25"/>
      <c r="AJ14" s="25"/>
      <c r="AK14" s="25"/>
    </row>
    <row r="15" ht="12.75" customHeight="1">
      <c r="A15" s="22">
        <f t="shared" si="7"/>
        <v>13</v>
      </c>
      <c r="B15" s="26"/>
      <c r="C15" s="26"/>
      <c r="D15" s="26"/>
      <c r="E15" s="26"/>
      <c r="F15" s="26"/>
      <c r="G15" s="49" t="str">
        <f>IFERROR(__xludf.DUMMYFUNCTION("IFERROR(min(filter(targets_quant!$P:$P,(targets_quant!$B:$B=test6_2!$A15)*(targets_quant!$F:$F=C$2)*(targets_quant!$J:$J=D$2)*(targets_quant!$G:$G=E$2))),"""")"),"")</f>
        <v/>
      </c>
      <c r="H15" s="26" t="str">
        <f>IFERROR(__xludf.DUMMYFUNCTION("IF(G15, max(filter(targets_quant!$A:$A,(targets_quant!$B:$B=$A15)*(targets_quant!$P:$P=$G15)*(targets_quant!$F:$F=C$2)*(targets_quant!$G:$G=$E$2)*(targets_quant!$J:$J=$D$2))),"""")"),"")</f>
        <v/>
      </c>
      <c r="I15" s="26" t="str">
        <f>IFERROR(__xludf.DUMMYFUNCTION("if(G15, filter(targets_quant!$O:$O,targets_quant!$A:$A=$H15),"""")"),"")</f>
        <v/>
      </c>
      <c r="J15" s="26" t="str">
        <f>IFERROR(__xludf.DUMMYFUNCTION("if(G15, filter(ghg!$F:$F,(ghg!$B:$B=$A15)*(ghg!$E:$E=$I15)),"""")"),"")</f>
        <v/>
      </c>
      <c r="K15" s="26" t="str">
        <f>IFERROR(__xludf.DUMMYFUNCTION("IF($G15, filter(ghg!$G:$G,(ghg!$B:$B=$A15)*(ghg!$E:$E=$I15)),"""")"),"")</f>
        <v/>
      </c>
      <c r="L15" s="26" t="str">
        <f>IFERROR(__xludf.DUMMYFUNCTION("IF($G15, filter(ghg!$H:$H,(ghg!$B:$B=$A15)*(ghg!$E:$E=$I15)),"""")"),"")</f>
        <v/>
      </c>
      <c r="M15" s="26" t="str">
        <f>IFERROR(__xludf.DUMMYFUNCTION("IF($G15, filter(ghg!$J:$J,(ghg!$B:$B=$A15)*(ghg!$E:$E=$I15)),"""")"),"")</f>
        <v/>
      </c>
      <c r="N15" s="26">
        <f t="shared" si="1"/>
        <v>0</v>
      </c>
      <c r="O15" s="26" t="str">
        <f>IFERROR(__xludf.DUMMYFUNCTION("IF($G15, filter(targets_quant!$N:$N,targets_quant!$A:$A=$H15),"""")"),"")</f>
        <v/>
      </c>
      <c r="P15" s="26">
        <f t="shared" si="2"/>
        <v>0</v>
      </c>
      <c r="Q15" s="26">
        <f>VLOOKUP($A15,reporting!$A:$D,COLUMN(reporting!$D:$D),FALSE)</f>
        <v>2019</v>
      </c>
      <c r="R15" s="26" t="str">
        <f>IFERROR(__xludf.DUMMYFUNCTION("IF($G15, filter(ghg!$F:$F,(ghg!$B:$B=$A15)*(ghg!$E:$E=$Q15)),"""")"),"")</f>
        <v/>
      </c>
      <c r="S15" s="26" t="str">
        <f>IFERROR(__xludf.DUMMYFUNCTION("IF($G15, filter(ghg!$G:$G,(ghg!$B:$B=$A15)*(ghg!$E:$E=$Q15)),"""")"),"")</f>
        <v/>
      </c>
      <c r="T15" s="26" t="str">
        <f>IFERROR(__xludf.DUMMYFUNCTION("IF($G15, filter(ghg!$H:$H,(ghg!$B:$B=$A15)*(ghg!$E:$E=$Q15)),"""")"),"")</f>
        <v/>
      </c>
      <c r="U15" s="26" t="str">
        <f>IFERROR(__xludf.DUMMYFUNCTION("IF($G15, filter(ghg!$J:$J,(ghg!$B:$B=$A15)*(ghg!$E:$E=$Q15)),"""")"),"")</f>
        <v/>
      </c>
      <c r="V15" s="26">
        <f t="shared" si="3"/>
        <v>0</v>
      </c>
      <c r="W15" s="53" t="str">
        <f t="shared" si="4"/>
        <v/>
      </c>
      <c r="X15" s="26"/>
      <c r="Y15" s="26"/>
      <c r="Z15" s="26"/>
      <c r="AA15" s="26"/>
      <c r="AB15" s="26"/>
      <c r="AC15" s="29">
        <f t="shared" si="5"/>
        <v>0</v>
      </c>
      <c r="AD15" s="29">
        <f t="shared" si="6"/>
        <v>0</v>
      </c>
      <c r="AE15" s="48"/>
      <c r="AF15" s="25"/>
      <c r="AG15" s="25"/>
      <c r="AH15" s="25"/>
      <c r="AI15" s="25"/>
      <c r="AJ15" s="25"/>
      <c r="AK15" s="25"/>
    </row>
    <row r="16" ht="12.75" customHeight="1">
      <c r="A16" s="22">
        <f t="shared" si="7"/>
        <v>14</v>
      </c>
      <c r="B16" s="26"/>
      <c r="C16" s="26"/>
      <c r="D16" s="26"/>
      <c r="E16" s="26"/>
      <c r="F16" s="26"/>
      <c r="G16" s="49">
        <f>IFERROR(__xludf.DUMMYFUNCTION("IFERROR(min(filter(targets_quant!$P:$P,(targets_quant!$B:$B=test6_2!$A16)*(targets_quant!$F:$F=C$2)*(targets_quant!$J:$J=D$2)*(targets_quant!$G:$G=E$2))),"""")"),2030.0)</f>
        <v>2030</v>
      </c>
      <c r="H16" s="26">
        <f>IFERROR(__xludf.DUMMYFUNCTION("IF(G16, max(filter(targets_quant!$A:$A,(targets_quant!$B:$B=$A16)*(targets_quant!$P:$P=$G16)*(targets_quant!$F:$F=C$2)*(targets_quant!$G:$G=$E$2)*(targets_quant!$J:$J=$D$2))),"""")"),24.0)</f>
        <v>24</v>
      </c>
      <c r="I16" s="26">
        <f>IFERROR(__xludf.DUMMYFUNCTION("if(G16, filter(targets_quant!$O:$O,targets_quant!$A:$A=$H16),"""")"),2019.0)</f>
        <v>2019</v>
      </c>
      <c r="J16" s="26">
        <f>IFERROR(__xludf.DUMMYFUNCTION("if(G16, filter(ghg!$F:$F,(ghg!$B:$B=$A16)*(ghg!$E:$E=$I16)),"""")"),52730.0)</f>
        <v>52730</v>
      </c>
      <c r="K16" s="26" t="str">
        <f>IFERROR(__xludf.DUMMYFUNCTION("IF($G16, filter(ghg!$G:$G,(ghg!$B:$B=$A16)*(ghg!$E:$E=$I16)),"""")"),"")</f>
        <v/>
      </c>
      <c r="L16" s="26">
        <f>IFERROR(__xludf.DUMMYFUNCTION("IF($G16, filter(ghg!$H:$H,(ghg!$B:$B=$A16)*(ghg!$E:$E=$I16)),"""")"),0.0)</f>
        <v>0</v>
      </c>
      <c r="M16" s="26">
        <f>IFERROR(__xludf.DUMMYFUNCTION("IF($G16, filter(ghg!$J:$J,(ghg!$B:$B=$A16)*(ghg!$E:$E=$I16)),"""")"),2.498E7)</f>
        <v>24980000</v>
      </c>
      <c r="N16" s="26">
        <f t="shared" si="1"/>
        <v>25032730</v>
      </c>
      <c r="O16" s="52">
        <f>IFERROR(__xludf.DUMMYFUNCTION("IF($G16, filter(targets_quant!$N:$N,targets_quant!$A:$A=$H16),"""")"),0.62)</f>
        <v>0.62</v>
      </c>
      <c r="P16" s="26">
        <f t="shared" si="2"/>
        <v>9512437.4</v>
      </c>
      <c r="Q16" s="26">
        <f>VLOOKUP($A16,reporting!$A:$D,COLUMN(reporting!$D:$D),FALSE)</f>
        <v>2020</v>
      </c>
      <c r="R16" s="26">
        <f>IFERROR(__xludf.DUMMYFUNCTION("IF($G16, filter(ghg!$F:$F,(ghg!$B:$B=$A16)*(ghg!$E:$E=$Q16)),"""")"),47430.0)</f>
        <v>47430</v>
      </c>
      <c r="S16" s="26">
        <f>IFERROR(__xludf.DUMMYFUNCTION("IF($G16, filter(ghg!$G:$G,(ghg!$B:$B=$A16)*(ghg!$E:$E=$Q16)),"""")"),890189.0)</f>
        <v>890189</v>
      </c>
      <c r="T16" s="26">
        <f>IFERROR(__xludf.DUMMYFUNCTION("IF($G16, filter(ghg!$H:$H,(ghg!$B:$B=$A16)*(ghg!$E:$E=$Q16)),"""")"),0.0)</f>
        <v>0</v>
      </c>
      <c r="U16" s="26">
        <f>IFERROR(__xludf.DUMMYFUNCTION("IF($G16, filter(ghg!$J:$J,(ghg!$B:$B=$A16)*(ghg!$E:$E=$Q16)),"""")"),2.255E7)</f>
        <v>22550000</v>
      </c>
      <c r="V16" s="26">
        <f t="shared" si="3"/>
        <v>22597430</v>
      </c>
      <c r="W16" s="53">
        <f t="shared" si="4"/>
        <v>0.05790478209</v>
      </c>
      <c r="X16" s="26"/>
      <c r="Y16" s="26"/>
      <c r="Z16" s="26"/>
      <c r="AA16" s="26"/>
      <c r="AB16" s="26"/>
      <c r="AC16" s="29">
        <f t="shared" si="5"/>
        <v>1</v>
      </c>
      <c r="AD16" s="29">
        <f t="shared" si="6"/>
        <v>0.05</v>
      </c>
      <c r="AE16" s="48"/>
      <c r="AF16" s="25"/>
      <c r="AG16" s="25"/>
      <c r="AH16" s="25"/>
      <c r="AI16" s="25"/>
      <c r="AJ16" s="25"/>
      <c r="AK16" s="25"/>
    </row>
    <row r="17" ht="12.75" customHeight="1">
      <c r="A17" s="22">
        <f t="shared" si="7"/>
        <v>15</v>
      </c>
      <c r="B17" s="26"/>
      <c r="C17" s="26"/>
      <c r="D17" s="26"/>
      <c r="E17" s="26"/>
      <c r="F17" s="26"/>
      <c r="G17" s="49" t="str">
        <f>IFERROR(__xludf.DUMMYFUNCTION("IFERROR(min(filter(targets_quant!$P:$P,(targets_quant!$B:$B=test6_2!$A17)*(targets_quant!$F:$F=C$2)*(targets_quant!$J:$J=D$2)*(targets_quant!$G:$G=E$2))),"""")"),"")</f>
        <v/>
      </c>
      <c r="H17" s="26" t="str">
        <f>IFERROR(__xludf.DUMMYFUNCTION("IF(G17, max(filter(targets_quant!$A:$A,(targets_quant!$B:$B=$A17)*(targets_quant!$P:$P=$G17)*(targets_quant!$F:$F=C$2)*(targets_quant!$G:$G=$E$2)*(targets_quant!$J:$J=$D$2))),"""")"),"")</f>
        <v/>
      </c>
      <c r="I17" s="26" t="str">
        <f>IFERROR(__xludf.DUMMYFUNCTION("if(G17, filter(targets_quant!$O:$O,targets_quant!$A:$A=$H17),"""")"),"")</f>
        <v/>
      </c>
      <c r="J17" s="26" t="str">
        <f>IFERROR(__xludf.DUMMYFUNCTION("if(G17, filter(ghg!$F:$F,(ghg!$B:$B=$A17)*(ghg!$E:$E=$I17)),"""")"),"")</f>
        <v/>
      </c>
      <c r="K17" s="26" t="str">
        <f>IFERROR(__xludf.DUMMYFUNCTION("IF($G17, filter(ghg!$G:$G,(ghg!$B:$B=$A17)*(ghg!$E:$E=$I17)),"""")"),"")</f>
        <v/>
      </c>
      <c r="L17" s="26" t="str">
        <f>IFERROR(__xludf.DUMMYFUNCTION("IF($G17, filter(ghg!$H:$H,(ghg!$B:$B=$A17)*(ghg!$E:$E=$I17)),"""")"),"")</f>
        <v/>
      </c>
      <c r="M17" s="26" t="str">
        <f>IFERROR(__xludf.DUMMYFUNCTION("IF($G17, filter(ghg!$J:$J,(ghg!$B:$B=$A17)*(ghg!$E:$E=$I17)),"""")"),"")</f>
        <v/>
      </c>
      <c r="N17" s="26">
        <f t="shared" si="1"/>
        <v>0</v>
      </c>
      <c r="O17" s="26" t="str">
        <f>IFERROR(__xludf.DUMMYFUNCTION("IF($G17, filter(targets_quant!$N:$N,targets_quant!$A:$A=$H17),"""")"),"")</f>
        <v/>
      </c>
      <c r="P17" s="26">
        <f t="shared" si="2"/>
        <v>0</v>
      </c>
      <c r="Q17" s="26">
        <f>VLOOKUP($A17,reporting!$A:$D,COLUMN(reporting!$D:$D),FALSE)</f>
        <v>2019</v>
      </c>
      <c r="R17" s="26" t="str">
        <f>IFERROR(__xludf.DUMMYFUNCTION("IF($G17, filter(ghg!$F:$F,(ghg!$B:$B=$A17)*(ghg!$E:$E=$Q17)),"""")"),"")</f>
        <v/>
      </c>
      <c r="S17" s="26" t="str">
        <f>IFERROR(__xludf.DUMMYFUNCTION("IF($G17, filter(ghg!$G:$G,(ghg!$B:$B=$A17)*(ghg!$E:$E=$Q17)),"""")"),"")</f>
        <v/>
      </c>
      <c r="T17" s="26" t="str">
        <f>IFERROR(__xludf.DUMMYFUNCTION("IF($G17, filter(ghg!$H:$H,(ghg!$B:$B=$A17)*(ghg!$E:$E=$Q17)),"""")"),"")</f>
        <v/>
      </c>
      <c r="U17" s="26" t="str">
        <f>IFERROR(__xludf.DUMMYFUNCTION("IF($G17, filter(ghg!$J:$J,(ghg!$B:$B=$A17)*(ghg!$E:$E=$Q17)),"""")"),"")</f>
        <v/>
      </c>
      <c r="V17" s="26">
        <f t="shared" si="3"/>
        <v>0</v>
      </c>
      <c r="W17" s="53" t="str">
        <f t="shared" si="4"/>
        <v/>
      </c>
      <c r="X17" s="26"/>
      <c r="Y17" s="26"/>
      <c r="Z17" s="26"/>
      <c r="AA17" s="26"/>
      <c r="AB17" s="26"/>
      <c r="AC17" s="29">
        <f t="shared" si="5"/>
        <v>0</v>
      </c>
      <c r="AD17" s="29">
        <f t="shared" si="6"/>
        <v>0</v>
      </c>
      <c r="AE17" s="48"/>
      <c r="AF17" s="25"/>
      <c r="AG17" s="25"/>
      <c r="AH17" s="25"/>
      <c r="AI17" s="25"/>
      <c r="AJ17" s="25"/>
      <c r="AK17" s="25"/>
    </row>
    <row r="18" ht="12.75" customHeight="1">
      <c r="A18" s="22">
        <f t="shared" si="7"/>
        <v>16</v>
      </c>
      <c r="B18" s="26"/>
      <c r="C18" s="26"/>
      <c r="D18" s="26"/>
      <c r="E18" s="26"/>
      <c r="F18" s="26"/>
      <c r="G18" s="49" t="str">
        <f>IFERROR(__xludf.DUMMYFUNCTION("IFERROR(min(filter(targets_quant!$P:$P,(targets_quant!$B:$B=test6_2!$A18)*(targets_quant!$F:$F=C$2)*(targets_quant!$J:$J=D$2)*(targets_quant!$G:$G=E$2))),"""")"),"")</f>
        <v/>
      </c>
      <c r="H18" s="26" t="str">
        <f>IFERROR(__xludf.DUMMYFUNCTION("IF(G18, max(filter(targets_quant!$A:$A,(targets_quant!$B:$B=$A18)*(targets_quant!$P:$P=$G18)*(targets_quant!$F:$F=C$2)*(targets_quant!$G:$G=$E$2)*(targets_quant!$J:$J=$D$2))),"""")"),"")</f>
        <v/>
      </c>
      <c r="I18" s="26" t="str">
        <f>IFERROR(__xludf.DUMMYFUNCTION("if(G18, filter(targets_quant!$O:$O,targets_quant!$A:$A=$H18),"""")"),"")</f>
        <v/>
      </c>
      <c r="J18" s="26" t="str">
        <f>IFERROR(__xludf.DUMMYFUNCTION("if(G18, filter(ghg!$F:$F,(ghg!$B:$B=$A18)*(ghg!$E:$E=$I18)),"""")"),"")</f>
        <v/>
      </c>
      <c r="K18" s="26" t="str">
        <f>IFERROR(__xludf.DUMMYFUNCTION("IF($G18, filter(ghg!$G:$G,(ghg!$B:$B=$A18)*(ghg!$E:$E=$I18)),"""")"),"")</f>
        <v/>
      </c>
      <c r="L18" s="26" t="str">
        <f>IFERROR(__xludf.DUMMYFUNCTION("IF($G18, filter(ghg!$H:$H,(ghg!$B:$B=$A18)*(ghg!$E:$E=$I18)),"""")"),"")</f>
        <v/>
      </c>
      <c r="M18" s="26" t="str">
        <f>IFERROR(__xludf.DUMMYFUNCTION("IF($G18, filter(ghg!$J:$J,(ghg!$B:$B=$A18)*(ghg!$E:$E=$I18)),"""")"),"")</f>
        <v/>
      </c>
      <c r="N18" s="26">
        <f t="shared" si="1"/>
        <v>0</v>
      </c>
      <c r="O18" s="26" t="str">
        <f>IFERROR(__xludf.DUMMYFUNCTION("IF($G18, filter(targets_quant!$N:$N,targets_quant!$A:$A=$H18),"""")"),"")</f>
        <v/>
      </c>
      <c r="P18" s="26">
        <f t="shared" si="2"/>
        <v>0</v>
      </c>
      <c r="Q18" s="26">
        <f>VLOOKUP($A18,reporting!$A:$D,COLUMN(reporting!$D:$D),FALSE)</f>
        <v>2020</v>
      </c>
      <c r="R18" s="26" t="str">
        <f>IFERROR(__xludf.DUMMYFUNCTION("IF($G18, filter(ghg!$F:$F,(ghg!$B:$B=$A18)*(ghg!$E:$E=$Q18)),"""")"),"")</f>
        <v/>
      </c>
      <c r="S18" s="26" t="str">
        <f>IFERROR(__xludf.DUMMYFUNCTION("IF($G18, filter(ghg!$G:$G,(ghg!$B:$B=$A18)*(ghg!$E:$E=$Q18)),"""")"),"")</f>
        <v/>
      </c>
      <c r="T18" s="26" t="str">
        <f>IFERROR(__xludf.DUMMYFUNCTION("IF($G18, filter(ghg!$H:$H,(ghg!$B:$B=$A18)*(ghg!$E:$E=$Q18)),"""")"),"")</f>
        <v/>
      </c>
      <c r="U18" s="26" t="str">
        <f>IFERROR(__xludf.DUMMYFUNCTION("IF($G18, filter(ghg!$J:$J,(ghg!$B:$B=$A18)*(ghg!$E:$E=$Q18)),"""")"),"")</f>
        <v/>
      </c>
      <c r="V18" s="26">
        <f t="shared" si="3"/>
        <v>0</v>
      </c>
      <c r="W18" s="53" t="str">
        <f t="shared" si="4"/>
        <v/>
      </c>
      <c r="X18" s="26"/>
      <c r="Y18" s="26"/>
      <c r="Z18" s="26"/>
      <c r="AA18" s="26"/>
      <c r="AB18" s="26"/>
      <c r="AC18" s="29">
        <f t="shared" si="5"/>
        <v>0</v>
      </c>
      <c r="AD18" s="29">
        <f t="shared" si="6"/>
        <v>0</v>
      </c>
      <c r="AE18" s="48"/>
      <c r="AF18" s="25"/>
      <c r="AG18" s="25"/>
      <c r="AH18" s="25"/>
      <c r="AI18" s="25"/>
      <c r="AJ18" s="25"/>
      <c r="AK18" s="25"/>
    </row>
    <row r="19" ht="12.75" customHeight="1">
      <c r="A19" s="22">
        <f t="shared" si="7"/>
        <v>17</v>
      </c>
      <c r="B19" s="26"/>
      <c r="C19" s="26"/>
      <c r="D19" s="26"/>
      <c r="E19" s="26"/>
      <c r="F19" s="26"/>
      <c r="G19" s="49" t="str">
        <f>IFERROR(__xludf.DUMMYFUNCTION("IFERROR(min(filter(targets_quant!$P:$P,(targets_quant!$B:$B=test6_2!$A19)*(targets_quant!$F:$F=C$2)*(targets_quant!$J:$J=D$2)*(targets_quant!$G:$G=E$2))),"""")"),"")</f>
        <v/>
      </c>
      <c r="H19" s="26" t="str">
        <f>IFERROR(__xludf.DUMMYFUNCTION("IF(G19, max(filter(targets_quant!$A:$A,(targets_quant!$B:$B=$A19)*(targets_quant!$P:$P=$G19)*(targets_quant!$F:$F=C$2)*(targets_quant!$G:$G=$E$2)*(targets_quant!$J:$J=$D$2))),"""")"),"")</f>
        <v/>
      </c>
      <c r="I19" s="26" t="str">
        <f>IFERROR(__xludf.DUMMYFUNCTION("if(G19, filter(targets_quant!$O:$O,targets_quant!$A:$A=$H19),"""")"),"")</f>
        <v/>
      </c>
      <c r="J19" s="26" t="str">
        <f>IFERROR(__xludf.DUMMYFUNCTION("if(G19, filter(ghg!$F:$F,(ghg!$B:$B=$A19)*(ghg!$E:$E=$I19)),"""")"),"")</f>
        <v/>
      </c>
      <c r="K19" s="26" t="str">
        <f>IFERROR(__xludf.DUMMYFUNCTION("IF($G19, filter(ghg!$G:$G,(ghg!$B:$B=$A19)*(ghg!$E:$E=$I19)),"""")"),"")</f>
        <v/>
      </c>
      <c r="L19" s="26" t="str">
        <f>IFERROR(__xludf.DUMMYFUNCTION("IF($G19, filter(ghg!$H:$H,(ghg!$B:$B=$A19)*(ghg!$E:$E=$I19)),"""")"),"")</f>
        <v/>
      </c>
      <c r="M19" s="26" t="str">
        <f>IFERROR(__xludf.DUMMYFUNCTION("IF($G19, filter(ghg!$J:$J,(ghg!$B:$B=$A19)*(ghg!$E:$E=$I19)),"""")"),"")</f>
        <v/>
      </c>
      <c r="N19" s="26">
        <f t="shared" si="1"/>
        <v>0</v>
      </c>
      <c r="O19" s="26" t="str">
        <f>IFERROR(__xludf.DUMMYFUNCTION("IF($G19, filter(targets_quant!$N:$N,targets_quant!$A:$A=$H19),"""")"),"")</f>
        <v/>
      </c>
      <c r="P19" s="26">
        <f t="shared" si="2"/>
        <v>0</v>
      </c>
      <c r="Q19" s="26" t="str">
        <f>VLOOKUP($A19,reporting!$A:$D,COLUMN(reporting!$D:$D),FALSE)</f>
        <v>NR</v>
      </c>
      <c r="R19" s="26" t="str">
        <f>IFERROR(__xludf.DUMMYFUNCTION("IF($G19, filter(ghg!$F:$F,(ghg!$B:$B=$A19)*(ghg!$E:$E=$Q19)),"""")"),"")</f>
        <v/>
      </c>
      <c r="S19" s="26" t="str">
        <f>IFERROR(__xludf.DUMMYFUNCTION("IF($G19, filter(ghg!$G:$G,(ghg!$B:$B=$A19)*(ghg!$E:$E=$Q19)),"""")"),"")</f>
        <v/>
      </c>
      <c r="T19" s="26" t="str">
        <f>IFERROR(__xludf.DUMMYFUNCTION("IF($G19, filter(ghg!$H:$H,(ghg!$B:$B=$A19)*(ghg!$E:$E=$Q19)),"""")"),"")</f>
        <v/>
      </c>
      <c r="U19" s="26" t="str">
        <f>IFERROR(__xludf.DUMMYFUNCTION("IF($G19, filter(ghg!$J:$J,(ghg!$B:$B=$A19)*(ghg!$E:$E=$Q19)),"""")"),"")</f>
        <v/>
      </c>
      <c r="V19" s="26">
        <f t="shared" si="3"/>
        <v>0</v>
      </c>
      <c r="W19" s="53" t="str">
        <f t="shared" si="4"/>
        <v/>
      </c>
      <c r="X19" s="26"/>
      <c r="Y19" s="26"/>
      <c r="Z19" s="26"/>
      <c r="AA19" s="26"/>
      <c r="AB19" s="26"/>
      <c r="AC19" s="29">
        <f t="shared" si="5"/>
        <v>0</v>
      </c>
      <c r="AD19" s="29">
        <f t="shared" si="6"/>
        <v>0</v>
      </c>
      <c r="AE19" s="48"/>
      <c r="AF19" s="25"/>
      <c r="AG19" s="25"/>
      <c r="AH19" s="25"/>
      <c r="AI19" s="25"/>
      <c r="AJ19" s="25"/>
      <c r="AK19" s="25"/>
    </row>
    <row r="20" ht="12.75" customHeight="1">
      <c r="A20" s="22">
        <f t="shared" si="7"/>
        <v>18</v>
      </c>
      <c r="B20" s="26"/>
      <c r="C20" s="26"/>
      <c r="D20" s="26"/>
      <c r="E20" s="26"/>
      <c r="F20" s="26"/>
      <c r="G20" s="49" t="str">
        <f>IFERROR(__xludf.DUMMYFUNCTION("IFERROR(min(filter(targets_quant!$P:$P,(targets_quant!$B:$B=test6_2!$A20)*(targets_quant!$F:$F=C$2)*(targets_quant!$J:$J=D$2)*(targets_quant!$G:$G=E$2))),"""")"),"")</f>
        <v/>
      </c>
      <c r="H20" s="26" t="str">
        <f>IFERROR(__xludf.DUMMYFUNCTION("IF(G20, max(filter(targets_quant!$A:$A,(targets_quant!$B:$B=$A20)*(targets_quant!$P:$P=$G20)*(targets_quant!$F:$F=C$2)*(targets_quant!$G:$G=$E$2)*(targets_quant!$J:$J=$D$2))),"""")"),"")</f>
        <v/>
      </c>
      <c r="I20" s="26" t="str">
        <f>IFERROR(__xludf.DUMMYFUNCTION("if(G20, filter(targets_quant!$O:$O,targets_quant!$A:$A=$H20),"""")"),"")</f>
        <v/>
      </c>
      <c r="J20" s="26" t="str">
        <f>IFERROR(__xludf.DUMMYFUNCTION("if(G20, filter(ghg!$F:$F,(ghg!$B:$B=$A20)*(ghg!$E:$E=$I20)),"""")"),"")</f>
        <v/>
      </c>
      <c r="K20" s="26" t="str">
        <f>IFERROR(__xludf.DUMMYFUNCTION("IF($G20, filter(ghg!$G:$G,(ghg!$B:$B=$A20)*(ghg!$E:$E=$I20)),"""")"),"")</f>
        <v/>
      </c>
      <c r="L20" s="26" t="str">
        <f>IFERROR(__xludf.DUMMYFUNCTION("IF($G20, filter(ghg!$H:$H,(ghg!$B:$B=$A20)*(ghg!$E:$E=$I20)),"""")"),"")</f>
        <v/>
      </c>
      <c r="M20" s="26" t="str">
        <f>IFERROR(__xludf.DUMMYFUNCTION("IF($G20, filter(ghg!$J:$J,(ghg!$B:$B=$A20)*(ghg!$E:$E=$I20)),"""")"),"")</f>
        <v/>
      </c>
      <c r="N20" s="26">
        <f t="shared" si="1"/>
        <v>0</v>
      </c>
      <c r="O20" s="26" t="str">
        <f>IFERROR(__xludf.DUMMYFUNCTION("IF($G20, filter(targets_quant!$N:$N,targets_quant!$A:$A=$H20),"""")"),"")</f>
        <v/>
      </c>
      <c r="P20" s="26">
        <f t="shared" si="2"/>
        <v>0</v>
      </c>
      <c r="Q20" s="26">
        <f>VLOOKUP($A20,reporting!$A:$D,COLUMN(reporting!$D:$D),FALSE)</f>
        <v>2020</v>
      </c>
      <c r="R20" s="26" t="str">
        <f>IFERROR(__xludf.DUMMYFUNCTION("IF($G20, filter(ghg!$F:$F,(ghg!$B:$B=$A20)*(ghg!$E:$E=$Q20)),"""")"),"")</f>
        <v/>
      </c>
      <c r="S20" s="26" t="str">
        <f>IFERROR(__xludf.DUMMYFUNCTION("IF($G20, filter(ghg!$G:$G,(ghg!$B:$B=$A20)*(ghg!$E:$E=$Q20)),"""")"),"")</f>
        <v/>
      </c>
      <c r="T20" s="26" t="str">
        <f>IFERROR(__xludf.DUMMYFUNCTION("IF($G20, filter(ghg!$H:$H,(ghg!$B:$B=$A20)*(ghg!$E:$E=$Q20)),"""")"),"")</f>
        <v/>
      </c>
      <c r="U20" s="26" t="str">
        <f>IFERROR(__xludf.DUMMYFUNCTION("IF($G20, filter(ghg!$J:$J,(ghg!$B:$B=$A20)*(ghg!$E:$E=$Q20)),"""")"),"")</f>
        <v/>
      </c>
      <c r="V20" s="26">
        <f t="shared" si="3"/>
        <v>0</v>
      </c>
      <c r="W20" s="53" t="str">
        <f t="shared" si="4"/>
        <v/>
      </c>
      <c r="X20" s="26"/>
      <c r="Y20" s="26"/>
      <c r="Z20" s="26"/>
      <c r="AA20" s="26"/>
      <c r="AB20" s="26"/>
      <c r="AC20" s="29">
        <f t="shared" si="5"/>
        <v>0</v>
      </c>
      <c r="AD20" s="29">
        <f t="shared" si="6"/>
        <v>0</v>
      </c>
      <c r="AE20" s="48"/>
      <c r="AF20" s="25"/>
      <c r="AG20" s="25"/>
      <c r="AH20" s="25"/>
      <c r="AI20" s="25"/>
      <c r="AJ20" s="25"/>
      <c r="AK20" s="25"/>
    </row>
    <row r="21" ht="12.75" customHeight="1">
      <c r="A21" s="22">
        <f t="shared" si="7"/>
        <v>19</v>
      </c>
      <c r="B21" s="26"/>
      <c r="C21" s="26"/>
      <c r="D21" s="26"/>
      <c r="E21" s="26"/>
      <c r="F21" s="26"/>
      <c r="G21" s="49" t="str">
        <f>IFERROR(__xludf.DUMMYFUNCTION("IFERROR(min(filter(targets_quant!$P:$P,(targets_quant!$B:$B=test6_2!$A21)*(targets_quant!$F:$F=C$2)*(targets_quant!$J:$J=D$2)*(targets_quant!$G:$G=E$2))),"""")"),"")</f>
        <v/>
      </c>
      <c r="H21" s="26" t="str">
        <f>IFERROR(__xludf.DUMMYFUNCTION("IF(G21, max(filter(targets_quant!$A:$A,(targets_quant!$B:$B=$A21)*(targets_quant!$P:$P=$G21)*(targets_quant!$F:$F=C$2)*(targets_quant!$G:$G=$E$2)*(targets_quant!$J:$J=$D$2))),"""")"),"")</f>
        <v/>
      </c>
      <c r="I21" s="26" t="str">
        <f>IFERROR(__xludf.DUMMYFUNCTION("if(G21, filter(targets_quant!$O:$O,targets_quant!$A:$A=$H21),"""")"),"")</f>
        <v/>
      </c>
      <c r="J21" s="26" t="str">
        <f>IFERROR(__xludf.DUMMYFUNCTION("if(G21, filter(ghg!$F:$F,(ghg!$B:$B=$A21)*(ghg!$E:$E=$I21)),"""")"),"")</f>
        <v/>
      </c>
      <c r="K21" s="26" t="str">
        <f>IFERROR(__xludf.DUMMYFUNCTION("IF($G21, filter(ghg!$G:$G,(ghg!$B:$B=$A21)*(ghg!$E:$E=$I21)),"""")"),"")</f>
        <v/>
      </c>
      <c r="L21" s="26" t="str">
        <f>IFERROR(__xludf.DUMMYFUNCTION("IF($G21, filter(ghg!$H:$H,(ghg!$B:$B=$A21)*(ghg!$E:$E=$I21)),"""")"),"")</f>
        <v/>
      </c>
      <c r="M21" s="26" t="str">
        <f>IFERROR(__xludf.DUMMYFUNCTION("IF($G21, filter(ghg!$J:$J,(ghg!$B:$B=$A21)*(ghg!$E:$E=$I21)),"""")"),"")</f>
        <v/>
      </c>
      <c r="N21" s="26">
        <f t="shared" si="1"/>
        <v>0</v>
      </c>
      <c r="O21" s="26" t="str">
        <f>IFERROR(__xludf.DUMMYFUNCTION("IF($G21, filter(targets_quant!$N:$N,targets_quant!$A:$A=$H21),"""")"),"")</f>
        <v/>
      </c>
      <c r="P21" s="26">
        <f t="shared" si="2"/>
        <v>0</v>
      </c>
      <c r="Q21" s="26">
        <f>VLOOKUP($A21,reporting!$A:$D,COLUMN(reporting!$D:$D),FALSE)</f>
        <v>2020</v>
      </c>
      <c r="R21" s="26" t="str">
        <f>IFERROR(__xludf.DUMMYFUNCTION("IF($G21, filter(ghg!$F:$F,(ghg!$B:$B=$A21)*(ghg!$E:$E=$Q21)),"""")"),"")</f>
        <v/>
      </c>
      <c r="S21" s="26" t="str">
        <f>IFERROR(__xludf.DUMMYFUNCTION("IF($G21, filter(ghg!$G:$G,(ghg!$B:$B=$A21)*(ghg!$E:$E=$Q21)),"""")"),"")</f>
        <v/>
      </c>
      <c r="T21" s="26" t="str">
        <f>IFERROR(__xludf.DUMMYFUNCTION("IF($G21, filter(ghg!$H:$H,(ghg!$B:$B=$A21)*(ghg!$E:$E=$Q21)),"""")"),"")</f>
        <v/>
      </c>
      <c r="U21" s="26" t="str">
        <f>IFERROR(__xludf.DUMMYFUNCTION("IF($G21, filter(ghg!$J:$J,(ghg!$B:$B=$A21)*(ghg!$E:$E=$Q21)),"""")"),"")</f>
        <v/>
      </c>
      <c r="V21" s="26">
        <f t="shared" si="3"/>
        <v>0</v>
      </c>
      <c r="W21" s="53" t="str">
        <f t="shared" si="4"/>
        <v/>
      </c>
      <c r="X21" s="26"/>
      <c r="Y21" s="26"/>
      <c r="Z21" s="26"/>
      <c r="AA21" s="26"/>
      <c r="AB21" s="26"/>
      <c r="AC21" s="29">
        <f t="shared" si="5"/>
        <v>0</v>
      </c>
      <c r="AD21" s="29">
        <f t="shared" si="6"/>
        <v>0</v>
      </c>
      <c r="AE21" s="48"/>
      <c r="AF21" s="25"/>
      <c r="AG21" s="25"/>
      <c r="AH21" s="25"/>
      <c r="AI21" s="25"/>
      <c r="AJ21" s="25"/>
      <c r="AK21" s="25"/>
    </row>
    <row r="22" ht="12.75" customHeight="1">
      <c r="A22" s="30">
        <v>66.0</v>
      </c>
      <c r="B22" s="26"/>
      <c r="C22" s="26"/>
      <c r="D22" s="26"/>
      <c r="E22" s="26"/>
      <c r="F22" s="26"/>
      <c r="G22" s="49">
        <f>IFERROR(__xludf.DUMMYFUNCTION("IFERROR(min(filter(targets_quant!$P:$P,(targets_quant!$B:$B=test6_2!$A22)*(targets_quant!$F:$F=C$2)*(targets_quant!$J:$J=D$2)*(targets_quant!$G:$G=E$2))),"""")"),2030.0)</f>
        <v>2030</v>
      </c>
      <c r="H22" s="26">
        <f>IFERROR(__xludf.DUMMYFUNCTION("IF(G22, max(filter(targets_quant!$A:$A,(targets_quant!$B:$B=$A22)*(targets_quant!$P:$P=$G22)*(targets_quant!$F:$F=C$2)*(targets_quant!$G:$G=$E$2)*(targets_quant!$J:$J=$D$2))),"""")"),1.0)</f>
        <v>1</v>
      </c>
      <c r="I22" s="26">
        <f>IFERROR(__xludf.DUMMYFUNCTION("if(G22, filter(targets_quant!$O:$O,targets_quant!$A:$A=$H22),"""")"),2019.0)</f>
        <v>2019</v>
      </c>
      <c r="J22" s="26">
        <f>IFERROR(__xludf.DUMMYFUNCTION("if(G22, filter(ghg!$F:$F,(ghg!$B:$B=$A22)*(ghg!$E:$E=$I22)),"""")"),117956.0)</f>
        <v>117956</v>
      </c>
      <c r="K22" s="26">
        <f>IFERROR(__xludf.DUMMYFUNCTION("IF($G22, filter(ghg!$G:$G,(ghg!$B:$B=$A22)*(ghg!$E:$E=$I22)),"""")"),3357518.0)</f>
        <v>3357518</v>
      </c>
      <c r="L22" s="26">
        <f>IFERROR(__xludf.DUMMYFUNCTION("IF($G22, filter(ghg!$H:$H,(ghg!$B:$B=$A22)*(ghg!$E:$E=$I22)),"""")"),275420.0)</f>
        <v>275420</v>
      </c>
      <c r="M22" s="26" t="str">
        <f>IFERROR(__xludf.DUMMYFUNCTION("IF($G22, filter(ghg!$J:$J,(ghg!$B:$B=$A22)*(ghg!$E:$E=$I22)),"""")"),"")</f>
        <v/>
      </c>
      <c r="N22" s="26">
        <f t="shared" si="1"/>
        <v>393376</v>
      </c>
      <c r="O22" s="52">
        <f>IFERROR(__xludf.DUMMYFUNCTION("IF($G22, filter(targets_quant!$N:$N,targets_quant!$A:$A=$H22),"""")"),0.5)</f>
        <v>0.5</v>
      </c>
      <c r="P22" s="26">
        <f t="shared" si="2"/>
        <v>196688</v>
      </c>
      <c r="Q22" s="26">
        <f>VLOOKUP($A22,reporting!$A:$D,COLUMN(reporting!$D:$D),FALSE)</f>
        <v>2020</v>
      </c>
      <c r="R22" s="26">
        <f>IFERROR(__xludf.DUMMYFUNCTION("IF($G22, filter(ghg!$F:$F,(ghg!$B:$B=$A22)*(ghg!$E:$E=$Q22)),"""")"),118100.0)</f>
        <v>118100</v>
      </c>
      <c r="S22" s="26">
        <f>IFERROR(__xludf.DUMMYFUNCTION("IF($G22, filter(ghg!$G:$G,(ghg!$B:$B=$A22)*(ghg!$E:$E=$Q22)),"""")"),4102445.0)</f>
        <v>4102445</v>
      </c>
      <c r="T22" s="26">
        <f>IFERROR(__xludf.DUMMYFUNCTION("IF($G22, filter(ghg!$H:$H,(ghg!$B:$B=$A22)*(ghg!$E:$E=$Q22)),"""")"),228194.0)</f>
        <v>228194</v>
      </c>
      <c r="U22" s="26" t="str">
        <f>IFERROR(__xludf.DUMMYFUNCTION("IF($G22, filter(ghg!$J:$J,(ghg!$B:$B=$A22)*(ghg!$E:$E=$Q22)),"""")"),"")</f>
        <v/>
      </c>
      <c r="V22" s="26">
        <f t="shared" si="3"/>
        <v>346294</v>
      </c>
      <c r="W22" s="53">
        <f t="shared" si="4"/>
        <v>0.04320201909</v>
      </c>
      <c r="X22" s="26"/>
      <c r="Y22" s="26"/>
      <c r="Z22" s="26"/>
      <c r="AA22" s="26"/>
      <c r="AB22" s="26"/>
      <c r="AC22" s="29">
        <f t="shared" si="5"/>
        <v>0.8640403819</v>
      </c>
      <c r="AD22" s="29">
        <f t="shared" si="6"/>
        <v>0.04320201909</v>
      </c>
      <c r="AE22" s="48"/>
      <c r="AF22" s="25"/>
      <c r="AG22" s="25"/>
      <c r="AH22" s="25"/>
      <c r="AI22" s="25"/>
      <c r="AJ22" s="25"/>
      <c r="AK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6" t="s">
        <v>2</v>
      </c>
      <c r="B1" s="17"/>
      <c r="C1" s="18" t="s">
        <v>557</v>
      </c>
      <c r="D1" s="18" t="s">
        <v>558</v>
      </c>
      <c r="E1" s="35" t="s">
        <v>622</v>
      </c>
      <c r="F1" s="18"/>
      <c r="G1" s="18" t="s">
        <v>567</v>
      </c>
      <c r="H1" s="20" t="s">
        <v>548</v>
      </c>
      <c r="I1" s="19" t="s">
        <v>623</v>
      </c>
      <c r="K1" s="18" t="s">
        <v>560</v>
      </c>
      <c r="L1" s="20" t="s">
        <v>548</v>
      </c>
      <c r="M1" s="19" t="s">
        <v>624</v>
      </c>
      <c r="O1" s="19" t="s">
        <v>625</v>
      </c>
      <c r="V1" s="56" t="s">
        <v>626</v>
      </c>
      <c r="W1" s="37">
        <v>0.25</v>
      </c>
    </row>
    <row r="2">
      <c r="A2" s="22"/>
      <c r="B2" s="23"/>
      <c r="C2" s="23"/>
      <c r="D2" s="23"/>
      <c r="E2" s="23"/>
      <c r="F2" s="18"/>
      <c r="G2" s="18" t="s">
        <v>579</v>
      </c>
      <c r="H2" s="24">
        <v>0.075</v>
      </c>
      <c r="I2" s="23"/>
      <c r="K2" s="24"/>
      <c r="L2" s="24">
        <v>0.025</v>
      </c>
      <c r="M2" s="23"/>
      <c r="O2" s="23"/>
      <c r="S2" s="25"/>
      <c r="T2" s="25"/>
      <c r="U2" s="25"/>
      <c r="V2" s="57" t="s">
        <v>627</v>
      </c>
      <c r="W2" s="37">
        <v>1.0</v>
      </c>
      <c r="X2" s="25"/>
      <c r="Y2" s="25"/>
      <c r="Z2" s="25"/>
      <c r="AA2" s="25"/>
      <c r="AB2" s="25"/>
      <c r="AC2" s="25"/>
      <c r="AD2" s="25"/>
      <c r="AE2" s="25"/>
      <c r="AF2" s="25"/>
      <c r="AG2" s="25"/>
      <c r="AH2" s="25"/>
      <c r="AI2" s="25"/>
      <c r="AJ2" s="25"/>
      <c r="AK2" s="25"/>
      <c r="AL2" s="25"/>
      <c r="AM2" s="25"/>
    </row>
    <row r="3" ht="12.75" customHeight="1">
      <c r="A3" s="22">
        <v>1.0</v>
      </c>
      <c r="B3" s="26"/>
      <c r="C3" s="33" t="str">
        <f t="array" ref="C3">IFERROR(index(targets_state!I:I,MATCH("id"&amp;$A3&amp;"targetsbti",targets_state!$Y:$Y,0)))</f>
        <v/>
      </c>
      <c r="D3" s="33" t="str">
        <f t="array" ref="D3">IFERROR(index(targets_state!J:J,MATCH("id"&amp;$A3&amp;"targetsbti",targets_state!$Y:$Y,0)))</f>
        <v/>
      </c>
      <c r="E3" s="33" t="str">
        <f t="shared" ref="E3:E22" si="1">C3&amp;"_"&amp;D3</f>
        <v>_</v>
      </c>
      <c r="F3" s="26"/>
      <c r="G3" s="39">
        <f>IFERROR(VLOOKUP($E3,category_test_8,2,FALSE),0)</f>
        <v>0</v>
      </c>
      <c r="H3" s="25"/>
      <c r="I3" s="29">
        <f t="shared" ref="I3:I22" si="2">G3*H$2</f>
        <v>0</v>
      </c>
      <c r="K3" s="58">
        <f>IFERROR(__xludf.DUMMYFUNCTION("if(IFERROR(filter(targets_state!$K:$K,targets_state!$B:$B=$A3,targets_state!$K:$K=""yes""),"""")=""yes"",100%,0)"),0.0)</f>
        <v>0</v>
      </c>
      <c r="M3" s="29">
        <f t="shared" ref="M3:M22" si="3">L$2*$K3</f>
        <v>0</v>
      </c>
      <c r="O3" s="29">
        <f t="shared" ref="O3:O22" si="4">M3+I3</f>
        <v>0</v>
      </c>
      <c r="S3" s="25"/>
      <c r="T3" s="25"/>
      <c r="U3" s="25"/>
      <c r="V3" s="38" t="s">
        <v>628</v>
      </c>
      <c r="W3" s="40">
        <v>0.0</v>
      </c>
      <c r="X3" s="25"/>
      <c r="Y3" s="25"/>
      <c r="Z3" s="25"/>
      <c r="AA3" s="25"/>
      <c r="AB3" s="25"/>
      <c r="AC3" s="25"/>
      <c r="AD3" s="25"/>
      <c r="AE3" s="25"/>
      <c r="AF3" s="25"/>
      <c r="AG3" s="25"/>
      <c r="AH3" s="25"/>
      <c r="AI3" s="25"/>
      <c r="AJ3" s="25"/>
      <c r="AK3" s="25"/>
      <c r="AL3" s="25"/>
      <c r="AM3" s="25"/>
    </row>
    <row r="4" ht="12.75" customHeight="1">
      <c r="A4" s="22">
        <f t="shared" ref="A4:A21" si="5">A3+1</f>
        <v>2</v>
      </c>
      <c r="B4" s="26"/>
      <c r="C4" s="33" t="str">
        <f t="array" ref="C4">IFERROR(index(targets_state!I:I,MATCH("id"&amp;$A4&amp;"targetsbti",targets_state!$Y:$Y,0)))</f>
        <v/>
      </c>
      <c r="D4" s="33" t="str">
        <f t="array" ref="D4">IFERROR(index(targets_state!J:J,MATCH("id"&amp;$A4&amp;"targetsbti",targets_state!$Y:$Y,0)))</f>
        <v/>
      </c>
      <c r="E4" s="33" t="str">
        <f t="shared" si="1"/>
        <v>_</v>
      </c>
      <c r="F4" s="26"/>
      <c r="G4" s="39">
        <f>IFERROR(VLOOKUP($E4,category_test_8,2,FALSE),0)</f>
        <v>0</v>
      </c>
      <c r="H4" s="25"/>
      <c r="I4" s="29">
        <f t="shared" si="2"/>
        <v>0</v>
      </c>
      <c r="K4" s="58">
        <f>IFERROR(__xludf.DUMMYFUNCTION("if(IFERROR(filter(targets_state!$K:$K,targets_state!$B:$B=$A4,targets_state!$K:$K=""yes""),"""")=""yes"",100%,0)"),0.0)</f>
        <v>0</v>
      </c>
      <c r="M4" s="29">
        <f t="shared" si="3"/>
        <v>0</v>
      </c>
      <c r="O4" s="29">
        <f t="shared" si="4"/>
        <v>0</v>
      </c>
      <c r="S4" s="25"/>
      <c r="T4" s="25"/>
      <c r="U4" s="25"/>
      <c r="V4" s="25"/>
      <c r="W4" s="40"/>
      <c r="X4" s="25"/>
      <c r="Y4" s="25"/>
      <c r="Z4" s="25"/>
      <c r="AA4" s="25"/>
      <c r="AB4" s="25"/>
      <c r="AC4" s="25"/>
      <c r="AD4" s="25"/>
      <c r="AE4" s="25"/>
      <c r="AF4" s="25"/>
      <c r="AG4" s="25"/>
      <c r="AH4" s="25"/>
      <c r="AI4" s="25"/>
      <c r="AJ4" s="25"/>
      <c r="AK4" s="25"/>
      <c r="AL4" s="25"/>
      <c r="AM4" s="25"/>
    </row>
    <row r="5" ht="12.75" customHeight="1">
      <c r="A5" s="22">
        <f t="shared" si="5"/>
        <v>3</v>
      </c>
      <c r="B5" s="26"/>
      <c r="C5" s="33" t="str">
        <f t="array" ref="C5">IFERROR(index(targets_state!I:I,MATCH("id"&amp;$A5&amp;"targetsbti",targets_state!$Y:$Y,0)))</f>
        <v>committed</v>
      </c>
      <c r="D5" s="33" t="str">
        <f t="array" ref="D5">IFERROR(index(targets_state!J:J,MATCH("id"&amp;$A5&amp;"targetsbti",targets_state!$Y:$Y,0)))</f>
        <v>unknown</v>
      </c>
      <c r="E5" s="33" t="str">
        <f t="shared" si="1"/>
        <v>committed_unknown</v>
      </c>
      <c r="F5" s="26"/>
      <c r="G5" s="39">
        <f>IFERROR(VLOOKUP($E5,category_test_8,2,FALSE),0)</f>
        <v>0.25</v>
      </c>
      <c r="H5" s="25"/>
      <c r="I5" s="29">
        <f t="shared" si="2"/>
        <v>0.01875</v>
      </c>
      <c r="K5" s="58">
        <f>IFERROR(__xludf.DUMMYFUNCTION("if(IFERROR(filter(targets_state!$K:$K,targets_state!$B:$B=$A5,targets_state!$K:$K=""yes""),"""")=""yes"",100%,0)"),0.0)</f>
        <v>0</v>
      </c>
      <c r="M5" s="29">
        <f t="shared" si="3"/>
        <v>0</v>
      </c>
      <c r="O5" s="29">
        <f t="shared" si="4"/>
        <v>0.01875</v>
      </c>
      <c r="S5" s="25"/>
      <c r="T5" s="25"/>
      <c r="U5" s="25"/>
      <c r="V5" s="25"/>
      <c r="W5" s="25"/>
      <c r="X5" s="25"/>
      <c r="Y5" s="25"/>
      <c r="Z5" s="25"/>
      <c r="AA5" s="25"/>
      <c r="AB5" s="25"/>
      <c r="AC5" s="25"/>
      <c r="AD5" s="25"/>
      <c r="AE5" s="25"/>
      <c r="AF5" s="25"/>
      <c r="AG5" s="25"/>
      <c r="AH5" s="25"/>
      <c r="AI5" s="25"/>
      <c r="AJ5" s="25"/>
      <c r="AK5" s="25"/>
      <c r="AL5" s="25"/>
      <c r="AM5" s="25"/>
    </row>
    <row r="6" ht="12.75" customHeight="1">
      <c r="A6" s="22">
        <f t="shared" si="5"/>
        <v>4</v>
      </c>
      <c r="B6" s="26"/>
      <c r="C6" s="33" t="str">
        <f t="array" ref="C6">IFERROR(index(targets_state!I:I,MATCH("id"&amp;$A6&amp;"targetsbti",targets_state!$Y:$Y,0)))</f>
        <v>set</v>
      </c>
      <c r="D6" s="33" t="str">
        <f t="array" ref="D6">IFERROR(index(targets_state!J:J,MATCH("id"&amp;$A6&amp;"targetsbti",targets_state!$Y:$Y,0)))</f>
        <v>1.5deg</v>
      </c>
      <c r="E6" s="33" t="str">
        <f t="shared" si="1"/>
        <v>set_1.5deg</v>
      </c>
      <c r="F6" s="26"/>
      <c r="G6" s="39">
        <f>IFERROR(VLOOKUP($E6,category_test_8,2,FALSE),0)</f>
        <v>1</v>
      </c>
      <c r="H6" s="25"/>
      <c r="I6" s="29">
        <f t="shared" si="2"/>
        <v>0.075</v>
      </c>
      <c r="K6" s="58">
        <f>IFERROR(__xludf.DUMMYFUNCTION("if(IFERROR(filter(targets_state!$K:$K,targets_state!$B:$B=$A6,targets_state!$K:$K=""yes""),"""")=""yes"",100%,0)"),0.0)</f>
        <v>0</v>
      </c>
      <c r="M6" s="29">
        <f t="shared" si="3"/>
        <v>0</v>
      </c>
      <c r="O6" s="29">
        <f t="shared" si="4"/>
        <v>0.075</v>
      </c>
      <c r="S6" s="25"/>
      <c r="T6" s="25"/>
      <c r="U6" s="25"/>
      <c r="V6" s="25"/>
      <c r="W6" s="25"/>
      <c r="X6" s="25"/>
      <c r="Y6" s="25"/>
      <c r="Z6" s="25"/>
      <c r="AA6" s="25"/>
      <c r="AB6" s="25"/>
      <c r="AC6" s="25"/>
      <c r="AD6" s="25"/>
      <c r="AE6" s="25"/>
      <c r="AF6" s="25"/>
      <c r="AG6" s="25"/>
      <c r="AH6" s="25"/>
      <c r="AI6" s="25"/>
      <c r="AJ6" s="25"/>
      <c r="AK6" s="25"/>
      <c r="AL6" s="25"/>
      <c r="AM6" s="25"/>
    </row>
    <row r="7" ht="12.75" customHeight="1">
      <c r="A7" s="22">
        <f t="shared" si="5"/>
        <v>5</v>
      </c>
      <c r="B7" s="26"/>
      <c r="C7" s="33" t="str">
        <f t="array" ref="C7">IFERROR(index(targets_state!I:I,MATCH("id"&amp;$A7&amp;"targetsbti",targets_state!$Y:$Y,0)))</f>
        <v>set</v>
      </c>
      <c r="D7" s="33" t="str">
        <f t="array" ref="D7">IFERROR(index(targets_state!J:J,MATCH("id"&amp;$A7&amp;"targetsbti",targets_state!$Y:$Y,0)))</f>
        <v>1.5deg</v>
      </c>
      <c r="E7" s="33" t="str">
        <f t="shared" si="1"/>
        <v>set_1.5deg</v>
      </c>
      <c r="F7" s="26"/>
      <c r="G7" s="39">
        <f>IFERROR(VLOOKUP($E7,category_test_8,2,FALSE),0)</f>
        <v>1</v>
      </c>
      <c r="H7" s="25"/>
      <c r="I7" s="29">
        <f t="shared" si="2"/>
        <v>0.075</v>
      </c>
      <c r="K7" s="58">
        <f>IFERROR(__xludf.DUMMYFUNCTION("if(IFERROR(filter(targets_state!$K:$K,targets_state!$B:$B=$A7,targets_state!$K:$K=""yes""),"""")=""yes"",100%,0)"),0.0)</f>
        <v>0</v>
      </c>
      <c r="M7" s="29">
        <f t="shared" si="3"/>
        <v>0</v>
      </c>
      <c r="O7" s="29">
        <f t="shared" si="4"/>
        <v>0.075</v>
      </c>
      <c r="S7" s="25"/>
      <c r="T7" s="25"/>
      <c r="U7" s="25"/>
      <c r="V7" s="25"/>
      <c r="W7" s="25"/>
      <c r="X7" s="25"/>
      <c r="Y7" s="25"/>
      <c r="Z7" s="25"/>
      <c r="AA7" s="25"/>
      <c r="AB7" s="25"/>
      <c r="AC7" s="25"/>
      <c r="AD7" s="25"/>
      <c r="AE7" s="25"/>
      <c r="AF7" s="25"/>
      <c r="AG7" s="25"/>
      <c r="AH7" s="25"/>
      <c r="AI7" s="25"/>
      <c r="AJ7" s="25"/>
      <c r="AK7" s="25"/>
      <c r="AL7" s="25"/>
      <c r="AM7" s="25"/>
    </row>
    <row r="8" ht="12.75" customHeight="1">
      <c r="A8" s="22">
        <f t="shared" si="5"/>
        <v>6</v>
      </c>
      <c r="B8" s="26"/>
      <c r="C8" s="33" t="str">
        <f t="array" ref="C8">IFERROR(index(targets_state!I:I,MATCH("id"&amp;$A8&amp;"targetsbti",targets_state!$Y:$Y,0)))</f>
        <v/>
      </c>
      <c r="D8" s="33" t="str">
        <f t="array" ref="D8">IFERROR(index(targets_state!J:J,MATCH("id"&amp;$A8&amp;"targetsbti",targets_state!$Y:$Y,0)))</f>
        <v/>
      </c>
      <c r="E8" s="33" t="str">
        <f t="shared" si="1"/>
        <v>_</v>
      </c>
      <c r="F8" s="26"/>
      <c r="G8" s="39">
        <f>IFERROR(VLOOKUP($E8,category_test_8,2,FALSE),0)</f>
        <v>0</v>
      </c>
      <c r="H8" s="25"/>
      <c r="I8" s="29">
        <f t="shared" si="2"/>
        <v>0</v>
      </c>
      <c r="J8" s="25"/>
      <c r="K8" s="58">
        <f>IFERROR(__xludf.DUMMYFUNCTION("if(IFERROR(filter(targets_state!$K:$K,targets_state!$B:$B=$A8,targets_state!$K:$K=""yes""),"""")=""yes"",100%,0)"),0.0)</f>
        <v>0</v>
      </c>
      <c r="L8" s="25"/>
      <c r="M8" s="29">
        <f t="shared" si="3"/>
        <v>0</v>
      </c>
      <c r="N8" s="25"/>
      <c r="O8" s="29">
        <f t="shared" si="4"/>
        <v>0</v>
      </c>
      <c r="P8" s="25"/>
      <c r="Q8" s="25"/>
      <c r="R8" s="25"/>
      <c r="S8" s="25"/>
      <c r="T8" s="25"/>
      <c r="U8" s="25"/>
      <c r="V8" s="25"/>
      <c r="W8" s="25"/>
      <c r="X8" s="25"/>
      <c r="Y8" s="25"/>
      <c r="Z8" s="25"/>
      <c r="AA8" s="25"/>
      <c r="AB8" s="25"/>
      <c r="AC8" s="25"/>
      <c r="AD8" s="25"/>
      <c r="AE8" s="25"/>
      <c r="AF8" s="25"/>
      <c r="AG8" s="25"/>
      <c r="AH8" s="25"/>
      <c r="AI8" s="25"/>
      <c r="AJ8" s="25"/>
      <c r="AK8" s="25"/>
      <c r="AL8" s="25"/>
      <c r="AM8" s="25"/>
    </row>
    <row r="9" ht="12.75" customHeight="1">
      <c r="A9" s="22">
        <f t="shared" si="5"/>
        <v>7</v>
      </c>
      <c r="B9" s="26"/>
      <c r="C9" s="33" t="str">
        <f t="array" ref="C9">IFERROR(index(targets_state!I:I,MATCH("id"&amp;$A9&amp;"targetsbti",targets_state!$Y:$Y,0)))</f>
        <v/>
      </c>
      <c r="D9" s="33" t="str">
        <f t="array" ref="D9">IFERROR(index(targets_state!J:J,MATCH("id"&amp;$A9&amp;"targetsbti",targets_state!$Y:$Y,0)))</f>
        <v/>
      </c>
      <c r="E9" s="33" t="str">
        <f t="shared" si="1"/>
        <v>_</v>
      </c>
      <c r="F9" s="26"/>
      <c r="G9" s="39">
        <f>IFERROR(VLOOKUP($E9,category_test_8,2,FALSE),0)</f>
        <v>0</v>
      </c>
      <c r="H9" s="25"/>
      <c r="I9" s="29">
        <f t="shared" si="2"/>
        <v>0</v>
      </c>
      <c r="J9" s="25"/>
      <c r="K9" s="58">
        <f>IFERROR(__xludf.DUMMYFUNCTION("if(IFERROR(filter(targets_state!$K:$K,targets_state!$B:$B=$A9,targets_state!$K:$K=""yes""),"""")=""yes"",100%,0)"),0.0)</f>
        <v>0</v>
      </c>
      <c r="L9" s="25"/>
      <c r="M9" s="29">
        <f t="shared" si="3"/>
        <v>0</v>
      </c>
      <c r="N9" s="25"/>
      <c r="O9" s="29">
        <f t="shared" si="4"/>
        <v>0</v>
      </c>
      <c r="P9" s="25"/>
      <c r="Q9" s="25"/>
      <c r="R9" s="25"/>
      <c r="S9" s="25"/>
      <c r="T9" s="25"/>
      <c r="U9" s="25"/>
      <c r="V9" s="25"/>
      <c r="W9" s="25"/>
      <c r="X9" s="25"/>
      <c r="Y9" s="25"/>
      <c r="Z9" s="25"/>
      <c r="AA9" s="25"/>
      <c r="AB9" s="25"/>
      <c r="AC9" s="25"/>
      <c r="AD9" s="25"/>
      <c r="AE9" s="25"/>
      <c r="AF9" s="25"/>
      <c r="AG9" s="25"/>
      <c r="AH9" s="25"/>
      <c r="AI9" s="25"/>
      <c r="AJ9" s="25"/>
      <c r="AK9" s="25"/>
      <c r="AL9" s="25"/>
      <c r="AM9" s="25"/>
    </row>
    <row r="10" ht="12.75" customHeight="1">
      <c r="A10" s="22">
        <f t="shared" si="5"/>
        <v>8</v>
      </c>
      <c r="B10" s="26"/>
      <c r="C10" s="33" t="str">
        <f t="array" ref="C10">IFERROR(index(targets_state!I:I,MATCH("id"&amp;$A10&amp;"targetsbti",targets_state!$Y:$Y,0)))</f>
        <v>set</v>
      </c>
      <c r="D10" s="33" t="str">
        <f t="array" ref="D10">IFERROR(index(targets_state!J:J,MATCH("id"&amp;$A10&amp;"targetsbti",targets_state!$Y:$Y,0)))</f>
        <v>1.5deg</v>
      </c>
      <c r="E10" s="33" t="str">
        <f t="shared" si="1"/>
        <v>set_1.5deg</v>
      </c>
      <c r="F10" s="26"/>
      <c r="G10" s="39">
        <f>IFERROR(VLOOKUP($E10,category_test_8,2,FALSE),0)</f>
        <v>1</v>
      </c>
      <c r="H10" s="25"/>
      <c r="I10" s="29">
        <f t="shared" si="2"/>
        <v>0.075</v>
      </c>
      <c r="J10" s="25"/>
      <c r="K10" s="58">
        <f>IFERROR(__xludf.DUMMYFUNCTION("if(IFERROR(filter(targets_state!$K:$K,targets_state!$B:$B=$A10,targets_state!$K:$K=""yes""),"""")=""yes"",100%,0)"),0.0)</f>
        <v>0</v>
      </c>
      <c r="L10" s="25"/>
      <c r="M10" s="29">
        <f t="shared" si="3"/>
        <v>0</v>
      </c>
      <c r="N10" s="25"/>
      <c r="O10" s="29">
        <f t="shared" si="4"/>
        <v>0.075</v>
      </c>
      <c r="P10" s="25"/>
      <c r="Q10" s="25"/>
      <c r="R10" s="25"/>
      <c r="S10" s="25"/>
      <c r="T10" s="25"/>
      <c r="U10" s="25"/>
      <c r="V10" s="25"/>
      <c r="W10" s="25"/>
      <c r="X10" s="25"/>
      <c r="Y10" s="25"/>
      <c r="Z10" s="25"/>
      <c r="AA10" s="25"/>
      <c r="AB10" s="25"/>
      <c r="AC10" s="25"/>
      <c r="AD10" s="25"/>
      <c r="AE10" s="25"/>
      <c r="AF10" s="25"/>
      <c r="AG10" s="25"/>
      <c r="AH10" s="25"/>
      <c r="AI10" s="25"/>
      <c r="AJ10" s="25"/>
      <c r="AK10" s="25"/>
      <c r="AL10" s="25"/>
      <c r="AM10" s="25"/>
    </row>
    <row r="11" ht="12.75" customHeight="1">
      <c r="A11" s="22">
        <f t="shared" si="5"/>
        <v>9</v>
      </c>
      <c r="B11" s="26"/>
      <c r="C11" s="33" t="str">
        <f t="array" ref="C11">IFERROR(index(targets_state!I:I,MATCH("id"&amp;$A11&amp;"targetsbti",targets_state!$Y:$Y,0)))</f>
        <v/>
      </c>
      <c r="D11" s="33" t="str">
        <f t="array" ref="D11">IFERROR(index(targets_state!J:J,MATCH("id"&amp;$A11&amp;"targetsbti",targets_state!$Y:$Y,0)))</f>
        <v/>
      </c>
      <c r="E11" s="33" t="str">
        <f t="shared" si="1"/>
        <v>_</v>
      </c>
      <c r="F11" s="26"/>
      <c r="G11" s="39">
        <f>IFERROR(VLOOKUP($E11,category_test_8,2,FALSE),0)</f>
        <v>0</v>
      </c>
      <c r="H11" s="25"/>
      <c r="I11" s="29">
        <f t="shared" si="2"/>
        <v>0</v>
      </c>
      <c r="J11" s="25"/>
      <c r="K11" s="58">
        <f>IFERROR(__xludf.DUMMYFUNCTION("if(IFERROR(filter(targets_state!$K:$K,targets_state!$B:$B=$A11,targets_state!$K:$K=""yes""),"""")=""yes"",100%,0)"),0.0)</f>
        <v>0</v>
      </c>
      <c r="L11" s="25"/>
      <c r="M11" s="29">
        <f t="shared" si="3"/>
        <v>0</v>
      </c>
      <c r="N11" s="25"/>
      <c r="O11" s="29">
        <f t="shared" si="4"/>
        <v>0</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row>
    <row r="12" ht="12.75" customHeight="1">
      <c r="A12" s="22">
        <f t="shared" si="5"/>
        <v>10</v>
      </c>
      <c r="B12" s="26"/>
      <c r="C12" s="33" t="str">
        <f t="array" ref="C12">IFERROR(index(targets_state!I:I,MATCH("id"&amp;$A12&amp;"targetsbti",targets_state!$Y:$Y,0)))</f>
        <v/>
      </c>
      <c r="D12" s="33" t="str">
        <f t="array" ref="D12">IFERROR(index(targets_state!J:J,MATCH("id"&amp;$A12&amp;"targetsbti",targets_state!$Y:$Y,0)))</f>
        <v/>
      </c>
      <c r="E12" s="33" t="str">
        <f t="shared" si="1"/>
        <v>_</v>
      </c>
      <c r="F12" s="26"/>
      <c r="G12" s="39">
        <f>IFERROR(VLOOKUP($E12,category_test_8,2,FALSE),0)</f>
        <v>0</v>
      </c>
      <c r="H12" s="25"/>
      <c r="I12" s="29">
        <f t="shared" si="2"/>
        <v>0</v>
      </c>
      <c r="J12" s="25"/>
      <c r="K12" s="58">
        <f>IFERROR(__xludf.DUMMYFUNCTION("if(IFERROR(filter(targets_state!$K:$K,targets_state!$B:$B=$A12,targets_state!$K:$K=""yes""),"""")=""yes"",100%,0)"),0.0)</f>
        <v>0</v>
      </c>
      <c r="L12" s="25"/>
      <c r="M12" s="29">
        <f t="shared" si="3"/>
        <v>0</v>
      </c>
      <c r="N12" s="25"/>
      <c r="O12" s="29">
        <f t="shared" si="4"/>
        <v>0</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row>
    <row r="13" ht="12.75" customHeight="1">
      <c r="A13" s="22">
        <f t="shared" si="5"/>
        <v>11</v>
      </c>
      <c r="B13" s="26"/>
      <c r="C13" s="33" t="str">
        <f t="array" ref="C13">IFERROR(index(targets_state!I:I,MATCH("id"&amp;$A13&amp;"targetsbti",targets_state!$Y:$Y,0)))</f>
        <v/>
      </c>
      <c r="D13" s="33" t="str">
        <f t="array" ref="D13">IFERROR(index(targets_state!J:J,MATCH("id"&amp;$A13&amp;"targetsbti",targets_state!$Y:$Y,0)))</f>
        <v/>
      </c>
      <c r="E13" s="33" t="str">
        <f t="shared" si="1"/>
        <v>_</v>
      </c>
      <c r="F13" s="26"/>
      <c r="G13" s="39">
        <f>IFERROR(VLOOKUP($E13,category_test_8,2,FALSE),0)</f>
        <v>0</v>
      </c>
      <c r="H13" s="25"/>
      <c r="I13" s="29">
        <f t="shared" si="2"/>
        <v>0</v>
      </c>
      <c r="J13" s="25"/>
      <c r="K13" s="58">
        <f>IFERROR(__xludf.DUMMYFUNCTION("if(IFERROR(filter(targets_state!$K:$K,targets_state!$B:$B=$A13,targets_state!$K:$K=""yes""),"""")=""yes"",100%,0)"),0.0)</f>
        <v>0</v>
      </c>
      <c r="L13" s="25"/>
      <c r="M13" s="29">
        <f t="shared" si="3"/>
        <v>0</v>
      </c>
      <c r="N13" s="25"/>
      <c r="O13" s="29">
        <f t="shared" si="4"/>
        <v>0</v>
      </c>
      <c r="P13" s="25"/>
      <c r="Q13" s="25"/>
      <c r="R13" s="25"/>
      <c r="S13" s="25"/>
      <c r="T13" s="25"/>
      <c r="U13" s="25"/>
      <c r="V13" s="25"/>
      <c r="W13" s="25"/>
      <c r="X13" s="25"/>
      <c r="Y13" s="25"/>
      <c r="Z13" s="25"/>
      <c r="AA13" s="25"/>
      <c r="AB13" s="25"/>
      <c r="AC13" s="25"/>
      <c r="AD13" s="25"/>
      <c r="AE13" s="25"/>
      <c r="AF13" s="25"/>
      <c r="AG13" s="25"/>
      <c r="AH13" s="25"/>
      <c r="AI13" s="25"/>
      <c r="AJ13" s="25"/>
      <c r="AK13" s="25"/>
      <c r="AL13" s="25"/>
      <c r="AM13" s="25"/>
    </row>
    <row r="14" ht="12.75" customHeight="1">
      <c r="A14" s="22">
        <f t="shared" si="5"/>
        <v>12</v>
      </c>
      <c r="B14" s="26"/>
      <c r="C14" s="33" t="str">
        <f t="array" ref="C14">IFERROR(index(targets_state!I:I,MATCH("id"&amp;$A14&amp;"targetsbti",targets_state!$Y:$Y,0)))</f>
        <v/>
      </c>
      <c r="D14" s="33" t="str">
        <f t="array" ref="D14">IFERROR(index(targets_state!J:J,MATCH("id"&amp;$A14&amp;"targetsbti",targets_state!$Y:$Y,0)))</f>
        <v/>
      </c>
      <c r="E14" s="33" t="str">
        <f t="shared" si="1"/>
        <v>_</v>
      </c>
      <c r="F14" s="26"/>
      <c r="G14" s="39">
        <f>IFERROR(VLOOKUP($E14,category_test_8,2,FALSE),0)</f>
        <v>0</v>
      </c>
      <c r="H14" s="25"/>
      <c r="I14" s="29">
        <f t="shared" si="2"/>
        <v>0</v>
      </c>
      <c r="J14" s="25"/>
      <c r="K14" s="58">
        <f>IFERROR(__xludf.DUMMYFUNCTION("if(IFERROR(filter(targets_state!$K:$K,targets_state!$B:$B=$A14,targets_state!$K:$K=""yes""),"""")=""yes"",100%,0)"),0.0)</f>
        <v>0</v>
      </c>
      <c r="L14" s="25"/>
      <c r="M14" s="29">
        <f t="shared" si="3"/>
        <v>0</v>
      </c>
      <c r="N14" s="25"/>
      <c r="O14" s="29">
        <f t="shared" si="4"/>
        <v>0</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row>
    <row r="15" ht="12.75" customHeight="1">
      <c r="A15" s="22">
        <f t="shared" si="5"/>
        <v>13</v>
      </c>
      <c r="B15" s="26"/>
      <c r="C15" s="33" t="str">
        <f t="array" ref="C15">IFERROR(index(targets_state!I:I,MATCH("id"&amp;$A15&amp;"targetsbti",targets_state!$Y:$Y,0)))</f>
        <v/>
      </c>
      <c r="D15" s="33" t="str">
        <f t="array" ref="D15">IFERROR(index(targets_state!J:J,MATCH("id"&amp;$A15&amp;"targetsbti",targets_state!$Y:$Y,0)))</f>
        <v/>
      </c>
      <c r="E15" s="33" t="str">
        <f t="shared" si="1"/>
        <v>_</v>
      </c>
      <c r="F15" s="26"/>
      <c r="G15" s="39">
        <f>IFERROR(VLOOKUP($E15,category_test_8,2,FALSE),0)</f>
        <v>0</v>
      </c>
      <c r="H15" s="25"/>
      <c r="I15" s="29">
        <f t="shared" si="2"/>
        <v>0</v>
      </c>
      <c r="J15" s="25"/>
      <c r="K15" s="58">
        <f>IFERROR(__xludf.DUMMYFUNCTION("if(IFERROR(filter(targets_state!$K:$K,targets_state!$B:$B=$A15,targets_state!$K:$K=""yes""),"""")=""yes"",100%,0)"),0.0)</f>
        <v>0</v>
      </c>
      <c r="L15" s="25"/>
      <c r="M15" s="29">
        <f t="shared" si="3"/>
        <v>0</v>
      </c>
      <c r="N15" s="25"/>
      <c r="O15" s="29">
        <f t="shared" si="4"/>
        <v>0</v>
      </c>
      <c r="P15" s="25"/>
      <c r="Q15" s="25"/>
      <c r="R15" s="25"/>
      <c r="S15" s="25"/>
      <c r="T15" s="25"/>
      <c r="U15" s="25"/>
      <c r="V15" s="25"/>
      <c r="W15" s="25"/>
      <c r="X15" s="25"/>
      <c r="Y15" s="25"/>
      <c r="Z15" s="25"/>
      <c r="AA15" s="25"/>
      <c r="AB15" s="25"/>
      <c r="AC15" s="25"/>
      <c r="AD15" s="25"/>
      <c r="AE15" s="25"/>
      <c r="AF15" s="25"/>
      <c r="AG15" s="25"/>
      <c r="AH15" s="25"/>
      <c r="AI15" s="25"/>
      <c r="AJ15" s="25"/>
      <c r="AK15" s="25"/>
      <c r="AL15" s="25"/>
      <c r="AM15" s="25"/>
    </row>
    <row r="16" ht="12.75" customHeight="1">
      <c r="A16" s="22">
        <f t="shared" si="5"/>
        <v>14</v>
      </c>
      <c r="B16" s="26"/>
      <c r="C16" s="33" t="str">
        <f t="array" ref="C16">IFERROR(index(targets_state!I:I,MATCH("id"&amp;$A16&amp;"targetsbti",targets_state!$Y:$Y,0)))</f>
        <v>set</v>
      </c>
      <c r="D16" s="33" t="str">
        <f t="array" ref="D16">IFERROR(index(targets_state!J:J,MATCH("id"&amp;$A16&amp;"targetsbti",targets_state!$Y:$Y,0)))</f>
        <v>1.5deg</v>
      </c>
      <c r="E16" s="33" t="str">
        <f t="shared" si="1"/>
        <v>set_1.5deg</v>
      </c>
      <c r="F16" s="26"/>
      <c r="G16" s="39">
        <f>IFERROR(VLOOKUP($E16,category_test_8,2,FALSE),0)</f>
        <v>1</v>
      </c>
      <c r="H16" s="25"/>
      <c r="I16" s="29">
        <f t="shared" si="2"/>
        <v>0.075</v>
      </c>
      <c r="J16" s="25"/>
      <c r="K16" s="58">
        <f>IFERROR(__xludf.DUMMYFUNCTION("if(IFERROR(filter(targets_state!$K:$K,targets_state!$B:$B=$A16,targets_state!$K:$K=""yes""),"""")=""yes"",100%,0)"),0.0)</f>
        <v>0</v>
      </c>
      <c r="L16" s="25"/>
      <c r="M16" s="29">
        <f t="shared" si="3"/>
        <v>0</v>
      </c>
      <c r="N16" s="25"/>
      <c r="O16" s="29">
        <f t="shared" si="4"/>
        <v>0.075</v>
      </c>
      <c r="P16" s="25"/>
      <c r="Q16" s="25"/>
      <c r="R16" s="25"/>
      <c r="S16" s="25"/>
      <c r="T16" s="25"/>
      <c r="U16" s="25"/>
      <c r="V16" s="25"/>
      <c r="W16" s="25"/>
      <c r="X16" s="25"/>
      <c r="Y16" s="25"/>
      <c r="Z16" s="25"/>
      <c r="AA16" s="25"/>
      <c r="AB16" s="25"/>
      <c r="AC16" s="25"/>
      <c r="AD16" s="25"/>
      <c r="AE16" s="25"/>
      <c r="AF16" s="25"/>
      <c r="AG16" s="25"/>
      <c r="AH16" s="25"/>
      <c r="AI16" s="25"/>
      <c r="AJ16" s="25"/>
      <c r="AK16" s="25"/>
      <c r="AL16" s="25"/>
      <c r="AM16" s="25"/>
    </row>
    <row r="17" ht="12.75" customHeight="1">
      <c r="A17" s="22">
        <f t="shared" si="5"/>
        <v>15</v>
      </c>
      <c r="B17" s="26"/>
      <c r="C17" s="33" t="str">
        <f t="array" ref="C17">IFERROR(index(targets_state!I:I,MATCH("id"&amp;$A17&amp;"targetsbti",targets_state!$Y:$Y,0)))</f>
        <v>set</v>
      </c>
      <c r="D17" s="33" t="str">
        <f t="array" ref="D17">IFERROR(index(targets_state!J:J,MATCH("id"&amp;$A17&amp;"targetsbti",targets_state!$Y:$Y,0)))</f>
        <v>1.5deg</v>
      </c>
      <c r="E17" s="33" t="str">
        <f t="shared" si="1"/>
        <v>set_1.5deg</v>
      </c>
      <c r="F17" s="26"/>
      <c r="G17" s="39">
        <f>IFERROR(VLOOKUP($E17,category_test_8,2,FALSE),0)</f>
        <v>1</v>
      </c>
      <c r="H17" s="25"/>
      <c r="I17" s="29">
        <f t="shared" si="2"/>
        <v>0.075</v>
      </c>
      <c r="J17" s="25"/>
      <c r="K17" s="58">
        <f>IFERROR(__xludf.DUMMYFUNCTION("if(IFERROR(filter(targets_state!$K:$K,targets_state!$B:$B=$A17,targets_state!$K:$K=""yes""),"""")=""yes"",100%,0)"),0.0)</f>
        <v>0</v>
      </c>
      <c r="L17" s="25"/>
      <c r="M17" s="29">
        <f t="shared" si="3"/>
        <v>0</v>
      </c>
      <c r="N17" s="25"/>
      <c r="O17" s="29">
        <f t="shared" si="4"/>
        <v>0.075</v>
      </c>
      <c r="P17" s="25"/>
      <c r="Q17" s="25"/>
      <c r="R17" s="25"/>
      <c r="S17" s="25"/>
      <c r="T17" s="25"/>
      <c r="U17" s="25"/>
      <c r="V17" s="25"/>
      <c r="W17" s="25"/>
      <c r="X17" s="25"/>
      <c r="Y17" s="25"/>
      <c r="Z17" s="25"/>
      <c r="AA17" s="25"/>
      <c r="AB17" s="25"/>
      <c r="AC17" s="25"/>
      <c r="AD17" s="25"/>
      <c r="AE17" s="25"/>
      <c r="AF17" s="25"/>
      <c r="AG17" s="25"/>
      <c r="AH17" s="25"/>
      <c r="AI17" s="25"/>
      <c r="AJ17" s="25"/>
      <c r="AK17" s="25"/>
      <c r="AL17" s="25"/>
      <c r="AM17" s="25"/>
    </row>
    <row r="18" ht="12.75" customHeight="1">
      <c r="A18" s="22">
        <f t="shared" si="5"/>
        <v>16</v>
      </c>
      <c r="B18" s="26"/>
      <c r="C18" s="33" t="str">
        <f t="array" ref="C18">IFERROR(index(targets_state!I:I,MATCH("id"&amp;$A18&amp;"targetsbti",targets_state!$Y:$Y,0)))</f>
        <v/>
      </c>
      <c r="D18" s="33" t="str">
        <f t="array" ref="D18">IFERROR(index(targets_state!J:J,MATCH("id"&amp;$A18&amp;"targetsbti",targets_state!$Y:$Y,0)))</f>
        <v/>
      </c>
      <c r="E18" s="33" t="str">
        <f t="shared" si="1"/>
        <v>_</v>
      </c>
      <c r="F18" s="26"/>
      <c r="G18" s="39">
        <f>IFERROR(VLOOKUP($E18,category_test_8,2,FALSE),0)</f>
        <v>0</v>
      </c>
      <c r="H18" s="25"/>
      <c r="I18" s="29">
        <f t="shared" si="2"/>
        <v>0</v>
      </c>
      <c r="J18" s="25"/>
      <c r="K18" s="58">
        <f>IFERROR(__xludf.DUMMYFUNCTION("if(IFERROR(filter(targets_state!$K:$K,targets_state!$B:$B=$A18,targets_state!$K:$K=""yes""),"""")=""yes"",100%,0)"),0.0)</f>
        <v>0</v>
      </c>
      <c r="L18" s="25"/>
      <c r="M18" s="29">
        <f t="shared" si="3"/>
        <v>0</v>
      </c>
      <c r="N18" s="25"/>
      <c r="O18" s="29">
        <f t="shared" si="4"/>
        <v>0</v>
      </c>
      <c r="P18" s="25"/>
      <c r="Q18" s="25"/>
      <c r="R18" s="25"/>
      <c r="S18" s="25"/>
      <c r="T18" s="25"/>
      <c r="U18" s="25"/>
      <c r="V18" s="25"/>
      <c r="W18" s="25"/>
      <c r="X18" s="25"/>
      <c r="Y18" s="25"/>
      <c r="Z18" s="25"/>
      <c r="AA18" s="25"/>
      <c r="AB18" s="25"/>
      <c r="AC18" s="25"/>
      <c r="AD18" s="25"/>
      <c r="AE18" s="25"/>
      <c r="AF18" s="25"/>
      <c r="AG18" s="25"/>
      <c r="AH18" s="25"/>
      <c r="AI18" s="25"/>
      <c r="AJ18" s="25"/>
      <c r="AK18" s="25"/>
      <c r="AL18" s="25"/>
      <c r="AM18" s="25"/>
    </row>
    <row r="19" ht="12.75" customHeight="1">
      <c r="A19" s="22">
        <f t="shared" si="5"/>
        <v>17</v>
      </c>
      <c r="B19" s="26"/>
      <c r="C19" s="33" t="str">
        <f t="array" ref="C19">IFERROR(index(targets_state!I:I,MATCH("id"&amp;$A19&amp;"targetsbti",targets_state!$Y:$Y,0)))</f>
        <v/>
      </c>
      <c r="D19" s="33" t="str">
        <f t="array" ref="D19">IFERROR(index(targets_state!J:J,MATCH("id"&amp;$A19&amp;"targetsbti",targets_state!$Y:$Y,0)))</f>
        <v/>
      </c>
      <c r="E19" s="33" t="str">
        <f t="shared" si="1"/>
        <v>_</v>
      </c>
      <c r="F19" s="26"/>
      <c r="G19" s="39">
        <f>IFERROR(VLOOKUP($E19,category_test_8,2,FALSE),0)</f>
        <v>0</v>
      </c>
      <c r="H19" s="25"/>
      <c r="I19" s="29">
        <f t="shared" si="2"/>
        <v>0</v>
      </c>
      <c r="J19" s="25"/>
      <c r="K19" s="58">
        <f>IFERROR(__xludf.DUMMYFUNCTION("if(IFERROR(filter(targets_state!$K:$K,targets_state!$B:$B=$A19,targets_state!$K:$K=""yes""),"""")=""yes"",100%,0)"),0.0)</f>
        <v>0</v>
      </c>
      <c r="L19" s="25"/>
      <c r="M19" s="29">
        <f t="shared" si="3"/>
        <v>0</v>
      </c>
      <c r="N19" s="25"/>
      <c r="O19" s="29">
        <f t="shared" si="4"/>
        <v>0</v>
      </c>
      <c r="P19" s="25"/>
      <c r="Q19" s="25"/>
      <c r="R19" s="25"/>
      <c r="S19" s="25"/>
      <c r="T19" s="25"/>
      <c r="U19" s="25"/>
      <c r="V19" s="25"/>
      <c r="W19" s="25"/>
      <c r="X19" s="25"/>
      <c r="Y19" s="25"/>
      <c r="Z19" s="25"/>
      <c r="AA19" s="25"/>
      <c r="AB19" s="25"/>
      <c r="AC19" s="25"/>
      <c r="AD19" s="25"/>
      <c r="AE19" s="25"/>
      <c r="AF19" s="25"/>
      <c r="AG19" s="25"/>
      <c r="AH19" s="25"/>
      <c r="AI19" s="25"/>
      <c r="AJ19" s="25"/>
      <c r="AK19" s="25"/>
      <c r="AL19" s="25"/>
      <c r="AM19" s="25"/>
    </row>
    <row r="20" ht="12.75" customHeight="1">
      <c r="A20" s="22">
        <f t="shared" si="5"/>
        <v>18</v>
      </c>
      <c r="B20" s="26"/>
      <c r="C20" s="33" t="str">
        <f t="array" ref="C20">IFERROR(index(targets_state!I:I,MATCH("id"&amp;$A20&amp;"targetsbti",targets_state!$Y:$Y,0)))</f>
        <v>active</v>
      </c>
      <c r="D20" s="33" t="str">
        <f t="array" ref="D20">IFERROR(index(targets_state!J:J,MATCH("id"&amp;$A20&amp;"targetsbti",targets_state!$Y:$Y,0)))</f>
        <v>1.5deg</v>
      </c>
      <c r="E20" s="33" t="str">
        <f t="shared" si="1"/>
        <v>active_1.5deg</v>
      </c>
      <c r="F20" s="26"/>
      <c r="G20" s="39">
        <f>IFERROR(VLOOKUP($E20,category_test_8,2,FALSE),0)</f>
        <v>0</v>
      </c>
      <c r="H20" s="25"/>
      <c r="I20" s="29">
        <f t="shared" si="2"/>
        <v>0</v>
      </c>
      <c r="J20" s="25"/>
      <c r="K20" s="58">
        <f>IFERROR(__xludf.DUMMYFUNCTION("if(IFERROR(filter(targets_state!$K:$K,targets_state!$B:$B=$A20,targets_state!$K:$K=""yes""),"""")=""yes"",100%,0)"),0.0)</f>
        <v>0</v>
      </c>
      <c r="L20" s="25"/>
      <c r="M20" s="29">
        <f t="shared" si="3"/>
        <v>0</v>
      </c>
      <c r="N20" s="25"/>
      <c r="O20" s="29">
        <f t="shared" si="4"/>
        <v>0</v>
      </c>
      <c r="P20" s="25"/>
      <c r="Q20" s="25"/>
      <c r="R20" s="25"/>
      <c r="S20" s="25"/>
      <c r="T20" s="25"/>
      <c r="U20" s="25"/>
      <c r="V20" s="25"/>
      <c r="W20" s="25"/>
      <c r="X20" s="25"/>
      <c r="Y20" s="25"/>
      <c r="Z20" s="25"/>
      <c r="AA20" s="25"/>
      <c r="AB20" s="25"/>
      <c r="AC20" s="25"/>
      <c r="AD20" s="25"/>
      <c r="AE20" s="25"/>
      <c r="AF20" s="25"/>
      <c r="AG20" s="25"/>
      <c r="AH20" s="25"/>
      <c r="AI20" s="25"/>
      <c r="AJ20" s="25"/>
      <c r="AK20" s="25"/>
      <c r="AL20" s="25"/>
      <c r="AM20" s="25"/>
    </row>
    <row r="21" ht="12.75" customHeight="1">
      <c r="A21" s="22">
        <f t="shared" si="5"/>
        <v>19</v>
      </c>
      <c r="B21" s="26"/>
      <c r="C21" s="33" t="str">
        <f t="array" ref="C21">IFERROR(index(targets_state!I:I,MATCH("id"&amp;$A21&amp;"targetsbti",targets_state!$Y:$Y,0)))</f>
        <v/>
      </c>
      <c r="D21" s="33" t="str">
        <f t="array" ref="D21">IFERROR(index(targets_state!J:J,MATCH("id"&amp;$A21&amp;"targetsbti",targets_state!$Y:$Y,0)))</f>
        <v/>
      </c>
      <c r="E21" s="33" t="str">
        <f t="shared" si="1"/>
        <v>_</v>
      </c>
      <c r="F21" s="26"/>
      <c r="G21" s="39">
        <f>IFERROR(VLOOKUP($E21,category_test_8,2,FALSE),0)</f>
        <v>0</v>
      </c>
      <c r="H21" s="25"/>
      <c r="I21" s="29">
        <f t="shared" si="2"/>
        <v>0</v>
      </c>
      <c r="J21" s="25"/>
      <c r="K21" s="58">
        <f>IFERROR(__xludf.DUMMYFUNCTION("if(IFERROR(filter(targets_state!$K:$K,targets_state!$B:$B=$A21,targets_state!$K:$K=""yes""),"""")=""yes"",100%,0)"),0.0)</f>
        <v>0</v>
      </c>
      <c r="L21" s="25"/>
      <c r="M21" s="29">
        <f t="shared" si="3"/>
        <v>0</v>
      </c>
      <c r="N21" s="25"/>
      <c r="O21" s="29">
        <f t="shared" si="4"/>
        <v>0</v>
      </c>
      <c r="P21" s="25"/>
      <c r="Q21" s="25"/>
      <c r="R21" s="25"/>
      <c r="S21" s="25"/>
      <c r="T21" s="25"/>
      <c r="U21" s="25"/>
      <c r="V21" s="25"/>
      <c r="W21" s="25"/>
      <c r="X21" s="25"/>
      <c r="Y21" s="25"/>
      <c r="Z21" s="25"/>
      <c r="AA21" s="25"/>
      <c r="AB21" s="25"/>
      <c r="AC21" s="25"/>
      <c r="AD21" s="25"/>
      <c r="AE21" s="25"/>
      <c r="AF21" s="25"/>
      <c r="AG21" s="25"/>
      <c r="AH21" s="25"/>
      <c r="AI21" s="25"/>
      <c r="AJ21" s="25"/>
      <c r="AK21" s="25"/>
      <c r="AL21" s="25"/>
      <c r="AM21" s="25"/>
    </row>
    <row r="22" ht="12.75" customHeight="1">
      <c r="A22" s="30">
        <v>66.0</v>
      </c>
      <c r="B22" s="26"/>
      <c r="C22" s="33" t="str">
        <f t="array" ref="C22">IFERROR(index(targets_state!I:I,MATCH("id"&amp;$A22&amp;"targetsbti",targets_state!$Y:$Y,0)))</f>
        <v>set</v>
      </c>
      <c r="D22" s="33" t="str">
        <f t="array" ref="D22">IFERROR(index(targets_state!J:J,MATCH("id"&amp;$A22&amp;"targetsbti",targets_state!$Y:$Y,0)))</f>
        <v>1.5deg</v>
      </c>
      <c r="E22" s="33" t="str">
        <f t="shared" si="1"/>
        <v>set_1.5deg</v>
      </c>
      <c r="F22" s="26"/>
      <c r="G22" s="39">
        <f>IFERROR(VLOOKUP($E22,category_test_8,2,FALSE),0)</f>
        <v>1</v>
      </c>
      <c r="H22" s="25"/>
      <c r="I22" s="29">
        <f t="shared" si="2"/>
        <v>0.075</v>
      </c>
      <c r="J22" s="25"/>
      <c r="K22" s="58">
        <f>IFERROR(__xludf.DUMMYFUNCTION("if(IFERROR(filter(targets_state!$K:$K,targets_state!$B:$B=$A22,targets_state!$K:$K=""yes""),"""")=""yes"",100%,0)"),1.0)</f>
        <v>1</v>
      </c>
      <c r="L22" s="25"/>
      <c r="M22" s="29">
        <f t="shared" si="3"/>
        <v>0.025</v>
      </c>
      <c r="N22" s="25"/>
      <c r="O22" s="29">
        <f t="shared" si="4"/>
        <v>0.1</v>
      </c>
      <c r="P22" s="25"/>
      <c r="Q22" s="25"/>
      <c r="R22" s="25"/>
      <c r="S22" s="25"/>
      <c r="T22" s="25"/>
      <c r="U22" s="25"/>
      <c r="V22" s="25"/>
      <c r="W22" s="25"/>
      <c r="X22" s="25"/>
      <c r="Y22" s="25"/>
      <c r="Z22" s="25"/>
      <c r="AA22" s="25"/>
      <c r="AB22" s="25"/>
      <c r="AC22" s="25"/>
      <c r="AD22" s="25"/>
      <c r="AE22" s="25"/>
      <c r="AF22" s="25"/>
      <c r="AG22" s="25"/>
      <c r="AH22" s="25"/>
      <c r="AI22" s="25"/>
      <c r="AJ22" s="25"/>
      <c r="AK22" s="25"/>
      <c r="AL22" s="25"/>
      <c r="AM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t="s">
        <v>629</v>
      </c>
      <c r="R1" s="18" t="s">
        <v>587</v>
      </c>
      <c r="S1" s="18" t="s">
        <v>588</v>
      </c>
      <c r="T1" s="19" t="s">
        <v>531</v>
      </c>
      <c r="U1" s="20" t="s">
        <v>548</v>
      </c>
      <c r="V1" s="45"/>
      <c r="AE1" s="18" t="s">
        <v>629</v>
      </c>
      <c r="AF1" s="18" t="s">
        <v>587</v>
      </c>
      <c r="AG1" s="18" t="s">
        <v>588</v>
      </c>
      <c r="AH1" s="19" t="s">
        <v>531</v>
      </c>
      <c r="AI1" s="20" t="s">
        <v>548</v>
      </c>
      <c r="AK1" s="19"/>
    </row>
    <row r="2">
      <c r="A2" s="22"/>
      <c r="B2" s="23"/>
      <c r="C2" s="23" t="str">
        <f>test6_1!C2</f>
        <v>abs</v>
      </c>
      <c r="D2" s="23" t="str">
        <f>test6_1!D2</f>
        <v>S1S2</v>
      </c>
      <c r="E2" s="23" t="str">
        <f>test6_1!E2</f>
        <v>no</v>
      </c>
      <c r="F2" s="23" t="str">
        <f>test6_1!F2</f>
        <v>min</v>
      </c>
      <c r="G2" s="47" t="s">
        <v>605</v>
      </c>
      <c r="H2" s="47" t="s">
        <v>606</v>
      </c>
      <c r="I2" s="47" t="s">
        <v>534</v>
      </c>
      <c r="J2" s="47" t="s">
        <v>630</v>
      </c>
      <c r="K2" s="47" t="s">
        <v>631</v>
      </c>
      <c r="L2" s="47" t="s">
        <v>632</v>
      </c>
      <c r="M2" s="47" t="s">
        <v>601</v>
      </c>
      <c r="N2" s="47" t="s">
        <v>633</v>
      </c>
      <c r="O2" s="47" t="s">
        <v>634</v>
      </c>
      <c r="P2" s="47" t="s">
        <v>635</v>
      </c>
      <c r="Q2" s="47"/>
      <c r="R2" s="51">
        <v>0.8</v>
      </c>
      <c r="S2" s="51">
        <v>1.1</v>
      </c>
      <c r="T2" s="24"/>
      <c r="U2" s="24">
        <v>0.05</v>
      </c>
      <c r="V2" s="46"/>
      <c r="W2" s="47" t="s">
        <v>636</v>
      </c>
      <c r="X2" s="38" t="s">
        <v>538</v>
      </c>
      <c r="Y2" s="47" t="s">
        <v>607</v>
      </c>
      <c r="Z2" s="47" t="s">
        <v>608</v>
      </c>
      <c r="AA2" s="47" t="s">
        <v>609</v>
      </c>
      <c r="AB2" s="47" t="s">
        <v>610</v>
      </c>
      <c r="AC2" s="47" t="s">
        <v>637</v>
      </c>
      <c r="AD2" s="47" t="s">
        <v>635</v>
      </c>
      <c r="AE2" s="47"/>
      <c r="AF2" s="51">
        <v>0.8</v>
      </c>
      <c r="AG2" s="51">
        <v>1.1</v>
      </c>
      <c r="AH2" s="24"/>
      <c r="AI2" s="24">
        <v>0.05</v>
      </c>
      <c r="AJ2" s="59"/>
      <c r="AK2" s="24"/>
    </row>
    <row r="3" ht="12.75" customHeight="1">
      <c r="A3" s="22">
        <v>1.0</v>
      </c>
      <c r="B3" s="26"/>
      <c r="C3" s="26"/>
      <c r="D3" s="26"/>
      <c r="E3" s="26"/>
      <c r="F3" s="26"/>
      <c r="G3" s="49">
        <f>vlookup($A3,test6_1!$A:$H,COLUMN(test6_1!$H:$H),FALSE)</f>
        <v>5</v>
      </c>
      <c r="H3" s="26">
        <f>VLOOKUP($A3,test6_1!$A:$U,COLUMN(test6_1!$I:$I),FALSE)</f>
        <v>2019</v>
      </c>
      <c r="I3" s="26">
        <f>VLOOKUP($A3,test6_1!$A:$U,COLUMN(test6_1!$P:$P),FALSE)</f>
        <v>2020</v>
      </c>
      <c r="J3" s="26">
        <f>VLOOKUP($A3,test6_1!$A:$U,COLUMN(test6_1!$M:$M),FALSE)</f>
        <v>5370000</v>
      </c>
      <c r="K3" s="26">
        <f>VLOOKUP($A3,test6_1!$A:$U,COLUMN(test6_1!$T:$T),FALSE)</f>
        <v>4850000</v>
      </c>
      <c r="L3" s="53">
        <f t="shared" ref="L3:L22" si="1">if(J3&lt;&gt;0,-K3/J3+1,0)</f>
        <v>0.09683426443</v>
      </c>
      <c r="M3" s="60">
        <f>VLOOKUP($A3,test6_1!$A:$U,COLUMN(test6_1!$G:$G),FALSE)</f>
        <v>2030</v>
      </c>
      <c r="N3" s="52">
        <f>VLOOKUP($A3,test6_1!$A:$U,COLUMN(test6_1!$N:$N),FALSE)</f>
        <v>0.5</v>
      </c>
      <c r="O3" s="61">
        <f t="shared" ref="O3:O22" si="2">IF(G3,N3/(M3-H3)*(I3-H3),0)</f>
        <v>0.04545454545</v>
      </c>
      <c r="P3" s="52">
        <f t="shared" ref="P3:P22" si="3">IF(O3&lt;&gt;0,L3/O3,0)</f>
        <v>2.130353818</v>
      </c>
      <c r="Q3" s="18" t="s">
        <v>638</v>
      </c>
      <c r="R3" s="18" t="s">
        <v>587</v>
      </c>
      <c r="S3" s="18" t="s">
        <v>588</v>
      </c>
      <c r="T3" s="29">
        <f t="shared" ref="T3:T22" si="4">if(min(100%/($S$2-$R$2)*(P3-$R$2),$S$4)&lt;$R$4,0,min(100%/($S$2-$R$2)*(P3-$R$2),$S$4))</f>
        <v>1</v>
      </c>
      <c r="U3" s="29">
        <f t="shared" ref="U3:U22" si="5">U$2*T3</f>
        <v>0.05</v>
      </c>
      <c r="V3" s="48"/>
      <c r="W3" s="62">
        <f>VLOOKUP($A3,test6_1!$A:$U,COLUMN(test6_1!$U:$U),FALSE)</f>
        <v>0.04463917526</v>
      </c>
      <c r="X3" s="26">
        <f t="shared" ref="X3:X18" si="6">I3-1</f>
        <v>2019</v>
      </c>
      <c r="Y3" s="26">
        <f>IFERROR(__xludf.DUMMYFUNCTION("filter(ghg!$F:$F,(ghg!$B:$B=$A3)*(ghg!$E:$E=$X3))"),4050000.0)</f>
        <v>4050000</v>
      </c>
      <c r="Z3" s="26">
        <f>IFERROR(__xludf.DUMMYFUNCTION("filter(ghg!$G:$G,(ghg!$B:$B=$A3)*(ghg!$E:$E=$X3))"),1780000.0)</f>
        <v>1780000</v>
      </c>
      <c r="AA3" s="26">
        <f>IFERROR(__xludf.DUMMYFUNCTION("filter(ghg!$H:$H,(ghg!$B:$B=$A3)*(ghg!$E:$E=$X3))"),1320000.0)</f>
        <v>1320000</v>
      </c>
      <c r="AB3" s="26">
        <f t="shared" ref="AB3:AB18" si="7">Y3+min(Z3:AA3)</f>
        <v>5370000</v>
      </c>
      <c r="AC3" s="62">
        <f t="shared" ref="AC3:AC18" si="8">-K3/AB3+1</f>
        <v>0.09683426443</v>
      </c>
      <c r="AD3" s="62">
        <f t="shared" ref="AD3:AD22" si="9">IF(value(W3)&lt;&gt;0,AC3/W3,0)</f>
        <v>2.169266432</v>
      </c>
      <c r="AE3" s="18" t="s">
        <v>638</v>
      </c>
      <c r="AF3" s="18" t="s">
        <v>587</v>
      </c>
      <c r="AG3" s="18" t="s">
        <v>588</v>
      </c>
      <c r="AH3" s="29">
        <f t="shared" ref="AH3:AH22" si="10">IF(min(100%/($AG$2-$AF$2)*(AD3-$AF$2),$AG$4)&lt;$AF$4,0,min(100%/($AG$2-$AF$2)*(AD3-$AF$2),$AG$4))</f>
        <v>1</v>
      </c>
      <c r="AI3" s="29">
        <f t="shared" ref="AI3:AI22" si="11">AI$2*AH3</f>
        <v>0.05</v>
      </c>
      <c r="AJ3" s="26"/>
      <c r="AK3" s="29"/>
    </row>
    <row r="4" ht="12.75" customHeight="1">
      <c r="A4" s="22">
        <f t="shared" ref="A4:A21" si="12">A3+1</f>
        <v>2</v>
      </c>
      <c r="B4" s="26"/>
      <c r="C4" s="26"/>
      <c r="D4" s="26"/>
      <c r="E4" s="26"/>
      <c r="F4" s="26"/>
      <c r="G4" s="49">
        <f>vlookup($A4,test6_1!$A:$H,COLUMN(test6_1!$H:$H),FALSE)</f>
        <v>8</v>
      </c>
      <c r="H4" s="26">
        <f>VLOOKUP($A4,test6_1!$A:$U,COLUMN(test6_1!$I:$I),FALSE)</f>
        <v>2018</v>
      </c>
      <c r="I4" s="26">
        <f>VLOOKUP($A4,test6_1!$A:$U,COLUMN(test6_1!$P:$P),FALSE)</f>
        <v>2020</v>
      </c>
      <c r="J4" s="26">
        <f>VLOOKUP($A4,test6_1!$A:$U,COLUMN(test6_1!$M:$M),FALSE)</f>
        <v>980000</v>
      </c>
      <c r="K4" s="26">
        <f>VLOOKUP($A4,test6_1!$A:$U,COLUMN(test6_1!$T:$T),FALSE)</f>
        <v>906000</v>
      </c>
      <c r="L4" s="53">
        <f t="shared" si="1"/>
        <v>0.07551020408</v>
      </c>
      <c r="M4" s="60">
        <f>VLOOKUP($A4,test6_1!$A:$U,COLUMN(test6_1!$G:$G),FALSE)</f>
        <v>2030</v>
      </c>
      <c r="N4" s="52">
        <f>VLOOKUP($A4,test6_1!$A:$U,COLUMN(test6_1!$N:$N),FALSE)</f>
        <v>0.3</v>
      </c>
      <c r="O4" s="61">
        <f t="shared" si="2"/>
        <v>0.05</v>
      </c>
      <c r="P4" s="52">
        <f t="shared" si="3"/>
        <v>1.510204082</v>
      </c>
      <c r="Q4" s="26"/>
      <c r="R4" s="18">
        <v>0.5</v>
      </c>
      <c r="S4" s="18">
        <v>1.0</v>
      </c>
      <c r="T4" s="29">
        <f t="shared" si="4"/>
        <v>1</v>
      </c>
      <c r="U4" s="29">
        <f t="shared" si="5"/>
        <v>0.05</v>
      </c>
      <c r="V4" s="48"/>
      <c r="W4" s="62">
        <f>VLOOKUP($A4,test6_1!$A:$U,COLUMN(test6_1!$U:$U),FALSE)</f>
        <v>0.02428256071</v>
      </c>
      <c r="X4" s="26">
        <f t="shared" si="6"/>
        <v>2019</v>
      </c>
      <c r="Y4" s="26">
        <f>IFERROR(__xludf.DUMMYFUNCTION("filter(ghg!$F:$F,(ghg!$B:$B=$A4)*(ghg!$E:$E=$X4))"),543000.0)</f>
        <v>543000</v>
      </c>
      <c r="Z4" s="26">
        <f>IFERROR(__xludf.DUMMYFUNCTION("filter(ghg!$G:$G,(ghg!$B:$B=$A4)*(ghg!$E:$E=$X4))"),498000.0)</f>
        <v>498000</v>
      </c>
      <c r="AA4" s="26">
        <f>IFERROR(__xludf.DUMMYFUNCTION("filter(ghg!$H:$H,(ghg!$B:$B=$A4)*(ghg!$E:$E=$X4))"),419000.0)</f>
        <v>419000</v>
      </c>
      <c r="AB4" s="26">
        <f t="shared" si="7"/>
        <v>962000</v>
      </c>
      <c r="AC4" s="62">
        <f t="shared" si="8"/>
        <v>0.05821205821</v>
      </c>
      <c r="AD4" s="62">
        <f t="shared" si="9"/>
        <v>2.397278397</v>
      </c>
      <c r="AE4" s="26"/>
      <c r="AF4" s="18">
        <v>0.5</v>
      </c>
      <c r="AG4" s="18">
        <v>1.0</v>
      </c>
      <c r="AH4" s="29">
        <f t="shared" si="10"/>
        <v>1</v>
      </c>
      <c r="AI4" s="29">
        <f t="shared" si="11"/>
        <v>0.05</v>
      </c>
      <c r="AJ4" s="25"/>
      <c r="AK4" s="29"/>
    </row>
    <row r="5" ht="12.75" customHeight="1">
      <c r="A5" s="22">
        <f t="shared" si="12"/>
        <v>3</v>
      </c>
      <c r="B5" s="26"/>
      <c r="C5" s="26"/>
      <c r="D5" s="26"/>
      <c r="E5" s="26"/>
      <c r="F5" s="26"/>
      <c r="G5" s="49">
        <f>vlookup($A5,test6_1!$A:$H,COLUMN(test6_1!$H:$H),FALSE)</f>
        <v>9</v>
      </c>
      <c r="H5" s="26">
        <f>VLOOKUP($A5,test6_1!$A:$U,COLUMN(test6_1!$I:$I),FALSE)</f>
        <v>2015</v>
      </c>
      <c r="I5" s="26">
        <f>VLOOKUP($A5,test6_1!$A:$U,COLUMN(test6_1!$P:$P),FALSE)</f>
        <v>2020</v>
      </c>
      <c r="J5" s="26">
        <f>VLOOKUP($A5,test6_1!$A:$U,COLUMN(test6_1!$M:$M),FALSE)</f>
        <v>610000</v>
      </c>
      <c r="K5" s="26">
        <f>VLOOKUP($A5,test6_1!$A:$U,COLUMN(test6_1!$T:$T),FALSE)</f>
        <v>508000</v>
      </c>
      <c r="L5" s="53">
        <f t="shared" si="1"/>
        <v>0.1672131148</v>
      </c>
      <c r="M5" s="60">
        <f>VLOOKUP($A5,test6_1!$A:$U,COLUMN(test6_1!$G:$G),FALSE)</f>
        <v>2025</v>
      </c>
      <c r="N5" s="52">
        <f>VLOOKUP($A5,test6_1!$A:$U,COLUMN(test6_1!$N:$N),FALSE)</f>
        <v>0.25</v>
      </c>
      <c r="O5" s="61">
        <f t="shared" si="2"/>
        <v>0.125</v>
      </c>
      <c r="P5" s="52">
        <f t="shared" si="3"/>
        <v>1.337704918</v>
      </c>
      <c r="Q5" s="26"/>
      <c r="R5" s="26"/>
      <c r="S5" s="26"/>
      <c r="T5" s="29">
        <f t="shared" si="4"/>
        <v>1</v>
      </c>
      <c r="U5" s="29">
        <f t="shared" si="5"/>
        <v>0.05</v>
      </c>
      <c r="V5" s="48"/>
      <c r="W5" s="62">
        <f>VLOOKUP($A5,test6_1!$A:$U,COLUMN(test6_1!$U:$U),FALSE)</f>
        <v>0.01988188976</v>
      </c>
      <c r="X5" s="26">
        <f t="shared" si="6"/>
        <v>2019</v>
      </c>
      <c r="Y5" s="26">
        <f>IFERROR(__xludf.DUMMYFUNCTION("filter(ghg!$F:$F,(ghg!$B:$B=$A5)*(ghg!$E:$E=$X5))"),315000.0)</f>
        <v>315000</v>
      </c>
      <c r="Z5" s="26">
        <f>IFERROR(__xludf.DUMMYFUNCTION("filter(ghg!$G:$G,(ghg!$B:$B=$A5)*(ghg!$E:$E=$X5))"),308000.0)</f>
        <v>308000</v>
      </c>
      <c r="AA5" s="26">
        <f>IFERROR(__xludf.DUMMYFUNCTION("filter(ghg!$H:$H,(ghg!$B:$B=$A5)*(ghg!$E:$E=$X5))"),250000.0)</f>
        <v>250000</v>
      </c>
      <c r="AB5" s="26">
        <f t="shared" si="7"/>
        <v>565000</v>
      </c>
      <c r="AC5" s="62">
        <f t="shared" si="8"/>
        <v>0.1008849558</v>
      </c>
      <c r="AD5" s="62">
        <f t="shared" si="9"/>
        <v>5.074213616</v>
      </c>
      <c r="AE5" s="25"/>
      <c r="AF5" s="25"/>
      <c r="AG5" s="25"/>
      <c r="AH5" s="29">
        <f t="shared" si="10"/>
        <v>1</v>
      </c>
      <c r="AI5" s="29">
        <f t="shared" si="11"/>
        <v>0.05</v>
      </c>
      <c r="AJ5" s="25"/>
      <c r="AK5" s="29"/>
    </row>
    <row r="6" ht="12.75" customHeight="1">
      <c r="A6" s="22">
        <f t="shared" si="12"/>
        <v>4</v>
      </c>
      <c r="B6" s="26"/>
      <c r="C6" s="26"/>
      <c r="D6" s="26"/>
      <c r="E6" s="26"/>
      <c r="F6" s="26"/>
      <c r="G6" s="49">
        <f>vlookup($A6,test6_1!$A:$H,COLUMN(test6_1!$H:$H),FALSE)</f>
        <v>12</v>
      </c>
      <c r="H6" s="26">
        <f>VLOOKUP($A6,test6_1!$A:$U,COLUMN(test6_1!$I:$I),FALSE)</f>
        <v>2016</v>
      </c>
      <c r="I6" s="26">
        <f>VLOOKUP($A6,test6_1!$A:$U,COLUMN(test6_1!$P:$P),FALSE)</f>
        <v>2020</v>
      </c>
      <c r="J6" s="26">
        <f>VLOOKUP($A6,test6_1!$A:$U,COLUMN(test6_1!$M:$M),FALSE)</f>
        <v>241038</v>
      </c>
      <c r="K6" s="26">
        <f>VLOOKUP($A6,test6_1!$A:$U,COLUMN(test6_1!$T:$T),FALSE)</f>
        <v>176928</v>
      </c>
      <c r="L6" s="53">
        <f t="shared" si="1"/>
        <v>0.2659746596</v>
      </c>
      <c r="M6" s="60">
        <f>VLOOKUP($A6,test6_1!$A:$U,COLUMN(test6_1!$G:$G),FALSE)</f>
        <v>2025</v>
      </c>
      <c r="N6" s="52">
        <f>VLOOKUP($A6,test6_1!$A:$U,COLUMN(test6_1!$N:$N),FALSE)</f>
        <v>0.65</v>
      </c>
      <c r="O6" s="61">
        <f t="shared" si="2"/>
        <v>0.2888888889</v>
      </c>
      <c r="P6" s="52">
        <f t="shared" si="3"/>
        <v>0.920681514</v>
      </c>
      <c r="Q6" s="26"/>
      <c r="R6" s="26"/>
      <c r="S6" s="26"/>
      <c r="T6" s="29">
        <f t="shared" si="4"/>
        <v>0</v>
      </c>
      <c r="U6" s="29">
        <f t="shared" si="5"/>
        <v>0</v>
      </c>
      <c r="V6" s="48"/>
      <c r="W6" s="62">
        <f>VLOOKUP($A6,test6_1!$A:$U,COLUMN(test6_1!$U:$U),FALSE)</f>
        <v>0.1046354449</v>
      </c>
      <c r="X6" s="26">
        <f t="shared" si="6"/>
        <v>2019</v>
      </c>
      <c r="Y6" s="26">
        <f>IFERROR(__xludf.DUMMYFUNCTION("filter(ghg!$F:$F,(ghg!$B:$B=$A6)*(ghg!$E:$E=$X6))"),18923.0)</f>
        <v>18923</v>
      </c>
      <c r="Z6" s="26" t="str">
        <f>IFERROR(__xludf.DUMMYFUNCTION("filter(ghg!$G:$G,(ghg!$B:$B=$A6)*(ghg!$E:$E=$X6))"),"")</f>
        <v/>
      </c>
      <c r="AA6" s="26">
        <f>IFERROR(__xludf.DUMMYFUNCTION("filter(ghg!$H:$H,(ghg!$B:$B=$A6)*(ghg!$E:$E=$X6))"),214680.0)</f>
        <v>214680</v>
      </c>
      <c r="AB6" s="26">
        <f t="shared" si="7"/>
        <v>233603</v>
      </c>
      <c r="AC6" s="62">
        <f t="shared" si="8"/>
        <v>0.2426124664</v>
      </c>
      <c r="AD6" s="62">
        <f t="shared" si="9"/>
        <v>2.318645146</v>
      </c>
      <c r="AE6" s="25"/>
      <c r="AF6" s="25"/>
      <c r="AG6" s="25"/>
      <c r="AH6" s="29">
        <f t="shared" si="10"/>
        <v>1</v>
      </c>
      <c r="AI6" s="29">
        <f t="shared" si="11"/>
        <v>0.05</v>
      </c>
      <c r="AJ6" s="25"/>
      <c r="AK6" s="29"/>
    </row>
    <row r="7" ht="12.75" customHeight="1">
      <c r="A7" s="22">
        <f t="shared" si="12"/>
        <v>5</v>
      </c>
      <c r="B7" s="26"/>
      <c r="C7" s="26"/>
      <c r="D7" s="26"/>
      <c r="E7" s="26"/>
      <c r="F7" s="26"/>
      <c r="G7" s="49">
        <f>vlookup($A7,test6_1!$A:$H,COLUMN(test6_1!$H:$H),FALSE)</f>
        <v>15</v>
      </c>
      <c r="H7" s="26">
        <f>VLOOKUP($A7,test6_1!$A:$U,COLUMN(test6_1!$I:$I),FALSE)</f>
        <v>2018</v>
      </c>
      <c r="I7" s="26">
        <f>VLOOKUP($A7,test6_1!$A:$U,COLUMN(test6_1!$P:$P),FALSE)</f>
        <v>2020</v>
      </c>
      <c r="J7" s="26">
        <f>VLOOKUP($A7,test6_1!$A:$U,COLUMN(test6_1!$M:$M),FALSE)</f>
        <v>59990</v>
      </c>
      <c r="K7" s="26">
        <f>VLOOKUP($A7,test6_1!$A:$U,COLUMN(test6_1!$T:$T),FALSE)</f>
        <v>44382</v>
      </c>
      <c r="L7" s="53">
        <f t="shared" si="1"/>
        <v>0.2601766961</v>
      </c>
      <c r="M7" s="60">
        <f>VLOOKUP($A7,test6_1!$A:$U,COLUMN(test6_1!$G:$G),FALSE)</f>
        <v>2025</v>
      </c>
      <c r="N7" s="52">
        <f>VLOOKUP($A7,test6_1!$A:$U,COLUMN(test6_1!$N:$N),FALSE)</f>
        <v>0.35</v>
      </c>
      <c r="O7" s="61">
        <f t="shared" si="2"/>
        <v>0.1</v>
      </c>
      <c r="P7" s="52">
        <f t="shared" si="3"/>
        <v>2.601766961</v>
      </c>
      <c r="Q7" s="26"/>
      <c r="R7" s="26"/>
      <c r="S7" s="26"/>
      <c r="T7" s="29">
        <f t="shared" si="4"/>
        <v>1</v>
      </c>
      <c r="U7" s="29">
        <f t="shared" si="5"/>
        <v>0.05</v>
      </c>
      <c r="V7" s="48"/>
      <c r="W7" s="62">
        <f>VLOOKUP($A7,test6_1!$A:$U,COLUMN(test6_1!$U:$U),FALSE)</f>
        <v>0.02428236673</v>
      </c>
      <c r="X7" s="26">
        <f t="shared" si="6"/>
        <v>2019</v>
      </c>
      <c r="Y7" s="26">
        <f>IFERROR(__xludf.DUMMYFUNCTION("filter(ghg!$F:$F,(ghg!$B:$B=$A7)*(ghg!$E:$E=$X7))"),11817.0)</f>
        <v>11817</v>
      </c>
      <c r="Z7" s="26">
        <f>IFERROR(__xludf.DUMMYFUNCTION("filter(ghg!$G:$G,(ghg!$B:$B=$A7)*(ghg!$E:$E=$X7))"),56128.0)</f>
        <v>56128</v>
      </c>
      <c r="AA7" s="26">
        <f>IFERROR(__xludf.DUMMYFUNCTION("filter(ghg!$H:$H,(ghg!$B:$B=$A7)*(ghg!$E:$E=$X7))"),43893.0)</f>
        <v>43893</v>
      </c>
      <c r="AB7" s="26">
        <f t="shared" si="7"/>
        <v>55710</v>
      </c>
      <c r="AC7" s="62">
        <f t="shared" si="8"/>
        <v>0.2033387184</v>
      </c>
      <c r="AD7" s="62">
        <f t="shared" si="9"/>
        <v>8.373925024</v>
      </c>
      <c r="AE7" s="25"/>
      <c r="AF7" s="25"/>
      <c r="AG7" s="25"/>
      <c r="AH7" s="29">
        <f t="shared" si="10"/>
        <v>1</v>
      </c>
      <c r="AI7" s="29">
        <f t="shared" si="11"/>
        <v>0.05</v>
      </c>
      <c r="AJ7" s="25"/>
      <c r="AK7" s="29"/>
    </row>
    <row r="8" ht="12.75" customHeight="1">
      <c r="A8" s="22">
        <f t="shared" si="12"/>
        <v>6</v>
      </c>
      <c r="B8" s="26"/>
      <c r="C8" s="26"/>
      <c r="D8" s="26"/>
      <c r="E8" s="26"/>
      <c r="F8" s="26"/>
      <c r="G8" s="49" t="str">
        <f>vlookup($A8,test6_1!$A:$H,COLUMN(test6_1!$H:$H),FALSE)</f>
        <v/>
      </c>
      <c r="H8" s="26" t="str">
        <f>VLOOKUP($A8,test6_1!$A:$U,COLUMN(test6_1!$I:$I),FALSE)</f>
        <v/>
      </c>
      <c r="I8" s="26">
        <f>VLOOKUP($A8,test6_1!$A:$U,COLUMN(test6_1!$P:$P),FALSE)</f>
        <v>2020</v>
      </c>
      <c r="J8" s="26">
        <f>VLOOKUP($A8,test6_1!$A:$U,COLUMN(test6_1!$M:$M),FALSE)</f>
        <v>0</v>
      </c>
      <c r="K8" s="26">
        <f>VLOOKUP($A8,test6_1!$A:$U,COLUMN(test6_1!$T:$T),FALSE)</f>
        <v>0</v>
      </c>
      <c r="L8" s="53">
        <f t="shared" si="1"/>
        <v>0</v>
      </c>
      <c r="M8" s="60" t="str">
        <f>VLOOKUP($A8,test6_1!$A:$U,COLUMN(test6_1!$G:$G),FALSE)</f>
        <v/>
      </c>
      <c r="N8" s="26" t="str">
        <f>VLOOKUP($A8,test6_1!$A:$U,COLUMN(test6_1!$N:$N),FALSE)</f>
        <v/>
      </c>
      <c r="O8" s="61">
        <f t="shared" si="2"/>
        <v>0</v>
      </c>
      <c r="P8" s="26">
        <f t="shared" si="3"/>
        <v>0</v>
      </c>
      <c r="Q8" s="26"/>
      <c r="R8" s="26"/>
      <c r="S8" s="26"/>
      <c r="T8" s="29">
        <f t="shared" si="4"/>
        <v>0</v>
      </c>
      <c r="U8" s="29">
        <f t="shared" si="5"/>
        <v>0</v>
      </c>
      <c r="V8" s="48"/>
      <c r="W8" s="62" t="str">
        <f>VLOOKUP($A8,test6_1!$A:$U,COLUMN(test6_1!$U:$U),FALSE)</f>
        <v/>
      </c>
      <c r="X8" s="26">
        <f t="shared" si="6"/>
        <v>2019</v>
      </c>
      <c r="Y8" s="26">
        <f>IFERROR(__xludf.DUMMYFUNCTION("filter(ghg!$F:$F,(ghg!$B:$B=$A8)*(ghg!$E:$E=$X8))"),39200.0)</f>
        <v>39200</v>
      </c>
      <c r="Z8" s="26">
        <f>IFERROR(__xludf.DUMMYFUNCTION("filter(ghg!$G:$G,(ghg!$B:$B=$A8)*(ghg!$E:$E=$X8))"),86900.0)</f>
        <v>86900</v>
      </c>
      <c r="AA8" s="26">
        <f>IFERROR(__xludf.DUMMYFUNCTION("filter(ghg!$H:$H,(ghg!$B:$B=$A8)*(ghg!$E:$E=$X8))"),74200.0)</f>
        <v>74200</v>
      </c>
      <c r="AB8" s="26">
        <f t="shared" si="7"/>
        <v>113400</v>
      </c>
      <c r="AC8" s="62">
        <f t="shared" si="8"/>
        <v>1</v>
      </c>
      <c r="AD8" s="62">
        <f t="shared" si="9"/>
        <v>0</v>
      </c>
      <c r="AE8" s="25"/>
      <c r="AF8" s="25"/>
      <c r="AG8" s="25"/>
      <c r="AH8" s="29">
        <f t="shared" si="10"/>
        <v>0</v>
      </c>
      <c r="AI8" s="29">
        <f t="shared" si="11"/>
        <v>0</v>
      </c>
      <c r="AJ8" s="25"/>
      <c r="AK8" s="29"/>
    </row>
    <row r="9" ht="12.75" customHeight="1">
      <c r="A9" s="22">
        <f t="shared" si="12"/>
        <v>7</v>
      </c>
      <c r="B9" s="26"/>
      <c r="C9" s="26"/>
      <c r="D9" s="26"/>
      <c r="E9" s="26"/>
      <c r="F9" s="26"/>
      <c r="G9" s="49" t="str">
        <f>vlookup($A9,test6_1!$A:$H,COLUMN(test6_1!$H:$H),FALSE)</f>
        <v/>
      </c>
      <c r="H9" s="26" t="str">
        <f>VLOOKUP($A9,test6_1!$A:$U,COLUMN(test6_1!$I:$I),FALSE)</f>
        <v/>
      </c>
      <c r="I9" s="26">
        <f>VLOOKUP($A9,test6_1!$A:$U,COLUMN(test6_1!$P:$P),FALSE)</f>
        <v>2019</v>
      </c>
      <c r="J9" s="26">
        <f>VLOOKUP($A9,test6_1!$A:$U,COLUMN(test6_1!$M:$M),FALSE)</f>
        <v>0</v>
      </c>
      <c r="K9" s="26">
        <f>VLOOKUP($A9,test6_1!$A:$U,COLUMN(test6_1!$T:$T),FALSE)</f>
        <v>0</v>
      </c>
      <c r="L9" s="53">
        <f t="shared" si="1"/>
        <v>0</v>
      </c>
      <c r="M9" s="60" t="str">
        <f>VLOOKUP($A9,test6_1!$A:$U,COLUMN(test6_1!$G:$G),FALSE)</f>
        <v/>
      </c>
      <c r="N9" s="26" t="str">
        <f>VLOOKUP($A9,test6_1!$A:$U,COLUMN(test6_1!$N:$N),FALSE)</f>
        <v/>
      </c>
      <c r="O9" s="61">
        <f t="shared" si="2"/>
        <v>0</v>
      </c>
      <c r="P9" s="26">
        <f t="shared" si="3"/>
        <v>0</v>
      </c>
      <c r="Q9" s="26"/>
      <c r="R9" s="26"/>
      <c r="S9" s="26"/>
      <c r="T9" s="29">
        <f t="shared" si="4"/>
        <v>0</v>
      </c>
      <c r="U9" s="29">
        <f t="shared" si="5"/>
        <v>0</v>
      </c>
      <c r="V9" s="48"/>
      <c r="W9" s="62" t="str">
        <f>VLOOKUP($A9,test6_1!$A:$U,COLUMN(test6_1!$U:$U),FALSE)</f>
        <v/>
      </c>
      <c r="X9" s="26">
        <f t="shared" si="6"/>
        <v>2018</v>
      </c>
      <c r="Y9" s="26">
        <f>IFERROR(__xludf.DUMMYFUNCTION("filter(ghg!$F:$F,(ghg!$B:$B=$A9)*(ghg!$E:$E=$X9))"),63521.0)</f>
        <v>63521</v>
      </c>
      <c r="Z9" s="26">
        <f>IFERROR(__xludf.DUMMYFUNCTION("filter(ghg!$G:$G,(ghg!$B:$B=$A9)*(ghg!$E:$E=$X9))"),4344686.0)</f>
        <v>4344686</v>
      </c>
      <c r="AA9" s="26">
        <f>IFERROR(__xludf.DUMMYFUNCTION("filter(ghg!$H:$H,(ghg!$B:$B=$A9)*(ghg!$E:$E=$X9))"),684236.0)</f>
        <v>684236</v>
      </c>
      <c r="AB9" s="26">
        <f t="shared" si="7"/>
        <v>747757</v>
      </c>
      <c r="AC9" s="62">
        <f t="shared" si="8"/>
        <v>1</v>
      </c>
      <c r="AD9" s="62">
        <f t="shared" si="9"/>
        <v>0</v>
      </c>
      <c r="AE9" s="25"/>
      <c r="AF9" s="25"/>
      <c r="AG9" s="25"/>
      <c r="AH9" s="29">
        <f t="shared" si="10"/>
        <v>0</v>
      </c>
      <c r="AI9" s="29">
        <f t="shared" si="11"/>
        <v>0</v>
      </c>
      <c r="AJ9" s="25"/>
      <c r="AK9" s="29"/>
    </row>
    <row r="10" ht="12.75" customHeight="1">
      <c r="A10" s="22">
        <f t="shared" si="12"/>
        <v>8</v>
      </c>
      <c r="B10" s="26"/>
      <c r="C10" s="26"/>
      <c r="D10" s="26"/>
      <c r="E10" s="26"/>
      <c r="F10" s="26"/>
      <c r="G10" s="49">
        <f>vlookup($A10,test6_1!$A:$H,COLUMN(test6_1!$H:$H),FALSE)</f>
        <v>21</v>
      </c>
      <c r="H10" s="26">
        <f>VLOOKUP($A10,test6_1!$A:$U,COLUMN(test6_1!$I:$I),FALSE)</f>
        <v>2017</v>
      </c>
      <c r="I10" s="26">
        <f>VLOOKUP($A10,test6_1!$A:$U,COLUMN(test6_1!$P:$P),FALSE)</f>
        <v>2020</v>
      </c>
      <c r="J10" s="26">
        <f>VLOOKUP($A10,test6_1!$A:$U,COLUMN(test6_1!$M:$M),FALSE)</f>
        <v>337007</v>
      </c>
      <c r="K10" s="26">
        <f>VLOOKUP($A10,test6_1!$A:$U,COLUMN(test6_1!$T:$T),FALSE)</f>
        <v>280968</v>
      </c>
      <c r="L10" s="53">
        <f t="shared" si="1"/>
        <v>0.1662843798</v>
      </c>
      <c r="M10" s="60">
        <f>VLOOKUP($A10,test6_1!$A:$U,COLUMN(test6_1!$G:$G),FALSE)</f>
        <v>2030</v>
      </c>
      <c r="N10" s="52">
        <f>VLOOKUP($A10,test6_1!$A:$U,COLUMN(test6_1!$N:$N),FALSE)</f>
        <v>0.55</v>
      </c>
      <c r="O10" s="61">
        <f t="shared" si="2"/>
        <v>0.1269230769</v>
      </c>
      <c r="P10" s="52">
        <f t="shared" si="3"/>
        <v>1.310119356</v>
      </c>
      <c r="Q10" s="26"/>
      <c r="R10" s="26"/>
      <c r="S10" s="26"/>
      <c r="T10" s="29">
        <f t="shared" si="4"/>
        <v>1</v>
      </c>
      <c r="U10" s="29">
        <f t="shared" si="5"/>
        <v>0.05</v>
      </c>
      <c r="V10" s="48"/>
      <c r="W10" s="62">
        <f>VLOOKUP($A10,test6_1!$A:$U,COLUMN(test6_1!$U:$U),FALSE)</f>
        <v>0.04602476083</v>
      </c>
      <c r="X10" s="26">
        <f t="shared" si="6"/>
        <v>2019</v>
      </c>
      <c r="Y10" s="26">
        <f>IFERROR(__xludf.DUMMYFUNCTION("filter(ghg!$F:$F,(ghg!$B:$B=$A10)*(ghg!$E:$E=$X10))"),154507.0)</f>
        <v>154507</v>
      </c>
      <c r="Z10" s="26">
        <f>IFERROR(__xludf.DUMMYFUNCTION("filter(ghg!$G:$G,(ghg!$B:$B=$A10)*(ghg!$E:$E=$X10))"),151259.0)</f>
        <v>151259</v>
      </c>
      <c r="AA10" s="26">
        <f>IFERROR(__xludf.DUMMYFUNCTION("filter(ghg!$H:$H,(ghg!$B:$B=$A10)*(ghg!$E:$E=$X10))"),147909.0)</f>
        <v>147909</v>
      </c>
      <c r="AB10" s="26">
        <f t="shared" si="7"/>
        <v>302416</v>
      </c>
      <c r="AC10" s="62">
        <f t="shared" si="8"/>
        <v>0.07092217343</v>
      </c>
      <c r="AD10" s="62">
        <f t="shared" si="9"/>
        <v>1.540956914</v>
      </c>
      <c r="AE10" s="25"/>
      <c r="AF10" s="25"/>
      <c r="AG10" s="25"/>
      <c r="AH10" s="29">
        <f t="shared" si="10"/>
        <v>1</v>
      </c>
      <c r="AI10" s="29">
        <f t="shared" si="11"/>
        <v>0.05</v>
      </c>
      <c r="AJ10" s="25"/>
      <c r="AK10" s="29"/>
    </row>
    <row r="11" ht="12.75" customHeight="1">
      <c r="A11" s="22">
        <f t="shared" si="12"/>
        <v>9</v>
      </c>
      <c r="B11" s="26"/>
      <c r="C11" s="26"/>
      <c r="D11" s="26"/>
      <c r="E11" s="26"/>
      <c r="F11" s="26"/>
      <c r="G11" s="49" t="str">
        <f>vlookup($A11,test6_1!$A:$H,COLUMN(test6_1!$H:$H),FALSE)</f>
        <v/>
      </c>
      <c r="H11" s="26" t="str">
        <f>VLOOKUP($A11,test6_1!$A:$U,COLUMN(test6_1!$I:$I),FALSE)</f>
        <v/>
      </c>
      <c r="I11" s="26">
        <f>VLOOKUP($A11,test6_1!$A:$U,COLUMN(test6_1!$P:$P),FALSE)</f>
        <v>2020</v>
      </c>
      <c r="J11" s="26">
        <f>VLOOKUP($A11,test6_1!$A:$U,COLUMN(test6_1!$M:$M),FALSE)</f>
        <v>0</v>
      </c>
      <c r="K11" s="26">
        <f>VLOOKUP($A11,test6_1!$A:$U,COLUMN(test6_1!$T:$T),FALSE)</f>
        <v>0</v>
      </c>
      <c r="L11" s="53">
        <f t="shared" si="1"/>
        <v>0</v>
      </c>
      <c r="M11" s="60" t="str">
        <f>VLOOKUP($A11,test6_1!$A:$U,COLUMN(test6_1!$G:$G),FALSE)</f>
        <v/>
      </c>
      <c r="N11" s="26" t="str">
        <f>VLOOKUP($A11,test6_1!$A:$U,COLUMN(test6_1!$N:$N),FALSE)</f>
        <v/>
      </c>
      <c r="O11" s="61">
        <f t="shared" si="2"/>
        <v>0</v>
      </c>
      <c r="P11" s="26">
        <f t="shared" si="3"/>
        <v>0</v>
      </c>
      <c r="Q11" s="26"/>
      <c r="R11" s="26"/>
      <c r="S11" s="26"/>
      <c r="T11" s="29">
        <f t="shared" si="4"/>
        <v>0</v>
      </c>
      <c r="U11" s="29">
        <f t="shared" si="5"/>
        <v>0</v>
      </c>
      <c r="V11" s="48"/>
      <c r="W11" s="62" t="str">
        <f>VLOOKUP($A11,test6_1!$A:$U,COLUMN(test6_1!$U:$U),FALSE)</f>
        <v/>
      </c>
      <c r="X11" s="26">
        <f t="shared" si="6"/>
        <v>2019</v>
      </c>
      <c r="Y11" s="26">
        <f>IFERROR(__xludf.DUMMYFUNCTION("filter(ghg!$F:$F,(ghg!$B:$B=$A11)*(ghg!$E:$E=$X11))"),5760000.0)</f>
        <v>5760000</v>
      </c>
      <c r="Z11" s="26" t="str">
        <f>IFERROR(__xludf.DUMMYFUNCTION("filter(ghg!$G:$G,(ghg!$B:$B=$A11)*(ghg!$E:$E=$X11))"),"")</f>
        <v/>
      </c>
      <c r="AA11" s="26">
        <f>IFERROR(__xludf.DUMMYFUNCTION("filter(ghg!$H:$H,(ghg!$B:$B=$A11)*(ghg!$E:$E=$X11))"),5500000.0)</f>
        <v>5500000</v>
      </c>
      <c r="AB11" s="26">
        <f t="shared" si="7"/>
        <v>11260000</v>
      </c>
      <c r="AC11" s="62">
        <f t="shared" si="8"/>
        <v>1</v>
      </c>
      <c r="AD11" s="62">
        <f t="shared" si="9"/>
        <v>0</v>
      </c>
      <c r="AE11" s="25"/>
      <c r="AF11" s="25"/>
      <c r="AG11" s="25"/>
      <c r="AH11" s="29">
        <f t="shared" si="10"/>
        <v>0</v>
      </c>
      <c r="AI11" s="29">
        <f t="shared" si="11"/>
        <v>0</v>
      </c>
      <c r="AJ11" s="25"/>
      <c r="AK11" s="29"/>
    </row>
    <row r="12" ht="12.75" customHeight="1">
      <c r="A12" s="22">
        <f t="shared" si="12"/>
        <v>10</v>
      </c>
      <c r="B12" s="26"/>
      <c r="C12" s="26"/>
      <c r="D12" s="26"/>
      <c r="E12" s="26"/>
      <c r="F12" s="26"/>
      <c r="G12" s="49" t="str">
        <f>vlookup($A12,test6_1!$A:$H,COLUMN(test6_1!$H:$H),FALSE)</f>
        <v/>
      </c>
      <c r="H12" s="26" t="str">
        <f>VLOOKUP($A12,test6_1!$A:$U,COLUMN(test6_1!$I:$I),FALSE)</f>
        <v/>
      </c>
      <c r="I12" s="26">
        <f>VLOOKUP($A12,test6_1!$A:$U,COLUMN(test6_1!$P:$P),FALSE)</f>
        <v>2019</v>
      </c>
      <c r="J12" s="26">
        <f>VLOOKUP($A12,test6_1!$A:$U,COLUMN(test6_1!$M:$M),FALSE)</f>
        <v>0</v>
      </c>
      <c r="K12" s="26">
        <f>VLOOKUP($A12,test6_1!$A:$U,COLUMN(test6_1!$T:$T),FALSE)</f>
        <v>0</v>
      </c>
      <c r="L12" s="53">
        <f t="shared" si="1"/>
        <v>0</v>
      </c>
      <c r="M12" s="60" t="str">
        <f>VLOOKUP($A12,test6_1!$A:$U,COLUMN(test6_1!$G:$G),FALSE)</f>
        <v/>
      </c>
      <c r="N12" s="26" t="str">
        <f>VLOOKUP($A12,test6_1!$A:$U,COLUMN(test6_1!$N:$N),FALSE)</f>
        <v/>
      </c>
      <c r="O12" s="61">
        <f t="shared" si="2"/>
        <v>0</v>
      </c>
      <c r="P12" s="26">
        <f t="shared" si="3"/>
        <v>0</v>
      </c>
      <c r="Q12" s="26"/>
      <c r="R12" s="26"/>
      <c r="S12" s="26"/>
      <c r="T12" s="29">
        <f t="shared" si="4"/>
        <v>0</v>
      </c>
      <c r="U12" s="29">
        <f t="shared" si="5"/>
        <v>0</v>
      </c>
      <c r="V12" s="48"/>
      <c r="W12" s="62" t="str">
        <f>VLOOKUP($A12,test6_1!$A:$U,COLUMN(test6_1!$U:$U),FALSE)</f>
        <v/>
      </c>
      <c r="X12" s="26">
        <f t="shared" si="6"/>
        <v>2018</v>
      </c>
      <c r="Y12" s="26">
        <f>IFERROR(__xludf.DUMMYFUNCTION("filter(ghg!$F:$F,(ghg!$B:$B=$A12)*(ghg!$E:$E=$X12))"),23981.0)</f>
        <v>23981</v>
      </c>
      <c r="Z12" s="26">
        <f>IFERROR(__xludf.DUMMYFUNCTION("filter(ghg!$G:$G,(ghg!$B:$B=$A12)*(ghg!$E:$E=$X12))"),112745.0)</f>
        <v>112745</v>
      </c>
      <c r="AA12" s="26">
        <f>IFERROR(__xludf.DUMMYFUNCTION("filter(ghg!$H:$H,(ghg!$B:$B=$A12)*(ghg!$E:$E=$X12))"),2994.0)</f>
        <v>2994</v>
      </c>
      <c r="AB12" s="26">
        <f t="shared" si="7"/>
        <v>26975</v>
      </c>
      <c r="AC12" s="62">
        <f t="shared" si="8"/>
        <v>1</v>
      </c>
      <c r="AD12" s="62">
        <f t="shared" si="9"/>
        <v>0</v>
      </c>
      <c r="AE12" s="25"/>
      <c r="AF12" s="25"/>
      <c r="AG12" s="25"/>
      <c r="AH12" s="29">
        <f t="shared" si="10"/>
        <v>0</v>
      </c>
      <c r="AI12" s="29">
        <f t="shared" si="11"/>
        <v>0</v>
      </c>
      <c r="AJ12" s="25"/>
      <c r="AK12" s="29"/>
    </row>
    <row r="13" ht="12.75" customHeight="1">
      <c r="A13" s="22">
        <f t="shared" si="12"/>
        <v>11</v>
      </c>
      <c r="B13" s="26"/>
      <c r="C13" s="26"/>
      <c r="D13" s="26"/>
      <c r="E13" s="26"/>
      <c r="F13" s="26"/>
      <c r="G13" s="49" t="str">
        <f>vlookup($A13,test6_1!$A:$H,COLUMN(test6_1!$H:$H),FALSE)</f>
        <v/>
      </c>
      <c r="H13" s="26" t="str">
        <f>VLOOKUP($A13,test6_1!$A:$U,COLUMN(test6_1!$I:$I),FALSE)</f>
        <v/>
      </c>
      <c r="I13" s="26">
        <f>VLOOKUP($A13,test6_1!$A:$U,COLUMN(test6_1!$P:$P),FALSE)</f>
        <v>2020</v>
      </c>
      <c r="J13" s="26">
        <f>VLOOKUP($A13,test6_1!$A:$U,COLUMN(test6_1!$M:$M),FALSE)</f>
        <v>0</v>
      </c>
      <c r="K13" s="26">
        <f>VLOOKUP($A13,test6_1!$A:$U,COLUMN(test6_1!$T:$T),FALSE)</f>
        <v>0</v>
      </c>
      <c r="L13" s="53">
        <f t="shared" si="1"/>
        <v>0</v>
      </c>
      <c r="M13" s="60" t="str">
        <f>VLOOKUP($A13,test6_1!$A:$U,COLUMN(test6_1!$G:$G),FALSE)</f>
        <v/>
      </c>
      <c r="N13" s="26" t="str">
        <f>VLOOKUP($A13,test6_1!$A:$U,COLUMN(test6_1!$N:$N),FALSE)</f>
        <v/>
      </c>
      <c r="O13" s="61">
        <f t="shared" si="2"/>
        <v>0</v>
      </c>
      <c r="P13" s="26">
        <f t="shared" si="3"/>
        <v>0</v>
      </c>
      <c r="Q13" s="26"/>
      <c r="R13" s="26"/>
      <c r="S13" s="26"/>
      <c r="T13" s="29">
        <f t="shared" si="4"/>
        <v>0</v>
      </c>
      <c r="U13" s="29">
        <f t="shared" si="5"/>
        <v>0</v>
      </c>
      <c r="V13" s="48"/>
      <c r="W13" s="62" t="str">
        <f>VLOOKUP($A13,test6_1!$A:$U,COLUMN(test6_1!$U:$U),FALSE)</f>
        <v/>
      </c>
      <c r="X13" s="26">
        <f t="shared" si="6"/>
        <v>2019</v>
      </c>
      <c r="Y13" s="26">
        <f>IFERROR(__xludf.DUMMYFUNCTION("filter(ghg!$F:$F,(ghg!$B:$B=$A13)*(ghg!$E:$E=$X13))"),17121.0)</f>
        <v>17121</v>
      </c>
      <c r="Z13" s="26" t="str">
        <f>IFERROR(__xludf.DUMMYFUNCTION("filter(ghg!$G:$G,(ghg!$B:$B=$A13)*(ghg!$E:$E=$X13))"),"NR")</f>
        <v>NR</v>
      </c>
      <c r="AA13" s="26">
        <f>IFERROR(__xludf.DUMMYFUNCTION("filter(ghg!$H:$H,(ghg!$B:$B=$A13)*(ghg!$E:$E=$X13))"),93782.0)</f>
        <v>93782</v>
      </c>
      <c r="AB13" s="26">
        <f t="shared" si="7"/>
        <v>110903</v>
      </c>
      <c r="AC13" s="62">
        <f t="shared" si="8"/>
        <v>1</v>
      </c>
      <c r="AD13" s="62">
        <f t="shared" si="9"/>
        <v>0</v>
      </c>
      <c r="AE13" s="25"/>
      <c r="AF13" s="25"/>
      <c r="AG13" s="25"/>
      <c r="AH13" s="29">
        <f t="shared" si="10"/>
        <v>0</v>
      </c>
      <c r="AI13" s="29">
        <f t="shared" si="11"/>
        <v>0</v>
      </c>
      <c r="AJ13" s="25"/>
      <c r="AK13" s="29"/>
    </row>
    <row r="14" ht="12.75" customHeight="1">
      <c r="A14" s="22">
        <f t="shared" si="12"/>
        <v>12</v>
      </c>
      <c r="B14" s="26"/>
      <c r="C14" s="26"/>
      <c r="D14" s="26"/>
      <c r="E14" s="26"/>
      <c r="F14" s="26"/>
      <c r="G14" s="49" t="str">
        <f>vlookup($A14,test6_1!$A:$H,COLUMN(test6_1!$H:$H),FALSE)</f>
        <v/>
      </c>
      <c r="H14" s="26" t="str">
        <f>VLOOKUP($A14,test6_1!$A:$U,COLUMN(test6_1!$I:$I),FALSE)</f>
        <v/>
      </c>
      <c r="I14" s="26">
        <f>VLOOKUP($A14,test6_1!$A:$U,COLUMN(test6_1!$P:$P),FALSE)</f>
        <v>2019</v>
      </c>
      <c r="J14" s="26">
        <f>VLOOKUP($A14,test6_1!$A:$U,COLUMN(test6_1!$M:$M),FALSE)</f>
        <v>0</v>
      </c>
      <c r="K14" s="26">
        <f>VLOOKUP($A14,test6_1!$A:$U,COLUMN(test6_1!$T:$T),FALSE)</f>
        <v>0</v>
      </c>
      <c r="L14" s="53">
        <f t="shared" si="1"/>
        <v>0</v>
      </c>
      <c r="M14" s="60" t="str">
        <f>VLOOKUP($A14,test6_1!$A:$U,COLUMN(test6_1!$G:$G),FALSE)</f>
        <v/>
      </c>
      <c r="N14" s="26" t="str">
        <f>VLOOKUP($A14,test6_1!$A:$U,COLUMN(test6_1!$N:$N),FALSE)</f>
        <v/>
      </c>
      <c r="O14" s="61">
        <f t="shared" si="2"/>
        <v>0</v>
      </c>
      <c r="P14" s="26">
        <f t="shared" si="3"/>
        <v>0</v>
      </c>
      <c r="Q14" s="26"/>
      <c r="R14" s="26"/>
      <c r="S14" s="26"/>
      <c r="T14" s="29">
        <f t="shared" si="4"/>
        <v>0</v>
      </c>
      <c r="U14" s="29">
        <f t="shared" si="5"/>
        <v>0</v>
      </c>
      <c r="V14" s="48"/>
      <c r="W14" s="62" t="str">
        <f>VLOOKUP($A14,test6_1!$A:$U,COLUMN(test6_1!$U:$U),FALSE)</f>
        <v/>
      </c>
      <c r="X14" s="26">
        <f t="shared" si="6"/>
        <v>2018</v>
      </c>
      <c r="Y14" s="26">
        <f>IFERROR(__xludf.DUMMYFUNCTION("filter(ghg!$F:$F,(ghg!$B:$B=$A14)*(ghg!$E:$E=$X14))"),615347.0)</f>
        <v>615347</v>
      </c>
      <c r="Z14" s="26" t="str">
        <f>IFERROR(__xludf.DUMMYFUNCTION("filter(ghg!$G:$G,(ghg!$B:$B=$A14)*(ghg!$E:$E=$X14))"),"")</f>
        <v/>
      </c>
      <c r="AA14" s="26">
        <f>IFERROR(__xludf.DUMMYFUNCTION("filter(ghg!$H:$H,(ghg!$B:$B=$A14)*(ghg!$E:$E=$X14))"),1796960.0)</f>
        <v>1796960</v>
      </c>
      <c r="AB14" s="26">
        <f t="shared" si="7"/>
        <v>2412307</v>
      </c>
      <c r="AC14" s="62">
        <f t="shared" si="8"/>
        <v>1</v>
      </c>
      <c r="AD14" s="62">
        <f t="shared" si="9"/>
        <v>0</v>
      </c>
      <c r="AE14" s="25"/>
      <c r="AF14" s="25"/>
      <c r="AG14" s="25"/>
      <c r="AH14" s="29">
        <f t="shared" si="10"/>
        <v>0</v>
      </c>
      <c r="AI14" s="29">
        <f t="shared" si="11"/>
        <v>0</v>
      </c>
      <c r="AJ14" s="25"/>
      <c r="AK14" s="29"/>
    </row>
    <row r="15" ht="12.75" customHeight="1">
      <c r="A15" s="22">
        <f t="shared" si="12"/>
        <v>13</v>
      </c>
      <c r="B15" s="26"/>
      <c r="C15" s="26"/>
      <c r="D15" s="26"/>
      <c r="E15" s="26"/>
      <c r="F15" s="26"/>
      <c r="G15" s="49">
        <f>vlookup($A15,test6_1!$A:$H,COLUMN(test6_1!$H:$H),FALSE)</f>
        <v>23</v>
      </c>
      <c r="H15" s="26">
        <f>VLOOKUP($A15,test6_1!$A:$U,COLUMN(test6_1!$I:$I),FALSE)</f>
        <v>2019</v>
      </c>
      <c r="I15" s="26">
        <f>VLOOKUP($A15,test6_1!$A:$U,COLUMN(test6_1!$P:$P),FALSE)</f>
        <v>2019</v>
      </c>
      <c r="J15" s="26">
        <f>VLOOKUP($A15,test6_1!$A:$U,COLUMN(test6_1!$M:$M),FALSE)</f>
        <v>296314</v>
      </c>
      <c r="K15" s="26">
        <f>VLOOKUP($A15,test6_1!$A:$U,COLUMN(test6_1!$T:$T),FALSE)</f>
        <v>296314</v>
      </c>
      <c r="L15" s="53">
        <f t="shared" si="1"/>
        <v>0</v>
      </c>
      <c r="M15" s="60">
        <f>VLOOKUP($A15,test6_1!$A:$U,COLUMN(test6_1!$G:$G),FALSE)</f>
        <v>2027</v>
      </c>
      <c r="N15" s="52">
        <f>VLOOKUP($A15,test6_1!$A:$U,COLUMN(test6_1!$N:$N),FALSE)</f>
        <v>1</v>
      </c>
      <c r="O15" s="61">
        <f t="shared" si="2"/>
        <v>0</v>
      </c>
      <c r="P15" s="26">
        <f t="shared" si="3"/>
        <v>0</v>
      </c>
      <c r="Q15" s="26"/>
      <c r="R15" s="26"/>
      <c r="S15" s="26"/>
      <c r="T15" s="29">
        <f t="shared" si="4"/>
        <v>0</v>
      </c>
      <c r="U15" s="29">
        <f t="shared" si="5"/>
        <v>0</v>
      </c>
      <c r="V15" s="48"/>
      <c r="W15" s="62">
        <f>VLOOKUP($A15,test6_1!$A:$U,COLUMN(test6_1!$U:$U),FALSE)</f>
        <v>0.125</v>
      </c>
      <c r="X15" s="26">
        <f t="shared" si="6"/>
        <v>2018</v>
      </c>
      <c r="Y15" s="26">
        <f>IFERROR(__xludf.DUMMYFUNCTION("filter(ghg!$F:$F,(ghg!$B:$B=$A15)*(ghg!$E:$E=$X15))"),160184.0)</f>
        <v>160184</v>
      </c>
      <c r="Z15" s="26" t="str">
        <f>IFERROR(__xludf.DUMMYFUNCTION("filter(ghg!$G:$G,(ghg!$B:$B=$A15)*(ghg!$E:$E=$X15))"),"")</f>
        <v/>
      </c>
      <c r="AA15" s="26">
        <f>IFERROR(__xludf.DUMMYFUNCTION("filter(ghg!$H:$H,(ghg!$B:$B=$A15)*(ghg!$E:$E=$X15))"),159848.0)</f>
        <v>159848</v>
      </c>
      <c r="AB15" s="26">
        <f t="shared" si="7"/>
        <v>320032</v>
      </c>
      <c r="AC15" s="62">
        <f t="shared" si="8"/>
        <v>0.07411133887</v>
      </c>
      <c r="AD15" s="62">
        <f t="shared" si="9"/>
        <v>0.5928907109</v>
      </c>
      <c r="AE15" s="25"/>
      <c r="AF15" s="25"/>
      <c r="AG15" s="25"/>
      <c r="AH15" s="29">
        <f t="shared" si="10"/>
        <v>0</v>
      </c>
      <c r="AI15" s="29">
        <f t="shared" si="11"/>
        <v>0</v>
      </c>
      <c r="AJ15" s="25"/>
      <c r="AK15" s="29"/>
    </row>
    <row r="16" ht="12.75" customHeight="1">
      <c r="A16" s="22">
        <f t="shared" si="12"/>
        <v>14</v>
      </c>
      <c r="B16" s="26"/>
      <c r="C16" s="26"/>
      <c r="D16" s="26"/>
      <c r="E16" s="26"/>
      <c r="F16" s="26"/>
      <c r="G16" s="49" t="str">
        <f>vlookup($A16,test6_1!$A:$H,COLUMN(test6_1!$H:$H),FALSE)</f>
        <v/>
      </c>
      <c r="H16" s="26" t="str">
        <f>VLOOKUP($A16,test6_1!$A:$U,COLUMN(test6_1!$I:$I),FALSE)</f>
        <v/>
      </c>
      <c r="I16" s="26">
        <f>VLOOKUP($A16,test6_1!$A:$U,COLUMN(test6_1!$P:$P),FALSE)</f>
        <v>2020</v>
      </c>
      <c r="J16" s="26">
        <f>VLOOKUP($A16,test6_1!$A:$U,COLUMN(test6_1!$M:$M),FALSE)</f>
        <v>0</v>
      </c>
      <c r="K16" s="26">
        <f>VLOOKUP($A16,test6_1!$A:$U,COLUMN(test6_1!$T:$T),FALSE)</f>
        <v>0</v>
      </c>
      <c r="L16" s="53">
        <f t="shared" si="1"/>
        <v>0</v>
      </c>
      <c r="M16" s="60" t="str">
        <f>VLOOKUP($A16,test6_1!$A:$U,COLUMN(test6_1!$G:$G),FALSE)</f>
        <v/>
      </c>
      <c r="N16" s="26" t="str">
        <f>VLOOKUP($A16,test6_1!$A:$U,COLUMN(test6_1!$N:$N),FALSE)</f>
        <v/>
      </c>
      <c r="O16" s="61">
        <f t="shared" si="2"/>
        <v>0</v>
      </c>
      <c r="P16" s="26">
        <f t="shared" si="3"/>
        <v>0</v>
      </c>
      <c r="Q16" s="26"/>
      <c r="R16" s="26"/>
      <c r="S16" s="26"/>
      <c r="T16" s="29">
        <f t="shared" si="4"/>
        <v>0</v>
      </c>
      <c r="U16" s="29">
        <f t="shared" si="5"/>
        <v>0</v>
      </c>
      <c r="V16" s="48"/>
      <c r="W16" s="62" t="str">
        <f>VLOOKUP($A16,test6_1!$A:$U,COLUMN(test6_1!$U:$U),FALSE)</f>
        <v/>
      </c>
      <c r="X16" s="26">
        <f t="shared" si="6"/>
        <v>2019</v>
      </c>
      <c r="Y16" s="26">
        <f>IFERROR(__xludf.DUMMYFUNCTION("filter(ghg!$F:$F,(ghg!$B:$B=$A16)*(ghg!$E:$E=$X16))"),52730.0)</f>
        <v>52730</v>
      </c>
      <c r="Z16" s="26" t="str">
        <f>IFERROR(__xludf.DUMMYFUNCTION("filter(ghg!$G:$G,(ghg!$B:$B=$A16)*(ghg!$E:$E=$X16))"),"")</f>
        <v/>
      </c>
      <c r="AA16" s="26">
        <f>IFERROR(__xludf.DUMMYFUNCTION("filter(ghg!$H:$H,(ghg!$B:$B=$A16)*(ghg!$E:$E=$X16))"),0.0)</f>
        <v>0</v>
      </c>
      <c r="AB16" s="26">
        <f t="shared" si="7"/>
        <v>52730</v>
      </c>
      <c r="AC16" s="62">
        <f t="shared" si="8"/>
        <v>1</v>
      </c>
      <c r="AD16" s="62">
        <f t="shared" si="9"/>
        <v>0</v>
      </c>
      <c r="AE16" s="25"/>
      <c r="AF16" s="25"/>
      <c r="AG16" s="25"/>
      <c r="AH16" s="29">
        <f t="shared" si="10"/>
        <v>0</v>
      </c>
      <c r="AI16" s="29">
        <f t="shared" si="11"/>
        <v>0</v>
      </c>
      <c r="AJ16" s="25"/>
      <c r="AK16" s="29"/>
    </row>
    <row r="17" ht="12.75" customHeight="1">
      <c r="A17" s="22">
        <f t="shared" si="12"/>
        <v>15</v>
      </c>
      <c r="B17" s="26"/>
      <c r="C17" s="26"/>
      <c r="D17" s="26"/>
      <c r="E17" s="26"/>
      <c r="F17" s="26"/>
      <c r="G17" s="49">
        <f>vlookup($A17,test6_1!$A:$H,COLUMN(test6_1!$H:$H),FALSE)</f>
        <v>26</v>
      </c>
      <c r="H17" s="26">
        <f>VLOOKUP($A17,test6_1!$A:$U,COLUMN(test6_1!$I:$I),FALSE)</f>
        <v>2015</v>
      </c>
      <c r="I17" s="26">
        <f>VLOOKUP($A17,test6_1!$A:$U,COLUMN(test6_1!$P:$P),FALSE)</f>
        <v>2019</v>
      </c>
      <c r="J17" s="26">
        <f>VLOOKUP($A17,test6_1!$A:$U,COLUMN(test6_1!$M:$M),FALSE)</f>
        <v>8829258</v>
      </c>
      <c r="K17" s="26">
        <f>VLOOKUP($A17,test6_1!$A:$U,COLUMN(test6_1!$T:$T),FALSE)</f>
        <v>6525043</v>
      </c>
      <c r="L17" s="53">
        <f t="shared" si="1"/>
        <v>0.2609749313</v>
      </c>
      <c r="M17" s="60">
        <f>VLOOKUP($A17,test6_1!$A:$U,COLUMN(test6_1!$G:$G),FALSE)</f>
        <v>2030</v>
      </c>
      <c r="N17" s="52">
        <f>VLOOKUP($A17,test6_1!$A:$U,COLUMN(test6_1!$N:$N),FALSE)</f>
        <v>0.63</v>
      </c>
      <c r="O17" s="61">
        <f t="shared" si="2"/>
        <v>0.168</v>
      </c>
      <c r="P17" s="52">
        <f t="shared" si="3"/>
        <v>1.55342221</v>
      </c>
      <c r="Q17" s="26"/>
      <c r="R17" s="26"/>
      <c r="S17" s="26"/>
      <c r="T17" s="29">
        <f t="shared" si="4"/>
        <v>1</v>
      </c>
      <c r="U17" s="29">
        <f t="shared" si="5"/>
        <v>0.05</v>
      </c>
      <c r="V17" s="48"/>
      <c r="W17" s="62">
        <f>VLOOKUP($A17,test6_1!$A:$U,COLUMN(test6_1!$U:$U),FALSE)</f>
        <v>0.04539458124</v>
      </c>
      <c r="X17" s="26">
        <f t="shared" si="6"/>
        <v>2018</v>
      </c>
      <c r="Y17" s="26">
        <f>IFERROR(__xludf.DUMMYFUNCTION("filter(ghg!$F:$F,(ghg!$B:$B=$A17)*(ghg!$E:$E=$X17))"),1020000.0)</f>
        <v>1020000</v>
      </c>
      <c r="Z17" s="26">
        <f>IFERROR(__xludf.DUMMYFUNCTION("filter(ghg!$G:$G,(ghg!$B:$B=$A17)*(ghg!$E:$E=$X17))"),6660000.0)</f>
        <v>6660000</v>
      </c>
      <c r="AA17" s="26">
        <f>IFERROR(__xludf.DUMMYFUNCTION("filter(ghg!$H:$H,(ghg!$B:$B=$A17)*(ghg!$E:$E=$X17))"),6660000.0)</f>
        <v>6660000</v>
      </c>
      <c r="AB17" s="26">
        <f t="shared" si="7"/>
        <v>7680000</v>
      </c>
      <c r="AC17" s="62">
        <f t="shared" si="8"/>
        <v>0.150385026</v>
      </c>
      <c r="AD17" s="62">
        <f t="shared" si="9"/>
        <v>3.312840915</v>
      </c>
      <c r="AE17" s="25"/>
      <c r="AF17" s="25"/>
      <c r="AG17" s="25"/>
      <c r="AH17" s="29">
        <f t="shared" si="10"/>
        <v>1</v>
      </c>
      <c r="AI17" s="29">
        <f t="shared" si="11"/>
        <v>0.05</v>
      </c>
      <c r="AJ17" s="25"/>
      <c r="AK17" s="29"/>
    </row>
    <row r="18" ht="12.75" customHeight="1">
      <c r="A18" s="22">
        <f t="shared" si="12"/>
        <v>16</v>
      </c>
      <c r="B18" s="26"/>
      <c r="C18" s="26"/>
      <c r="D18" s="26"/>
      <c r="E18" s="26"/>
      <c r="F18" s="26"/>
      <c r="G18" s="49" t="str">
        <f>vlookup($A18,test6_1!$A:$H,COLUMN(test6_1!$H:$H),FALSE)</f>
        <v/>
      </c>
      <c r="H18" s="26" t="str">
        <f>VLOOKUP($A18,test6_1!$A:$U,COLUMN(test6_1!$I:$I),FALSE)</f>
        <v/>
      </c>
      <c r="I18" s="26">
        <f>VLOOKUP($A18,test6_1!$A:$U,COLUMN(test6_1!$P:$P),FALSE)</f>
        <v>2020</v>
      </c>
      <c r="J18" s="26">
        <f>VLOOKUP($A18,test6_1!$A:$U,COLUMN(test6_1!$M:$M),FALSE)</f>
        <v>0</v>
      </c>
      <c r="K18" s="26">
        <f>VLOOKUP($A18,test6_1!$A:$U,COLUMN(test6_1!$T:$T),FALSE)</f>
        <v>0</v>
      </c>
      <c r="L18" s="53">
        <f t="shared" si="1"/>
        <v>0</v>
      </c>
      <c r="M18" s="60" t="str">
        <f>VLOOKUP($A18,test6_1!$A:$U,COLUMN(test6_1!$G:$G),FALSE)</f>
        <v/>
      </c>
      <c r="N18" s="26" t="str">
        <f>VLOOKUP($A18,test6_1!$A:$U,COLUMN(test6_1!$N:$N),FALSE)</f>
        <v/>
      </c>
      <c r="O18" s="61">
        <f t="shared" si="2"/>
        <v>0</v>
      </c>
      <c r="P18" s="26">
        <f t="shared" si="3"/>
        <v>0</v>
      </c>
      <c r="Q18" s="26"/>
      <c r="R18" s="26"/>
      <c r="S18" s="26"/>
      <c r="T18" s="29">
        <f t="shared" si="4"/>
        <v>0</v>
      </c>
      <c r="U18" s="29">
        <f t="shared" si="5"/>
        <v>0</v>
      </c>
      <c r="V18" s="48"/>
      <c r="W18" s="62" t="str">
        <f>VLOOKUP($A18,test6_1!$A:$U,COLUMN(test6_1!$U:$U),FALSE)</f>
        <v/>
      </c>
      <c r="X18" s="26">
        <f t="shared" si="6"/>
        <v>2019</v>
      </c>
      <c r="Y18" s="26">
        <f>IFERROR(__xludf.DUMMYFUNCTION("filter(ghg!$F:$F,(ghg!$B:$B=$A18)*(ghg!$E:$E=$X18))"),62639.0)</f>
        <v>62639</v>
      </c>
      <c r="Z18" s="26">
        <f>IFERROR(__xludf.DUMMYFUNCTION("filter(ghg!$G:$G,(ghg!$B:$B=$A18)*(ghg!$E:$E=$X18))"),728771.0)</f>
        <v>728771</v>
      </c>
      <c r="AA18" s="26">
        <f>IFERROR(__xludf.DUMMYFUNCTION("filter(ghg!$H:$H,(ghg!$B:$B=$A18)*(ghg!$E:$E=$X18))"),17523.0)</f>
        <v>17523</v>
      </c>
      <c r="AB18" s="26">
        <f t="shared" si="7"/>
        <v>80162</v>
      </c>
      <c r="AC18" s="62">
        <f t="shared" si="8"/>
        <v>1</v>
      </c>
      <c r="AD18" s="62">
        <f t="shared" si="9"/>
        <v>0</v>
      </c>
      <c r="AE18" s="25"/>
      <c r="AF18" s="25"/>
      <c r="AG18" s="25"/>
      <c r="AH18" s="29">
        <f t="shared" si="10"/>
        <v>0</v>
      </c>
      <c r="AI18" s="29">
        <f t="shared" si="11"/>
        <v>0</v>
      </c>
      <c r="AJ18" s="25"/>
      <c r="AK18" s="29"/>
    </row>
    <row r="19" ht="12.75" customHeight="1">
      <c r="A19" s="22">
        <f t="shared" si="12"/>
        <v>17</v>
      </c>
      <c r="B19" s="26"/>
      <c r="C19" s="26"/>
      <c r="D19" s="26"/>
      <c r="E19" s="26"/>
      <c r="F19" s="26"/>
      <c r="G19" s="49" t="str">
        <f>vlookup($A19,test6_1!$A:$H,COLUMN(test6_1!$H:$H),FALSE)</f>
        <v/>
      </c>
      <c r="H19" s="26" t="str">
        <f>VLOOKUP($A19,test6_1!$A:$U,COLUMN(test6_1!$I:$I),FALSE)</f>
        <v/>
      </c>
      <c r="I19" s="26" t="str">
        <f>VLOOKUP($A19,test6_1!$A:$U,COLUMN(test6_1!$P:$P),FALSE)</f>
        <v>NR</v>
      </c>
      <c r="J19" s="26">
        <f>VLOOKUP($A19,test6_1!$A:$U,COLUMN(test6_1!$M:$M),FALSE)</f>
        <v>0</v>
      </c>
      <c r="K19" s="26">
        <f>VLOOKUP($A19,test6_1!$A:$U,COLUMN(test6_1!$T:$T),FALSE)</f>
        <v>0</v>
      </c>
      <c r="L19" s="53">
        <f t="shared" si="1"/>
        <v>0</v>
      </c>
      <c r="M19" s="60" t="str">
        <f>VLOOKUP($A19,test6_1!$A:$U,COLUMN(test6_1!$G:$G),FALSE)</f>
        <v/>
      </c>
      <c r="N19" s="26" t="str">
        <f>VLOOKUP($A19,test6_1!$A:$U,COLUMN(test6_1!$N:$N),FALSE)</f>
        <v/>
      </c>
      <c r="O19" s="61">
        <f t="shared" si="2"/>
        <v>0</v>
      </c>
      <c r="P19" s="26">
        <f t="shared" si="3"/>
        <v>0</v>
      </c>
      <c r="Q19" s="26"/>
      <c r="R19" s="26"/>
      <c r="S19" s="26"/>
      <c r="T19" s="29">
        <f t="shared" si="4"/>
        <v>0</v>
      </c>
      <c r="U19" s="29">
        <f t="shared" si="5"/>
        <v>0</v>
      </c>
      <c r="V19" s="48"/>
      <c r="W19" s="62" t="str">
        <f>VLOOKUP($A19,test6_1!$A:$U,COLUMN(test6_1!$U:$U),FALSE)</f>
        <v/>
      </c>
      <c r="X19" s="54"/>
      <c r="Y19" s="54"/>
      <c r="Z19" s="54"/>
      <c r="AA19" s="54"/>
      <c r="AB19" s="54"/>
      <c r="AC19" s="62"/>
      <c r="AD19" s="62">
        <f t="shared" si="9"/>
        <v>0</v>
      </c>
      <c r="AE19" s="25"/>
      <c r="AF19" s="25"/>
      <c r="AG19" s="25"/>
      <c r="AH19" s="29">
        <f t="shared" si="10"/>
        <v>0</v>
      </c>
      <c r="AI19" s="29">
        <f t="shared" si="11"/>
        <v>0</v>
      </c>
      <c r="AJ19" s="25"/>
      <c r="AK19" s="29"/>
    </row>
    <row r="20" ht="12.75" customHeight="1">
      <c r="A20" s="22">
        <f t="shared" si="12"/>
        <v>18</v>
      </c>
      <c r="B20" s="26"/>
      <c r="C20" s="26"/>
      <c r="D20" s="26"/>
      <c r="E20" s="26"/>
      <c r="F20" s="26"/>
      <c r="G20" s="49">
        <f>vlookup($A20,test6_1!$A:$H,COLUMN(test6_1!$H:$H),FALSE)</f>
        <v>31</v>
      </c>
      <c r="H20" s="26">
        <f>VLOOKUP($A20,test6_1!$A:$U,COLUMN(test6_1!$I:$I),FALSE)</f>
        <v>2019</v>
      </c>
      <c r="I20" s="26">
        <f>VLOOKUP($A20,test6_1!$A:$U,COLUMN(test6_1!$P:$P),FALSE)</f>
        <v>2020</v>
      </c>
      <c r="J20" s="26">
        <f>VLOOKUP($A20,test6_1!$A:$U,COLUMN(test6_1!$M:$M),FALSE)</f>
        <v>67553</v>
      </c>
      <c r="K20" s="26">
        <f>VLOOKUP($A20,test6_1!$A:$U,COLUMN(test6_1!$T:$T),FALSE)</f>
        <v>57736</v>
      </c>
      <c r="L20" s="53">
        <f t="shared" si="1"/>
        <v>0.1453229316</v>
      </c>
      <c r="M20" s="60">
        <f>VLOOKUP($A20,test6_1!$A:$U,COLUMN(test6_1!$G:$G),FALSE)</f>
        <v>2032</v>
      </c>
      <c r="N20" s="52">
        <f>VLOOKUP($A20,test6_1!$A:$U,COLUMN(test6_1!$N:$N),FALSE)</f>
        <v>0.55</v>
      </c>
      <c r="O20" s="61">
        <f t="shared" si="2"/>
        <v>0.04230769231</v>
      </c>
      <c r="P20" s="52">
        <f t="shared" si="3"/>
        <v>3.434905657</v>
      </c>
      <c r="Q20" s="26"/>
      <c r="R20" s="26"/>
      <c r="S20" s="26"/>
      <c r="T20" s="29">
        <f t="shared" si="4"/>
        <v>1</v>
      </c>
      <c r="U20" s="29">
        <f t="shared" si="5"/>
        <v>0.05</v>
      </c>
      <c r="V20" s="48"/>
      <c r="W20" s="62">
        <f>VLOOKUP($A20,test6_1!$A:$U,COLUMN(test6_1!$U:$U),FALSE)</f>
        <v>0.03945711226</v>
      </c>
      <c r="X20" s="26">
        <f t="shared" ref="X20:X22" si="13">I20-1</f>
        <v>2019</v>
      </c>
      <c r="Y20" s="26">
        <f>IFERROR(__xludf.DUMMYFUNCTION("filter(ghg!$F:$F,(ghg!$B:$B=$A20)*(ghg!$E:$E=$X20))"),67447.0)</f>
        <v>67447</v>
      </c>
      <c r="Z20" s="26">
        <f>IFERROR(__xludf.DUMMYFUNCTION("filter(ghg!$G:$G,(ghg!$B:$B=$A20)*(ghg!$E:$E=$X20))"),37712.0)</f>
        <v>37712</v>
      </c>
      <c r="AA20" s="26">
        <f>IFERROR(__xludf.DUMMYFUNCTION("filter(ghg!$H:$H,(ghg!$B:$B=$A20)*(ghg!$E:$E=$X20))"),106.0)</f>
        <v>106</v>
      </c>
      <c r="AB20" s="26">
        <f t="shared" ref="AB20:AB22" si="14">Y20+min(Z20:AA20)</f>
        <v>67553</v>
      </c>
      <c r="AC20" s="62">
        <f t="shared" ref="AC20:AC22" si="15">-K20/AB20+1</f>
        <v>0.1453229316</v>
      </c>
      <c r="AD20" s="62">
        <f t="shared" si="9"/>
        <v>3.683060501</v>
      </c>
      <c r="AE20" s="25"/>
      <c r="AF20" s="25"/>
      <c r="AG20" s="25"/>
      <c r="AH20" s="29">
        <f t="shared" si="10"/>
        <v>1</v>
      </c>
      <c r="AI20" s="29">
        <f t="shared" si="11"/>
        <v>0.05</v>
      </c>
      <c r="AJ20" s="25"/>
      <c r="AK20" s="29"/>
    </row>
    <row r="21" ht="12.75" customHeight="1">
      <c r="A21" s="22">
        <f t="shared" si="12"/>
        <v>19</v>
      </c>
      <c r="B21" s="26"/>
      <c r="C21" s="26"/>
      <c r="D21" s="26"/>
      <c r="E21" s="26"/>
      <c r="F21" s="26"/>
      <c r="G21" s="49" t="str">
        <f>vlookup($A21,test6_1!$A:$H,COLUMN(test6_1!$H:$H),FALSE)</f>
        <v/>
      </c>
      <c r="H21" s="26" t="str">
        <f>VLOOKUP($A21,test6_1!$A:$U,COLUMN(test6_1!$I:$I),FALSE)</f>
        <v/>
      </c>
      <c r="I21" s="26">
        <f>VLOOKUP($A21,test6_1!$A:$U,COLUMN(test6_1!$P:$P),FALSE)</f>
        <v>2020</v>
      </c>
      <c r="J21" s="26">
        <f>VLOOKUP($A21,test6_1!$A:$U,COLUMN(test6_1!$M:$M),FALSE)</f>
        <v>0</v>
      </c>
      <c r="K21" s="26">
        <f>VLOOKUP($A21,test6_1!$A:$U,COLUMN(test6_1!$T:$T),FALSE)</f>
        <v>0</v>
      </c>
      <c r="L21" s="53">
        <f t="shared" si="1"/>
        <v>0</v>
      </c>
      <c r="M21" s="60" t="str">
        <f>VLOOKUP($A21,test6_1!$A:$U,COLUMN(test6_1!$G:$G),FALSE)</f>
        <v/>
      </c>
      <c r="N21" s="26" t="str">
        <f>VLOOKUP($A21,test6_1!$A:$U,COLUMN(test6_1!$N:$N),FALSE)</f>
        <v/>
      </c>
      <c r="O21" s="61">
        <f t="shared" si="2"/>
        <v>0</v>
      </c>
      <c r="P21" s="26">
        <f t="shared" si="3"/>
        <v>0</v>
      </c>
      <c r="Q21" s="26"/>
      <c r="R21" s="26"/>
      <c r="S21" s="26"/>
      <c r="T21" s="29">
        <f t="shared" si="4"/>
        <v>0</v>
      </c>
      <c r="U21" s="29">
        <f t="shared" si="5"/>
        <v>0</v>
      </c>
      <c r="V21" s="48"/>
      <c r="W21" s="62" t="str">
        <f>VLOOKUP($A21,test6_1!$A:$U,COLUMN(test6_1!$U:$U),FALSE)</f>
        <v/>
      </c>
      <c r="X21" s="26">
        <f t="shared" si="13"/>
        <v>2019</v>
      </c>
      <c r="Y21" s="26">
        <f>IFERROR(__xludf.DUMMYFUNCTION("filter(ghg!$F:$F,(ghg!$B:$B=$A21)*(ghg!$E:$E=$X21))"),5589.0)</f>
        <v>5589</v>
      </c>
      <c r="Z21" s="26">
        <f>IFERROR(__xludf.DUMMYFUNCTION("filter(ghg!$G:$G,(ghg!$B:$B=$A21)*(ghg!$E:$E=$X21))"),20369.0)</f>
        <v>20369</v>
      </c>
      <c r="AA21" s="26">
        <f>IFERROR(__xludf.DUMMYFUNCTION("filter(ghg!$H:$H,(ghg!$B:$B=$A21)*(ghg!$E:$E=$X21))"),0.0)</f>
        <v>0</v>
      </c>
      <c r="AB21" s="26">
        <f t="shared" si="14"/>
        <v>5589</v>
      </c>
      <c r="AC21" s="62">
        <f t="shared" si="15"/>
        <v>1</v>
      </c>
      <c r="AD21" s="62">
        <f t="shared" si="9"/>
        <v>0</v>
      </c>
      <c r="AE21" s="25"/>
      <c r="AF21" s="25"/>
      <c r="AG21" s="25"/>
      <c r="AH21" s="29">
        <f t="shared" si="10"/>
        <v>0</v>
      </c>
      <c r="AI21" s="29">
        <f t="shared" si="11"/>
        <v>0</v>
      </c>
      <c r="AJ21" s="25"/>
      <c r="AK21" s="29"/>
    </row>
    <row r="22" ht="12.75" customHeight="1">
      <c r="A22" s="30">
        <v>66.0</v>
      </c>
      <c r="B22" s="26"/>
      <c r="C22" s="26"/>
      <c r="D22" s="26"/>
      <c r="E22" s="26"/>
      <c r="F22" s="26"/>
      <c r="G22" s="49" t="str">
        <f>vlookup($A22,test6_1!$A:$H,COLUMN(test6_1!$H:$H),FALSE)</f>
        <v/>
      </c>
      <c r="H22" s="26" t="str">
        <f>VLOOKUP($A22,test6_1!$A:$U,COLUMN(test6_1!$I:$I),FALSE)</f>
        <v/>
      </c>
      <c r="I22" s="26">
        <f>VLOOKUP($A22,test6_1!$A:$U,COLUMN(test6_1!$P:$P),FALSE)</f>
        <v>2020</v>
      </c>
      <c r="J22" s="26">
        <f>VLOOKUP($A22,test6_1!$A:$U,COLUMN(test6_1!$M:$M),FALSE)</f>
        <v>0</v>
      </c>
      <c r="K22" s="26">
        <f>VLOOKUP($A22,test6_1!$A:$U,COLUMN(test6_1!$T:$T),FALSE)</f>
        <v>0</v>
      </c>
      <c r="L22" s="53">
        <f t="shared" si="1"/>
        <v>0</v>
      </c>
      <c r="M22" s="60" t="str">
        <f>VLOOKUP($A22,test6_1!$A:$U,COLUMN(test6_1!$G:$G),FALSE)</f>
        <v/>
      </c>
      <c r="N22" s="26" t="str">
        <f>VLOOKUP($A22,test6_1!$A:$U,COLUMN(test6_1!$N:$N),FALSE)</f>
        <v/>
      </c>
      <c r="O22" s="61">
        <f t="shared" si="2"/>
        <v>0</v>
      </c>
      <c r="P22" s="26">
        <f t="shared" si="3"/>
        <v>0</v>
      </c>
      <c r="Q22" s="26"/>
      <c r="R22" s="26"/>
      <c r="S22" s="26"/>
      <c r="T22" s="29">
        <f t="shared" si="4"/>
        <v>0</v>
      </c>
      <c r="U22" s="29">
        <f t="shared" si="5"/>
        <v>0</v>
      </c>
      <c r="V22" s="48"/>
      <c r="W22" s="62" t="str">
        <f>VLOOKUP($A22,test6_1!$A:$U,COLUMN(test6_1!$U:$U),FALSE)</f>
        <v/>
      </c>
      <c r="X22" s="26">
        <f t="shared" si="13"/>
        <v>2019</v>
      </c>
      <c r="Y22" s="26">
        <f>IFERROR(__xludf.DUMMYFUNCTION("filter(ghg!$F:$F,(ghg!$B:$B=$A22)*(ghg!$E:$E=$X22))"),117956.0)</f>
        <v>117956</v>
      </c>
      <c r="Z22" s="26">
        <f>IFERROR(__xludf.DUMMYFUNCTION("filter(ghg!$G:$G,(ghg!$B:$B=$A22)*(ghg!$E:$E=$X22))"),3357518.0)</f>
        <v>3357518</v>
      </c>
      <c r="AA22" s="26">
        <f>IFERROR(__xludf.DUMMYFUNCTION("filter(ghg!$H:$H,(ghg!$B:$B=$A22)*(ghg!$E:$E=$X22))"),275420.0)</f>
        <v>275420</v>
      </c>
      <c r="AB22" s="26">
        <f t="shared" si="14"/>
        <v>393376</v>
      </c>
      <c r="AC22" s="62">
        <f t="shared" si="15"/>
        <v>1</v>
      </c>
      <c r="AD22" s="62">
        <f t="shared" si="9"/>
        <v>0</v>
      </c>
      <c r="AE22" s="25"/>
      <c r="AF22" s="25"/>
      <c r="AG22" s="25"/>
      <c r="AH22" s="29">
        <f t="shared" si="10"/>
        <v>0</v>
      </c>
      <c r="AI22" s="29">
        <f t="shared" si="11"/>
        <v>0</v>
      </c>
      <c r="AJ22" s="25"/>
      <c r="AK22" s="29"/>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t="s">
        <v>629</v>
      </c>
      <c r="R1" s="18" t="s">
        <v>587</v>
      </c>
      <c r="S1" s="18" t="s">
        <v>588</v>
      </c>
      <c r="T1" s="19" t="s">
        <v>531</v>
      </c>
      <c r="U1" s="20" t="s">
        <v>548</v>
      </c>
      <c r="V1" s="45"/>
      <c r="AF1" s="18" t="s">
        <v>629</v>
      </c>
      <c r="AG1" s="18" t="s">
        <v>587</v>
      </c>
      <c r="AH1" s="18" t="s">
        <v>588</v>
      </c>
      <c r="AI1" s="19" t="s">
        <v>531</v>
      </c>
      <c r="AJ1" s="20" t="s">
        <v>548</v>
      </c>
      <c r="AL1" s="19"/>
    </row>
    <row r="2">
      <c r="A2" s="22"/>
      <c r="B2" s="23"/>
      <c r="C2" s="23" t="str">
        <f>test6_1!C2</f>
        <v>abs</v>
      </c>
      <c r="D2" s="23" t="s">
        <v>593</v>
      </c>
      <c r="E2" s="23" t="str">
        <f>test6_1!E2</f>
        <v>no</v>
      </c>
      <c r="F2" s="23" t="str">
        <f>test6_1!F2</f>
        <v>min</v>
      </c>
      <c r="G2" s="47" t="s">
        <v>605</v>
      </c>
      <c r="H2" s="47" t="s">
        <v>606</v>
      </c>
      <c r="I2" s="47" t="s">
        <v>534</v>
      </c>
      <c r="J2" s="47" t="s">
        <v>630</v>
      </c>
      <c r="K2" s="47" t="s">
        <v>631</v>
      </c>
      <c r="L2" s="47" t="s">
        <v>632</v>
      </c>
      <c r="M2" s="47" t="s">
        <v>601</v>
      </c>
      <c r="N2" s="47" t="s">
        <v>633</v>
      </c>
      <c r="O2" s="47" t="s">
        <v>634</v>
      </c>
      <c r="P2" s="47" t="s">
        <v>635</v>
      </c>
      <c r="Q2" s="47"/>
      <c r="R2" s="51">
        <v>0.8</v>
      </c>
      <c r="S2" s="51">
        <v>1.1</v>
      </c>
      <c r="T2" s="24"/>
      <c r="U2" s="24">
        <v>0.1</v>
      </c>
      <c r="V2" s="46"/>
      <c r="W2" s="47" t="s">
        <v>636</v>
      </c>
      <c r="X2" s="38" t="s">
        <v>538</v>
      </c>
      <c r="Y2" s="47" t="s">
        <v>639</v>
      </c>
      <c r="Z2" s="47" t="s">
        <v>640</v>
      </c>
      <c r="AA2" s="47" t="s">
        <v>641</v>
      </c>
      <c r="AB2" s="47" t="s">
        <v>642</v>
      </c>
      <c r="AC2" s="47" t="s">
        <v>643</v>
      </c>
      <c r="AD2" s="47" t="s">
        <v>637</v>
      </c>
      <c r="AE2" s="47" t="s">
        <v>635</v>
      </c>
      <c r="AF2" s="47"/>
      <c r="AG2" s="51">
        <v>0.8</v>
      </c>
      <c r="AH2" s="51">
        <v>1.1</v>
      </c>
      <c r="AI2" s="24"/>
      <c r="AJ2" s="24">
        <v>0.1</v>
      </c>
      <c r="AK2" s="59"/>
      <c r="AL2" s="24"/>
    </row>
    <row r="3" ht="12.75" customHeight="1">
      <c r="A3" s="22">
        <v>1.0</v>
      </c>
      <c r="B3" s="26"/>
      <c r="C3" s="26"/>
      <c r="D3" s="26"/>
      <c r="E3" s="26"/>
      <c r="F3" s="26"/>
      <c r="G3" s="49" t="str">
        <f>VLOOKUP($A3,test6_2!$A:$H,COLUMN(test6_2!$H:$H),FALSE)</f>
        <v/>
      </c>
      <c r="H3" s="26" t="str">
        <f>VLOOKUP($A3,test6_2!$A:$U,COLUMN(test6_2!$I:$I),FALSE)</f>
        <v/>
      </c>
      <c r="I3" s="26">
        <f>VLOOKUP($A3,test6_2!$A:$U,COLUMN(test6_1!$Q:$Q),FALSE)</f>
        <v>2020</v>
      </c>
      <c r="J3" s="26">
        <f>VLOOKUP($A3,test6_2!$A:$U,COLUMN(test6_2!$N:$N),FALSE)</f>
        <v>0</v>
      </c>
      <c r="K3" s="26">
        <f>VLOOKUP($A3,test6_2!$A:$V,COLUMN(test6_2!$V:$V),FALSE)</f>
        <v>0</v>
      </c>
      <c r="L3" s="53">
        <f t="shared" ref="L3:L22" si="1">if(J3&lt;&gt;0,-K3/J3+1,0)</f>
        <v>0</v>
      </c>
      <c r="M3" s="60" t="str">
        <f>VLOOKUP($A3,test6_2!$A:$U,COLUMN(test6_2!$G:$G),FALSE)</f>
        <v/>
      </c>
      <c r="N3" s="26" t="str">
        <f>VLOOKUP($A3,test6_2!$A:$U,COLUMN(test6_1!$O:$O),FALSE)</f>
        <v/>
      </c>
      <c r="O3" s="61">
        <f t="shared" ref="O3:O22" si="2">IF(G3,N3/(M3-H3)*(I3-H3),0)</f>
        <v>0</v>
      </c>
      <c r="P3" s="26">
        <f t="shared" ref="P3:P22" si="3">IF(O3&lt;&gt;0,L3/O3,0)</f>
        <v>0</v>
      </c>
      <c r="Q3" s="18" t="s">
        <v>638</v>
      </c>
      <c r="R3" s="18" t="s">
        <v>587</v>
      </c>
      <c r="S3" s="18" t="s">
        <v>588</v>
      </c>
      <c r="T3" s="29">
        <f t="shared" ref="T3:T22" si="4">if(min(100%/($S$2-$R$2)*(P3-$R$2),$S$4)&lt;$R$4,0,min(100%/($S$2-$R$2)*(P3-$R$2),$S$4))</f>
        <v>0</v>
      </c>
      <c r="U3" s="29">
        <f t="shared" ref="U3:U22" si="5">U$2*T3</f>
        <v>0</v>
      </c>
      <c r="V3" s="48"/>
      <c r="W3" s="62" t="str">
        <f>VLOOKUP($A3,test6_2!$A:$W,COLUMN(test6_2!$W:$W),FALSE)</f>
        <v/>
      </c>
      <c r="X3" s="26">
        <f t="shared" ref="X3:X18" si="6">I3-1</f>
        <v>2019</v>
      </c>
      <c r="Y3" s="26">
        <f>IFERROR(__xludf.DUMMYFUNCTION("filter(ghg!$F:$F,(ghg!$B:$B=$A3)*(ghg!$E:$E=$X3))"),4050000.0)</f>
        <v>4050000</v>
      </c>
      <c r="Z3" s="26">
        <f>IFERROR(__xludf.DUMMYFUNCTION("filter(ghg!$G:$G,(ghg!$B:$B=$A3)*(ghg!$E:$E=$X3))"),1780000.0)</f>
        <v>1780000</v>
      </c>
      <c r="AA3" s="26">
        <f>IFERROR(__xludf.DUMMYFUNCTION("filter(ghg!$H:$H,(ghg!$B:$B=$A3)*(ghg!$E:$E=$X3))"),1320000.0)</f>
        <v>1320000</v>
      </c>
      <c r="AB3" s="26" t="str">
        <f>IFERROR(__xludf.DUMMYFUNCTION("filter(ghg!$J:$J,(ghg!$B:$B=$A3)*(ghg!$E:$E=$X3))"),"")</f>
        <v/>
      </c>
      <c r="AC3" s="26">
        <f t="shared" ref="AC3:AC18" si="7">Y3+min(Z3:AA3)+AB3</f>
        <v>5370000</v>
      </c>
      <c r="AD3" s="62">
        <f t="shared" ref="AD3:AD18" si="8">-K3/AC3+1</f>
        <v>1</v>
      </c>
      <c r="AE3" s="62">
        <f t="shared" ref="AE3:AE22" si="9">IF(value(W3)&lt;&gt;0,AD3/W3,0)</f>
        <v>0</v>
      </c>
      <c r="AF3" s="18" t="s">
        <v>638</v>
      </c>
      <c r="AG3" s="18" t="s">
        <v>587</v>
      </c>
      <c r="AH3" s="18" t="s">
        <v>588</v>
      </c>
      <c r="AI3" s="29">
        <f t="shared" ref="AI3:AI22" si="10">IF(min(100%/($AH$2-$AG$2)*(AE3-$AG$2),$AH$4)&lt;$AG$4,0,min(100%/($AH$2-$AG$2)*(AE3-$AG$2),$AH$4))</f>
        <v>0</v>
      </c>
      <c r="AJ3" s="29">
        <f t="shared" ref="AJ3:AJ22" si="11">AJ$2*AI3</f>
        <v>0</v>
      </c>
      <c r="AK3" s="26"/>
      <c r="AL3" s="29"/>
    </row>
    <row r="4" ht="12.75" customHeight="1">
      <c r="A4" s="22">
        <f t="shared" ref="A4:A21" si="12">A3+1</f>
        <v>2</v>
      </c>
      <c r="B4" s="26"/>
      <c r="C4" s="26"/>
      <c r="D4" s="26"/>
      <c r="E4" s="26"/>
      <c r="F4" s="26"/>
      <c r="G4" s="49" t="str">
        <f>VLOOKUP($A4,test6_2!$A:$H,COLUMN(test6_2!$H:$H),FALSE)</f>
        <v/>
      </c>
      <c r="H4" s="26" t="str">
        <f>VLOOKUP($A4,test6_2!$A:$U,COLUMN(test6_2!$I:$I),FALSE)</f>
        <v/>
      </c>
      <c r="I4" s="26">
        <f>VLOOKUP($A4,test6_2!$A:$U,COLUMN(test6_1!$Q:$Q),FALSE)</f>
        <v>2020</v>
      </c>
      <c r="J4" s="26">
        <f>VLOOKUP($A4,test6_2!$A:$U,COLUMN(test6_2!$N:$N),FALSE)</f>
        <v>0</v>
      </c>
      <c r="K4" s="26">
        <f>VLOOKUP($A4,test6_2!$A:$V,COLUMN(test6_2!$V:$V),FALSE)</f>
        <v>0</v>
      </c>
      <c r="L4" s="53">
        <f t="shared" si="1"/>
        <v>0</v>
      </c>
      <c r="M4" s="60" t="str">
        <f>VLOOKUP($A4,test6_2!$A:$U,COLUMN(test6_2!$G:$G),FALSE)</f>
        <v/>
      </c>
      <c r="N4" s="26" t="str">
        <f>VLOOKUP($A4,test6_2!$A:$U,COLUMN(test6_1!$O:$O),FALSE)</f>
        <v/>
      </c>
      <c r="O4" s="61">
        <f t="shared" si="2"/>
        <v>0</v>
      </c>
      <c r="P4" s="26">
        <f t="shared" si="3"/>
        <v>0</v>
      </c>
      <c r="Q4" s="26"/>
      <c r="R4" s="18">
        <v>0.5</v>
      </c>
      <c r="S4" s="18">
        <v>1.0</v>
      </c>
      <c r="T4" s="29">
        <f t="shared" si="4"/>
        <v>0</v>
      </c>
      <c r="U4" s="29">
        <f t="shared" si="5"/>
        <v>0</v>
      </c>
      <c r="V4" s="48"/>
      <c r="W4" s="62" t="str">
        <f>VLOOKUP($A4,test6_2!$A:$W,COLUMN(test6_2!$W:$W),FALSE)</f>
        <v/>
      </c>
      <c r="X4" s="26">
        <f t="shared" si="6"/>
        <v>2019</v>
      </c>
      <c r="Y4" s="26">
        <f>IFERROR(__xludf.DUMMYFUNCTION("filter(ghg!$F:$F,(ghg!$B:$B=$A4)*(ghg!$E:$E=$X4))"),543000.0)</f>
        <v>543000</v>
      </c>
      <c r="Z4" s="26">
        <f>IFERROR(__xludf.DUMMYFUNCTION("filter(ghg!$G:$G,(ghg!$B:$B=$A4)*(ghg!$E:$E=$X4))"),498000.0)</f>
        <v>498000</v>
      </c>
      <c r="AA4" s="26">
        <f>IFERROR(__xludf.DUMMYFUNCTION("filter(ghg!$H:$H,(ghg!$B:$B=$A4)*(ghg!$E:$E=$X4))"),419000.0)</f>
        <v>419000</v>
      </c>
      <c r="AB4" s="26" t="str">
        <f>IFERROR(__xludf.DUMMYFUNCTION("filter(ghg!$J:$J,(ghg!$B:$B=$A4)*(ghg!$E:$E=$X4))"),"")</f>
        <v/>
      </c>
      <c r="AC4" s="26">
        <f t="shared" si="7"/>
        <v>962000</v>
      </c>
      <c r="AD4" s="62">
        <f t="shared" si="8"/>
        <v>1</v>
      </c>
      <c r="AE4" s="62">
        <f t="shared" si="9"/>
        <v>0</v>
      </c>
      <c r="AF4" s="26"/>
      <c r="AG4" s="18">
        <v>0.5</v>
      </c>
      <c r="AH4" s="18">
        <v>1.0</v>
      </c>
      <c r="AI4" s="29">
        <f t="shared" si="10"/>
        <v>0</v>
      </c>
      <c r="AJ4" s="29">
        <f t="shared" si="11"/>
        <v>0</v>
      </c>
      <c r="AK4" s="25"/>
      <c r="AL4" s="29"/>
    </row>
    <row r="5" ht="12.75" customHeight="1">
      <c r="A5" s="22">
        <f t="shared" si="12"/>
        <v>3</v>
      </c>
      <c r="B5" s="26"/>
      <c r="C5" s="26"/>
      <c r="D5" s="26"/>
      <c r="E5" s="26"/>
      <c r="F5" s="26"/>
      <c r="G5" s="49" t="str">
        <f>VLOOKUP($A5,test6_2!$A:$H,COLUMN(test6_2!$H:$H),FALSE)</f>
        <v/>
      </c>
      <c r="H5" s="26" t="str">
        <f>VLOOKUP($A5,test6_2!$A:$U,COLUMN(test6_2!$I:$I),FALSE)</f>
        <v/>
      </c>
      <c r="I5" s="26">
        <f>VLOOKUP($A5,test6_2!$A:$U,COLUMN(test6_1!$Q:$Q),FALSE)</f>
        <v>2020</v>
      </c>
      <c r="J5" s="26">
        <f>VLOOKUP($A5,test6_2!$A:$U,COLUMN(test6_2!$N:$N),FALSE)</f>
        <v>0</v>
      </c>
      <c r="K5" s="26">
        <f>VLOOKUP($A5,test6_2!$A:$V,COLUMN(test6_2!$V:$V),FALSE)</f>
        <v>0</v>
      </c>
      <c r="L5" s="53">
        <f t="shared" si="1"/>
        <v>0</v>
      </c>
      <c r="M5" s="60" t="str">
        <f>VLOOKUP($A5,test6_2!$A:$U,COLUMN(test6_2!$G:$G),FALSE)</f>
        <v/>
      </c>
      <c r="N5" s="26" t="str">
        <f>VLOOKUP($A5,test6_2!$A:$U,COLUMN(test6_1!$O:$O),FALSE)</f>
        <v/>
      </c>
      <c r="O5" s="61">
        <f t="shared" si="2"/>
        <v>0</v>
      </c>
      <c r="P5" s="26">
        <f t="shared" si="3"/>
        <v>0</v>
      </c>
      <c r="Q5" s="26"/>
      <c r="R5" s="26"/>
      <c r="S5" s="26"/>
      <c r="T5" s="29">
        <f t="shared" si="4"/>
        <v>0</v>
      </c>
      <c r="U5" s="29">
        <f t="shared" si="5"/>
        <v>0</v>
      </c>
      <c r="V5" s="48"/>
      <c r="W5" s="62" t="str">
        <f>VLOOKUP($A5,test6_2!$A:$W,COLUMN(test6_2!$W:$W),FALSE)</f>
        <v/>
      </c>
      <c r="X5" s="26">
        <f t="shared" si="6"/>
        <v>2019</v>
      </c>
      <c r="Y5" s="26">
        <f>IFERROR(__xludf.DUMMYFUNCTION("filter(ghg!$F:$F,(ghg!$B:$B=$A5)*(ghg!$E:$E=$X5))"),315000.0)</f>
        <v>315000</v>
      </c>
      <c r="Z5" s="26">
        <f>IFERROR(__xludf.DUMMYFUNCTION("filter(ghg!$G:$G,(ghg!$B:$B=$A5)*(ghg!$E:$E=$X5))"),308000.0)</f>
        <v>308000</v>
      </c>
      <c r="AA5" s="26">
        <f>IFERROR(__xludf.DUMMYFUNCTION("filter(ghg!$H:$H,(ghg!$B:$B=$A5)*(ghg!$E:$E=$X5))"),250000.0)</f>
        <v>250000</v>
      </c>
      <c r="AB5" s="26" t="str">
        <f>IFERROR(__xludf.DUMMYFUNCTION("filter(ghg!$J:$J,(ghg!$B:$B=$A5)*(ghg!$E:$E=$X5))"),"")</f>
        <v/>
      </c>
      <c r="AC5" s="26">
        <f t="shared" si="7"/>
        <v>565000</v>
      </c>
      <c r="AD5" s="62">
        <f t="shared" si="8"/>
        <v>1</v>
      </c>
      <c r="AE5" s="62">
        <f t="shared" si="9"/>
        <v>0</v>
      </c>
      <c r="AF5" s="25"/>
      <c r="AG5" s="25"/>
      <c r="AH5" s="25"/>
      <c r="AI5" s="29">
        <f t="shared" si="10"/>
        <v>0</v>
      </c>
      <c r="AJ5" s="29">
        <f t="shared" si="11"/>
        <v>0</v>
      </c>
      <c r="AK5" s="25"/>
      <c r="AL5" s="29"/>
    </row>
    <row r="6" ht="12.75" customHeight="1">
      <c r="A6" s="22">
        <f t="shared" si="12"/>
        <v>4</v>
      </c>
      <c r="B6" s="26"/>
      <c r="C6" s="26"/>
      <c r="D6" s="26"/>
      <c r="E6" s="26"/>
      <c r="F6" s="26"/>
      <c r="G6" s="49">
        <f>VLOOKUP($A6,test6_2!$A:$H,COLUMN(test6_2!$H:$H),FALSE)</f>
        <v>11</v>
      </c>
      <c r="H6" s="26">
        <f>VLOOKUP($A6,test6_2!$A:$U,COLUMN(test6_2!$I:$I),FALSE)</f>
        <v>2016</v>
      </c>
      <c r="I6" s="26">
        <f>VLOOKUP($A6,test6_2!$A:$U,COLUMN(test6_1!$Q:$Q),FALSE)</f>
        <v>2020</v>
      </c>
      <c r="J6" s="26">
        <f>VLOOKUP($A6,test6_2!$A:$U,COLUMN(test6_2!$N:$N),FALSE)</f>
        <v>1189794</v>
      </c>
      <c r="K6" s="26">
        <f>VLOOKUP($A6,test6_2!$A:$V,COLUMN(test6_2!$V:$V),FALSE)</f>
        <v>854922</v>
      </c>
      <c r="L6" s="53">
        <f t="shared" si="1"/>
        <v>0.2814537643</v>
      </c>
      <c r="M6" s="60">
        <f>VLOOKUP($A6,test6_2!$A:$U,COLUMN(test6_2!$G:$G),FALSE)</f>
        <v>2025</v>
      </c>
      <c r="N6" s="52">
        <f>VLOOKUP($A6,test6_2!$A:$U,COLUMN(test6_1!$O:$O),FALSE)</f>
        <v>0.11</v>
      </c>
      <c r="O6" s="61">
        <f t="shared" si="2"/>
        <v>0.04888888889</v>
      </c>
      <c r="P6" s="52">
        <f t="shared" si="3"/>
        <v>5.757008815</v>
      </c>
      <c r="Q6" s="26"/>
      <c r="R6" s="26"/>
      <c r="S6" s="26"/>
      <c r="T6" s="29">
        <f t="shared" si="4"/>
        <v>1</v>
      </c>
      <c r="U6" s="29">
        <f t="shared" si="5"/>
        <v>0.1</v>
      </c>
      <c r="V6" s="48"/>
      <c r="W6" s="62">
        <f>VLOOKUP($A6,test6_2!$A:$W,COLUMN(test6_2!$W:$W),FALSE)</f>
        <v>0</v>
      </c>
      <c r="X6" s="26">
        <f t="shared" si="6"/>
        <v>2019</v>
      </c>
      <c r="Y6" s="26">
        <f>IFERROR(__xludf.DUMMYFUNCTION("filter(ghg!$F:$F,(ghg!$B:$B=$A6)*(ghg!$E:$E=$X6))"),18923.0)</f>
        <v>18923</v>
      </c>
      <c r="Z6" s="26" t="str">
        <f>IFERROR(__xludf.DUMMYFUNCTION("filter(ghg!$G:$G,(ghg!$B:$B=$A6)*(ghg!$E:$E=$X6))"),"")</f>
        <v/>
      </c>
      <c r="AA6" s="26">
        <f>IFERROR(__xludf.DUMMYFUNCTION("filter(ghg!$H:$H,(ghg!$B:$B=$A6)*(ghg!$E:$E=$X6))"),214680.0)</f>
        <v>214680</v>
      </c>
      <c r="AB6" s="26">
        <f>IFERROR(__xludf.DUMMYFUNCTION("filter(ghg!$J:$J,(ghg!$B:$B=$A6)*(ghg!$E:$E=$X6))"),932653.0)</f>
        <v>932653</v>
      </c>
      <c r="AC6" s="26">
        <f t="shared" si="7"/>
        <v>1166256</v>
      </c>
      <c r="AD6" s="62">
        <f t="shared" si="8"/>
        <v>0.2669516813</v>
      </c>
      <c r="AE6" s="62">
        <f t="shared" si="9"/>
        <v>0</v>
      </c>
      <c r="AF6" s="25"/>
      <c r="AG6" s="25"/>
      <c r="AH6" s="25"/>
      <c r="AI6" s="29">
        <f t="shared" si="10"/>
        <v>0</v>
      </c>
      <c r="AJ6" s="29">
        <f t="shared" si="11"/>
        <v>0</v>
      </c>
      <c r="AK6" s="25"/>
      <c r="AL6" s="29"/>
    </row>
    <row r="7" ht="12.75" customHeight="1">
      <c r="A7" s="22">
        <f t="shared" si="12"/>
        <v>5</v>
      </c>
      <c r="B7" s="26"/>
      <c r="C7" s="26"/>
      <c r="D7" s="26"/>
      <c r="E7" s="26"/>
      <c r="F7" s="26"/>
      <c r="G7" s="49" t="str">
        <f>VLOOKUP($A7,test6_2!$A:$H,COLUMN(test6_2!$H:$H),FALSE)</f>
        <v/>
      </c>
      <c r="H7" s="26" t="str">
        <f>VLOOKUP($A7,test6_2!$A:$U,COLUMN(test6_2!$I:$I),FALSE)</f>
        <v/>
      </c>
      <c r="I7" s="26">
        <f>VLOOKUP($A7,test6_2!$A:$U,COLUMN(test6_1!$Q:$Q),FALSE)</f>
        <v>2020</v>
      </c>
      <c r="J7" s="26">
        <f>VLOOKUP($A7,test6_2!$A:$U,COLUMN(test6_2!$N:$N),FALSE)</f>
        <v>0</v>
      </c>
      <c r="K7" s="26">
        <f>VLOOKUP($A7,test6_2!$A:$V,COLUMN(test6_2!$V:$V),FALSE)</f>
        <v>0</v>
      </c>
      <c r="L7" s="53">
        <f t="shared" si="1"/>
        <v>0</v>
      </c>
      <c r="M7" s="60" t="str">
        <f>VLOOKUP($A7,test6_2!$A:$U,COLUMN(test6_2!$G:$G),FALSE)</f>
        <v/>
      </c>
      <c r="N7" s="26" t="str">
        <f>VLOOKUP($A7,test6_2!$A:$U,COLUMN(test6_1!$O:$O),FALSE)</f>
        <v/>
      </c>
      <c r="O7" s="61">
        <f t="shared" si="2"/>
        <v>0</v>
      </c>
      <c r="P7" s="26">
        <f t="shared" si="3"/>
        <v>0</v>
      </c>
      <c r="Q7" s="26"/>
      <c r="R7" s="26"/>
      <c r="S7" s="26"/>
      <c r="T7" s="29">
        <f t="shared" si="4"/>
        <v>0</v>
      </c>
      <c r="U7" s="29">
        <f t="shared" si="5"/>
        <v>0</v>
      </c>
      <c r="V7" s="48"/>
      <c r="W7" s="62" t="str">
        <f>VLOOKUP($A7,test6_2!$A:$W,COLUMN(test6_2!$W:$W),FALSE)</f>
        <v/>
      </c>
      <c r="X7" s="26">
        <f t="shared" si="6"/>
        <v>2019</v>
      </c>
      <c r="Y7" s="26">
        <f>IFERROR(__xludf.DUMMYFUNCTION("filter(ghg!$F:$F,(ghg!$B:$B=$A7)*(ghg!$E:$E=$X7))"),11817.0)</f>
        <v>11817</v>
      </c>
      <c r="Z7" s="26">
        <f>IFERROR(__xludf.DUMMYFUNCTION("filter(ghg!$G:$G,(ghg!$B:$B=$A7)*(ghg!$E:$E=$X7))"),56128.0)</f>
        <v>56128</v>
      </c>
      <c r="AA7" s="26">
        <f>IFERROR(__xludf.DUMMYFUNCTION("filter(ghg!$H:$H,(ghg!$B:$B=$A7)*(ghg!$E:$E=$X7))"),43893.0)</f>
        <v>43893</v>
      </c>
      <c r="AB7" s="26">
        <f>IFERROR(__xludf.DUMMYFUNCTION("filter(ghg!$J:$J,(ghg!$B:$B=$A7)*(ghg!$E:$E=$X7))"),542874.0)</f>
        <v>542874</v>
      </c>
      <c r="AC7" s="26">
        <f t="shared" si="7"/>
        <v>598584</v>
      </c>
      <c r="AD7" s="62">
        <f t="shared" si="8"/>
        <v>1</v>
      </c>
      <c r="AE7" s="62">
        <f t="shared" si="9"/>
        <v>0</v>
      </c>
      <c r="AF7" s="25"/>
      <c r="AG7" s="25"/>
      <c r="AH7" s="25"/>
      <c r="AI7" s="29">
        <f t="shared" si="10"/>
        <v>0</v>
      </c>
      <c r="AJ7" s="29">
        <f t="shared" si="11"/>
        <v>0</v>
      </c>
      <c r="AK7" s="25"/>
      <c r="AL7" s="29"/>
    </row>
    <row r="8" ht="12.75" customHeight="1">
      <c r="A8" s="22">
        <f t="shared" si="12"/>
        <v>6</v>
      </c>
      <c r="B8" s="26"/>
      <c r="C8" s="26"/>
      <c r="D8" s="26"/>
      <c r="E8" s="26"/>
      <c r="F8" s="26"/>
      <c r="G8" s="49" t="str">
        <f>VLOOKUP($A8,test6_2!$A:$H,COLUMN(test6_2!$H:$H),FALSE)</f>
        <v/>
      </c>
      <c r="H8" s="26" t="str">
        <f>VLOOKUP($A8,test6_2!$A:$U,COLUMN(test6_2!$I:$I),FALSE)</f>
        <v/>
      </c>
      <c r="I8" s="26">
        <f>VLOOKUP($A8,test6_2!$A:$U,COLUMN(test6_1!$Q:$Q),FALSE)</f>
        <v>2020</v>
      </c>
      <c r="J8" s="26">
        <f>VLOOKUP($A8,test6_2!$A:$U,COLUMN(test6_2!$N:$N),FALSE)</f>
        <v>0</v>
      </c>
      <c r="K8" s="26">
        <f>VLOOKUP($A8,test6_2!$A:$V,COLUMN(test6_2!$V:$V),FALSE)</f>
        <v>0</v>
      </c>
      <c r="L8" s="53">
        <f t="shared" si="1"/>
        <v>0</v>
      </c>
      <c r="M8" s="60" t="str">
        <f>VLOOKUP($A8,test6_2!$A:$U,COLUMN(test6_2!$G:$G),FALSE)</f>
        <v/>
      </c>
      <c r="N8" s="26" t="str">
        <f>VLOOKUP($A8,test6_2!$A:$U,COLUMN(test6_1!$O:$O),FALSE)</f>
        <v/>
      </c>
      <c r="O8" s="61">
        <f t="shared" si="2"/>
        <v>0</v>
      </c>
      <c r="P8" s="26">
        <f t="shared" si="3"/>
        <v>0</v>
      </c>
      <c r="Q8" s="26"/>
      <c r="R8" s="26"/>
      <c r="S8" s="26"/>
      <c r="T8" s="29">
        <f t="shared" si="4"/>
        <v>0</v>
      </c>
      <c r="U8" s="29">
        <f t="shared" si="5"/>
        <v>0</v>
      </c>
      <c r="V8" s="48"/>
      <c r="W8" s="62" t="str">
        <f>VLOOKUP($A8,test6_2!$A:$W,COLUMN(test6_2!$W:$W),FALSE)</f>
        <v/>
      </c>
      <c r="X8" s="26">
        <f t="shared" si="6"/>
        <v>2019</v>
      </c>
      <c r="Y8" s="26">
        <f>IFERROR(__xludf.DUMMYFUNCTION("filter(ghg!$F:$F,(ghg!$B:$B=$A8)*(ghg!$E:$E=$X8))"),39200.0)</f>
        <v>39200</v>
      </c>
      <c r="Z8" s="26">
        <f>IFERROR(__xludf.DUMMYFUNCTION("filter(ghg!$G:$G,(ghg!$B:$B=$A8)*(ghg!$E:$E=$X8))"),86900.0)</f>
        <v>86900</v>
      </c>
      <c r="AA8" s="26">
        <f>IFERROR(__xludf.DUMMYFUNCTION("filter(ghg!$H:$H,(ghg!$B:$B=$A8)*(ghg!$E:$E=$X8))"),74200.0)</f>
        <v>74200</v>
      </c>
      <c r="AB8" s="26" t="str">
        <f>IFERROR(__xludf.DUMMYFUNCTION("filter(ghg!$J:$J,(ghg!$B:$B=$A8)*(ghg!$E:$E=$X8))"),"")</f>
        <v/>
      </c>
      <c r="AC8" s="26">
        <f t="shared" si="7"/>
        <v>113400</v>
      </c>
      <c r="AD8" s="62">
        <f t="shared" si="8"/>
        <v>1</v>
      </c>
      <c r="AE8" s="62">
        <f t="shared" si="9"/>
        <v>0</v>
      </c>
      <c r="AF8" s="25"/>
      <c r="AG8" s="25"/>
      <c r="AH8" s="25"/>
      <c r="AI8" s="29">
        <f t="shared" si="10"/>
        <v>0</v>
      </c>
      <c r="AJ8" s="29">
        <f t="shared" si="11"/>
        <v>0</v>
      </c>
      <c r="AK8" s="25"/>
      <c r="AL8" s="29"/>
    </row>
    <row r="9" ht="12.75" customHeight="1">
      <c r="A9" s="22">
        <f t="shared" si="12"/>
        <v>7</v>
      </c>
      <c r="B9" s="26"/>
      <c r="C9" s="26"/>
      <c r="D9" s="26"/>
      <c r="E9" s="26"/>
      <c r="F9" s="26"/>
      <c r="G9" s="49" t="str">
        <f>VLOOKUP($A9,test6_2!$A:$H,COLUMN(test6_2!$H:$H),FALSE)</f>
        <v/>
      </c>
      <c r="H9" s="26" t="str">
        <f>VLOOKUP($A9,test6_2!$A:$U,COLUMN(test6_2!$I:$I),FALSE)</f>
        <v/>
      </c>
      <c r="I9" s="26">
        <f>VLOOKUP($A9,test6_2!$A:$U,COLUMN(test6_1!$Q:$Q),FALSE)</f>
        <v>2019</v>
      </c>
      <c r="J9" s="26">
        <f>VLOOKUP($A9,test6_2!$A:$U,COLUMN(test6_2!$N:$N),FALSE)</f>
        <v>0</v>
      </c>
      <c r="K9" s="26">
        <f>VLOOKUP($A9,test6_2!$A:$V,COLUMN(test6_2!$V:$V),FALSE)</f>
        <v>0</v>
      </c>
      <c r="L9" s="53">
        <f t="shared" si="1"/>
        <v>0</v>
      </c>
      <c r="M9" s="60" t="str">
        <f>VLOOKUP($A9,test6_2!$A:$U,COLUMN(test6_2!$G:$G),FALSE)</f>
        <v/>
      </c>
      <c r="N9" s="26" t="str">
        <f>VLOOKUP($A9,test6_2!$A:$U,COLUMN(test6_1!$O:$O),FALSE)</f>
        <v/>
      </c>
      <c r="O9" s="61">
        <f t="shared" si="2"/>
        <v>0</v>
      </c>
      <c r="P9" s="26">
        <f t="shared" si="3"/>
        <v>0</v>
      </c>
      <c r="Q9" s="26"/>
      <c r="R9" s="26"/>
      <c r="S9" s="26"/>
      <c r="T9" s="29">
        <f t="shared" si="4"/>
        <v>0</v>
      </c>
      <c r="U9" s="29">
        <f t="shared" si="5"/>
        <v>0</v>
      </c>
      <c r="V9" s="48"/>
      <c r="W9" s="62" t="str">
        <f>VLOOKUP($A9,test6_2!$A:$W,COLUMN(test6_2!$W:$W),FALSE)</f>
        <v/>
      </c>
      <c r="X9" s="26">
        <f t="shared" si="6"/>
        <v>2018</v>
      </c>
      <c r="Y9" s="26">
        <f>IFERROR(__xludf.DUMMYFUNCTION("filter(ghg!$F:$F,(ghg!$B:$B=$A9)*(ghg!$E:$E=$X9))"),63521.0)</f>
        <v>63521</v>
      </c>
      <c r="Z9" s="26">
        <f>IFERROR(__xludf.DUMMYFUNCTION("filter(ghg!$G:$G,(ghg!$B:$B=$A9)*(ghg!$E:$E=$X9))"),4344686.0)</f>
        <v>4344686</v>
      </c>
      <c r="AA9" s="26">
        <f>IFERROR(__xludf.DUMMYFUNCTION("filter(ghg!$H:$H,(ghg!$B:$B=$A9)*(ghg!$E:$E=$X9))"),684236.0)</f>
        <v>684236</v>
      </c>
      <c r="AB9" s="26">
        <f>IFERROR(__xludf.DUMMYFUNCTION("filter(ghg!$J:$J,(ghg!$B:$B=$A9)*(ghg!$E:$E=$X9))"),1.2900467E7)</f>
        <v>12900467</v>
      </c>
      <c r="AC9" s="26">
        <f t="shared" si="7"/>
        <v>13648224</v>
      </c>
      <c r="AD9" s="62">
        <f t="shared" si="8"/>
        <v>1</v>
      </c>
      <c r="AE9" s="62">
        <f t="shared" si="9"/>
        <v>0</v>
      </c>
      <c r="AF9" s="25"/>
      <c r="AG9" s="25"/>
      <c r="AH9" s="25"/>
      <c r="AI9" s="29">
        <f t="shared" si="10"/>
        <v>0</v>
      </c>
      <c r="AJ9" s="29">
        <f t="shared" si="11"/>
        <v>0</v>
      </c>
      <c r="AK9" s="25"/>
      <c r="AL9" s="29"/>
    </row>
    <row r="10" ht="12.75" customHeight="1">
      <c r="A10" s="22">
        <f t="shared" si="12"/>
        <v>8</v>
      </c>
      <c r="B10" s="26"/>
      <c r="C10" s="26"/>
      <c r="D10" s="26"/>
      <c r="E10" s="26"/>
      <c r="F10" s="26"/>
      <c r="G10" s="49" t="str">
        <f>VLOOKUP($A10,test6_2!$A:$H,COLUMN(test6_2!$H:$H),FALSE)</f>
        <v/>
      </c>
      <c r="H10" s="26" t="str">
        <f>VLOOKUP($A10,test6_2!$A:$U,COLUMN(test6_2!$I:$I),FALSE)</f>
        <v/>
      </c>
      <c r="I10" s="26">
        <f>VLOOKUP($A10,test6_2!$A:$U,COLUMN(test6_1!$Q:$Q),FALSE)</f>
        <v>2020</v>
      </c>
      <c r="J10" s="26">
        <f>VLOOKUP($A10,test6_2!$A:$U,COLUMN(test6_2!$N:$N),FALSE)</f>
        <v>0</v>
      </c>
      <c r="K10" s="26">
        <f>VLOOKUP($A10,test6_2!$A:$V,COLUMN(test6_2!$V:$V),FALSE)</f>
        <v>0</v>
      </c>
      <c r="L10" s="53">
        <f t="shared" si="1"/>
        <v>0</v>
      </c>
      <c r="M10" s="60" t="str">
        <f>VLOOKUP($A10,test6_2!$A:$U,COLUMN(test6_2!$G:$G),FALSE)</f>
        <v/>
      </c>
      <c r="N10" s="26" t="str">
        <f>VLOOKUP($A10,test6_2!$A:$U,COLUMN(test6_1!$O:$O),FALSE)</f>
        <v/>
      </c>
      <c r="O10" s="61">
        <f t="shared" si="2"/>
        <v>0</v>
      </c>
      <c r="P10" s="26">
        <f t="shared" si="3"/>
        <v>0</v>
      </c>
      <c r="Q10" s="26"/>
      <c r="R10" s="26"/>
      <c r="S10" s="26"/>
      <c r="T10" s="29">
        <f t="shared" si="4"/>
        <v>0</v>
      </c>
      <c r="U10" s="29">
        <f t="shared" si="5"/>
        <v>0</v>
      </c>
      <c r="V10" s="48"/>
      <c r="W10" s="62" t="str">
        <f>VLOOKUP($A10,test6_2!$A:$W,COLUMN(test6_2!$W:$W),FALSE)</f>
        <v/>
      </c>
      <c r="X10" s="26">
        <f t="shared" si="6"/>
        <v>2019</v>
      </c>
      <c r="Y10" s="26">
        <f>IFERROR(__xludf.DUMMYFUNCTION("filter(ghg!$F:$F,(ghg!$B:$B=$A10)*(ghg!$E:$E=$X10))"),154507.0)</f>
        <v>154507</v>
      </c>
      <c r="Z10" s="26">
        <f>IFERROR(__xludf.DUMMYFUNCTION("filter(ghg!$G:$G,(ghg!$B:$B=$A10)*(ghg!$E:$E=$X10))"),151259.0)</f>
        <v>151259</v>
      </c>
      <c r="AA10" s="26">
        <f>IFERROR(__xludf.DUMMYFUNCTION("filter(ghg!$H:$H,(ghg!$B:$B=$A10)*(ghg!$E:$E=$X10))"),147909.0)</f>
        <v>147909</v>
      </c>
      <c r="AB10" s="26" t="str">
        <f>IFERROR(__xludf.DUMMYFUNCTION("filter(ghg!$J:$J,(ghg!$B:$B=$A10)*(ghg!$E:$E=$X10))"),"")</f>
        <v/>
      </c>
      <c r="AC10" s="26">
        <f t="shared" si="7"/>
        <v>302416</v>
      </c>
      <c r="AD10" s="62">
        <f t="shared" si="8"/>
        <v>1</v>
      </c>
      <c r="AE10" s="62">
        <f t="shared" si="9"/>
        <v>0</v>
      </c>
      <c r="AF10" s="25"/>
      <c r="AG10" s="25"/>
      <c r="AH10" s="25"/>
      <c r="AI10" s="29">
        <f t="shared" si="10"/>
        <v>0</v>
      </c>
      <c r="AJ10" s="29">
        <f t="shared" si="11"/>
        <v>0</v>
      </c>
      <c r="AK10" s="25"/>
      <c r="AL10" s="29"/>
    </row>
    <row r="11" ht="12.75" customHeight="1">
      <c r="A11" s="22">
        <f t="shared" si="12"/>
        <v>9</v>
      </c>
      <c r="B11" s="26"/>
      <c r="C11" s="26"/>
      <c r="D11" s="26"/>
      <c r="E11" s="26"/>
      <c r="F11" s="26"/>
      <c r="G11" s="49" t="str">
        <f>VLOOKUP($A11,test6_2!$A:$H,COLUMN(test6_2!$H:$H),FALSE)</f>
        <v/>
      </c>
      <c r="H11" s="26" t="str">
        <f>VLOOKUP($A11,test6_2!$A:$U,COLUMN(test6_2!$I:$I),FALSE)</f>
        <v/>
      </c>
      <c r="I11" s="26">
        <f>VLOOKUP($A11,test6_2!$A:$U,COLUMN(test6_1!$Q:$Q),FALSE)</f>
        <v>2020</v>
      </c>
      <c r="J11" s="26">
        <f>VLOOKUP($A11,test6_2!$A:$U,COLUMN(test6_2!$N:$N),FALSE)</f>
        <v>0</v>
      </c>
      <c r="K11" s="26">
        <f>VLOOKUP($A11,test6_2!$A:$V,COLUMN(test6_2!$V:$V),FALSE)</f>
        <v>0</v>
      </c>
      <c r="L11" s="53">
        <f t="shared" si="1"/>
        <v>0</v>
      </c>
      <c r="M11" s="60" t="str">
        <f>VLOOKUP($A11,test6_2!$A:$U,COLUMN(test6_2!$G:$G),FALSE)</f>
        <v/>
      </c>
      <c r="N11" s="26" t="str">
        <f>VLOOKUP($A11,test6_2!$A:$U,COLUMN(test6_1!$O:$O),FALSE)</f>
        <v/>
      </c>
      <c r="O11" s="61">
        <f t="shared" si="2"/>
        <v>0</v>
      </c>
      <c r="P11" s="26">
        <f t="shared" si="3"/>
        <v>0</v>
      </c>
      <c r="Q11" s="26"/>
      <c r="R11" s="26"/>
      <c r="S11" s="26"/>
      <c r="T11" s="29">
        <f t="shared" si="4"/>
        <v>0</v>
      </c>
      <c r="U11" s="29">
        <f t="shared" si="5"/>
        <v>0</v>
      </c>
      <c r="V11" s="48"/>
      <c r="W11" s="62" t="str">
        <f>VLOOKUP($A11,test6_2!$A:$W,COLUMN(test6_2!$W:$W),FALSE)</f>
        <v/>
      </c>
      <c r="X11" s="26">
        <f t="shared" si="6"/>
        <v>2019</v>
      </c>
      <c r="Y11" s="26">
        <f>IFERROR(__xludf.DUMMYFUNCTION("filter(ghg!$F:$F,(ghg!$B:$B=$A11)*(ghg!$E:$E=$X11))"),5760000.0)</f>
        <v>5760000</v>
      </c>
      <c r="Z11" s="26" t="str">
        <f>IFERROR(__xludf.DUMMYFUNCTION("filter(ghg!$G:$G,(ghg!$B:$B=$A11)*(ghg!$E:$E=$X11))"),"")</f>
        <v/>
      </c>
      <c r="AA11" s="26">
        <f>IFERROR(__xludf.DUMMYFUNCTION("filter(ghg!$H:$H,(ghg!$B:$B=$A11)*(ghg!$E:$E=$X11))"),5500000.0)</f>
        <v>5500000</v>
      </c>
      <c r="AB11" s="26">
        <f>IFERROR(__xludf.DUMMYFUNCTION("filter(ghg!$J:$J,(ghg!$B:$B=$A11)*(ghg!$E:$E=$X11))"),3.9908E7)</f>
        <v>39908000</v>
      </c>
      <c r="AC11" s="26">
        <f t="shared" si="7"/>
        <v>51168000</v>
      </c>
      <c r="AD11" s="62">
        <f t="shared" si="8"/>
        <v>1</v>
      </c>
      <c r="AE11" s="62">
        <f t="shared" si="9"/>
        <v>0</v>
      </c>
      <c r="AF11" s="25"/>
      <c r="AG11" s="25"/>
      <c r="AH11" s="25"/>
      <c r="AI11" s="29">
        <f t="shared" si="10"/>
        <v>0</v>
      </c>
      <c r="AJ11" s="29">
        <f t="shared" si="11"/>
        <v>0</v>
      </c>
      <c r="AK11" s="25"/>
      <c r="AL11" s="29"/>
    </row>
    <row r="12" ht="12.75" customHeight="1">
      <c r="A12" s="22">
        <f t="shared" si="12"/>
        <v>10</v>
      </c>
      <c r="B12" s="26"/>
      <c r="C12" s="26"/>
      <c r="D12" s="26"/>
      <c r="E12" s="26"/>
      <c r="F12" s="26"/>
      <c r="G12" s="49" t="str">
        <f>VLOOKUP($A12,test6_2!$A:$H,COLUMN(test6_2!$H:$H),FALSE)</f>
        <v/>
      </c>
      <c r="H12" s="26" t="str">
        <f>VLOOKUP($A12,test6_2!$A:$U,COLUMN(test6_2!$I:$I),FALSE)</f>
        <v/>
      </c>
      <c r="I12" s="26">
        <f>VLOOKUP($A12,test6_2!$A:$U,COLUMN(test6_1!$Q:$Q),FALSE)</f>
        <v>2019</v>
      </c>
      <c r="J12" s="26">
        <f>VLOOKUP($A12,test6_2!$A:$U,COLUMN(test6_2!$N:$N),FALSE)</f>
        <v>0</v>
      </c>
      <c r="K12" s="26">
        <f>VLOOKUP($A12,test6_2!$A:$V,COLUMN(test6_2!$V:$V),FALSE)</f>
        <v>0</v>
      </c>
      <c r="L12" s="53">
        <f t="shared" si="1"/>
        <v>0</v>
      </c>
      <c r="M12" s="60" t="str">
        <f>VLOOKUP($A12,test6_2!$A:$U,COLUMN(test6_2!$G:$G),FALSE)</f>
        <v/>
      </c>
      <c r="N12" s="26" t="str">
        <f>VLOOKUP($A12,test6_2!$A:$U,COLUMN(test6_1!$O:$O),FALSE)</f>
        <v/>
      </c>
      <c r="O12" s="61">
        <f t="shared" si="2"/>
        <v>0</v>
      </c>
      <c r="P12" s="26">
        <f t="shared" si="3"/>
        <v>0</v>
      </c>
      <c r="Q12" s="26"/>
      <c r="R12" s="26"/>
      <c r="S12" s="26"/>
      <c r="T12" s="29">
        <f t="shared" si="4"/>
        <v>0</v>
      </c>
      <c r="U12" s="29">
        <f t="shared" si="5"/>
        <v>0</v>
      </c>
      <c r="V12" s="48"/>
      <c r="W12" s="62" t="str">
        <f>VLOOKUP($A12,test6_2!$A:$W,COLUMN(test6_2!$W:$W),FALSE)</f>
        <v/>
      </c>
      <c r="X12" s="26">
        <f t="shared" si="6"/>
        <v>2018</v>
      </c>
      <c r="Y12" s="26">
        <f>IFERROR(__xludf.DUMMYFUNCTION("filter(ghg!$F:$F,(ghg!$B:$B=$A12)*(ghg!$E:$E=$X12))"),23981.0)</f>
        <v>23981</v>
      </c>
      <c r="Z12" s="26">
        <f>IFERROR(__xludf.DUMMYFUNCTION("filter(ghg!$G:$G,(ghg!$B:$B=$A12)*(ghg!$E:$E=$X12))"),112745.0)</f>
        <v>112745</v>
      </c>
      <c r="AA12" s="26">
        <f>IFERROR(__xludf.DUMMYFUNCTION("filter(ghg!$H:$H,(ghg!$B:$B=$A12)*(ghg!$E:$E=$X12))"),2994.0)</f>
        <v>2994</v>
      </c>
      <c r="AB12" s="26" t="str">
        <f>IFERROR(__xludf.DUMMYFUNCTION("filter(ghg!$J:$J,(ghg!$B:$B=$A12)*(ghg!$E:$E=$X12))"),"")</f>
        <v/>
      </c>
      <c r="AC12" s="26">
        <f t="shared" si="7"/>
        <v>26975</v>
      </c>
      <c r="AD12" s="62">
        <f t="shared" si="8"/>
        <v>1</v>
      </c>
      <c r="AE12" s="62">
        <f t="shared" si="9"/>
        <v>0</v>
      </c>
      <c r="AF12" s="25"/>
      <c r="AG12" s="25"/>
      <c r="AH12" s="25"/>
      <c r="AI12" s="29">
        <f t="shared" si="10"/>
        <v>0</v>
      </c>
      <c r="AJ12" s="29">
        <f t="shared" si="11"/>
        <v>0</v>
      </c>
      <c r="AK12" s="25"/>
      <c r="AL12" s="29"/>
    </row>
    <row r="13" ht="12.75" customHeight="1">
      <c r="A13" s="22">
        <f t="shared" si="12"/>
        <v>11</v>
      </c>
      <c r="B13" s="26"/>
      <c r="C13" s="26"/>
      <c r="D13" s="26"/>
      <c r="E13" s="26"/>
      <c r="F13" s="26"/>
      <c r="G13" s="49" t="str">
        <f>VLOOKUP($A13,test6_2!$A:$H,COLUMN(test6_2!$H:$H),FALSE)</f>
        <v/>
      </c>
      <c r="H13" s="26" t="str">
        <f>VLOOKUP($A13,test6_2!$A:$U,COLUMN(test6_2!$I:$I),FALSE)</f>
        <v/>
      </c>
      <c r="I13" s="26">
        <f>VLOOKUP($A13,test6_2!$A:$U,COLUMN(test6_1!$Q:$Q),FALSE)</f>
        <v>2020</v>
      </c>
      <c r="J13" s="26">
        <f>VLOOKUP($A13,test6_2!$A:$U,COLUMN(test6_2!$N:$N),FALSE)</f>
        <v>0</v>
      </c>
      <c r="K13" s="26">
        <f>VLOOKUP($A13,test6_2!$A:$V,COLUMN(test6_2!$V:$V),FALSE)</f>
        <v>0</v>
      </c>
      <c r="L13" s="53">
        <f t="shared" si="1"/>
        <v>0</v>
      </c>
      <c r="M13" s="60" t="str">
        <f>VLOOKUP($A13,test6_2!$A:$U,COLUMN(test6_2!$G:$G),FALSE)</f>
        <v/>
      </c>
      <c r="N13" s="26" t="str">
        <f>VLOOKUP($A13,test6_2!$A:$U,COLUMN(test6_1!$O:$O),FALSE)</f>
        <v/>
      </c>
      <c r="O13" s="61">
        <f t="shared" si="2"/>
        <v>0</v>
      </c>
      <c r="P13" s="26">
        <f t="shared" si="3"/>
        <v>0</v>
      </c>
      <c r="Q13" s="26"/>
      <c r="R13" s="26"/>
      <c r="S13" s="26"/>
      <c r="T13" s="29">
        <f t="shared" si="4"/>
        <v>0</v>
      </c>
      <c r="U13" s="29">
        <f t="shared" si="5"/>
        <v>0</v>
      </c>
      <c r="V13" s="48"/>
      <c r="W13" s="62" t="str">
        <f>VLOOKUP($A13,test6_2!$A:$W,COLUMN(test6_2!$W:$W),FALSE)</f>
        <v/>
      </c>
      <c r="X13" s="26">
        <f t="shared" si="6"/>
        <v>2019</v>
      </c>
      <c r="Y13" s="26">
        <f>IFERROR(__xludf.DUMMYFUNCTION("filter(ghg!$F:$F,(ghg!$B:$B=$A13)*(ghg!$E:$E=$X13))"),17121.0)</f>
        <v>17121</v>
      </c>
      <c r="Z13" s="26" t="str">
        <f>IFERROR(__xludf.DUMMYFUNCTION("filter(ghg!$G:$G,(ghg!$B:$B=$A13)*(ghg!$E:$E=$X13))"),"NR")</f>
        <v>NR</v>
      </c>
      <c r="AA13" s="26">
        <f>IFERROR(__xludf.DUMMYFUNCTION("filter(ghg!$H:$H,(ghg!$B:$B=$A13)*(ghg!$E:$E=$X13))"),93782.0)</f>
        <v>93782</v>
      </c>
      <c r="AB13" s="26" t="str">
        <f>IFERROR(__xludf.DUMMYFUNCTION("filter(ghg!$J:$J,(ghg!$B:$B=$A13)*(ghg!$E:$E=$X13))"),"")</f>
        <v/>
      </c>
      <c r="AC13" s="26">
        <f t="shared" si="7"/>
        <v>110903</v>
      </c>
      <c r="AD13" s="62">
        <f t="shared" si="8"/>
        <v>1</v>
      </c>
      <c r="AE13" s="62">
        <f t="shared" si="9"/>
        <v>0</v>
      </c>
      <c r="AF13" s="25"/>
      <c r="AG13" s="25"/>
      <c r="AH13" s="25"/>
      <c r="AI13" s="29">
        <f t="shared" si="10"/>
        <v>0</v>
      </c>
      <c r="AJ13" s="29">
        <f t="shared" si="11"/>
        <v>0</v>
      </c>
      <c r="AK13" s="25"/>
      <c r="AL13" s="29"/>
    </row>
    <row r="14" ht="12.75" customHeight="1">
      <c r="A14" s="22">
        <f t="shared" si="12"/>
        <v>12</v>
      </c>
      <c r="B14" s="26"/>
      <c r="C14" s="26"/>
      <c r="D14" s="26"/>
      <c r="E14" s="26"/>
      <c r="F14" s="26"/>
      <c r="G14" s="49" t="str">
        <f>VLOOKUP($A14,test6_2!$A:$H,COLUMN(test6_2!$H:$H),FALSE)</f>
        <v/>
      </c>
      <c r="H14" s="26" t="str">
        <f>VLOOKUP($A14,test6_2!$A:$U,COLUMN(test6_2!$I:$I),FALSE)</f>
        <v/>
      </c>
      <c r="I14" s="26">
        <f>VLOOKUP($A14,test6_2!$A:$U,COLUMN(test6_1!$Q:$Q),FALSE)</f>
        <v>2019</v>
      </c>
      <c r="J14" s="26">
        <f>VLOOKUP($A14,test6_2!$A:$U,COLUMN(test6_2!$N:$N),FALSE)</f>
        <v>0</v>
      </c>
      <c r="K14" s="26">
        <f>VLOOKUP($A14,test6_2!$A:$V,COLUMN(test6_2!$V:$V),FALSE)</f>
        <v>0</v>
      </c>
      <c r="L14" s="53">
        <f t="shared" si="1"/>
        <v>0</v>
      </c>
      <c r="M14" s="60" t="str">
        <f>VLOOKUP($A14,test6_2!$A:$U,COLUMN(test6_2!$G:$G),FALSE)</f>
        <v/>
      </c>
      <c r="N14" s="26" t="str">
        <f>VLOOKUP($A14,test6_2!$A:$U,COLUMN(test6_1!$O:$O),FALSE)</f>
        <v/>
      </c>
      <c r="O14" s="61">
        <f t="shared" si="2"/>
        <v>0</v>
      </c>
      <c r="P14" s="26">
        <f t="shared" si="3"/>
        <v>0</v>
      </c>
      <c r="Q14" s="26"/>
      <c r="R14" s="26"/>
      <c r="S14" s="26"/>
      <c r="T14" s="29">
        <f t="shared" si="4"/>
        <v>0</v>
      </c>
      <c r="U14" s="29">
        <f t="shared" si="5"/>
        <v>0</v>
      </c>
      <c r="V14" s="48"/>
      <c r="W14" s="62" t="str">
        <f>VLOOKUP($A14,test6_2!$A:$W,COLUMN(test6_2!$W:$W),FALSE)</f>
        <v/>
      </c>
      <c r="X14" s="26">
        <f t="shared" si="6"/>
        <v>2018</v>
      </c>
      <c r="Y14" s="26">
        <f>IFERROR(__xludf.DUMMYFUNCTION("filter(ghg!$F:$F,(ghg!$B:$B=$A14)*(ghg!$E:$E=$X14))"),615347.0)</f>
        <v>615347</v>
      </c>
      <c r="Z14" s="26" t="str">
        <f>IFERROR(__xludf.DUMMYFUNCTION("filter(ghg!$G:$G,(ghg!$B:$B=$A14)*(ghg!$E:$E=$X14))"),"")</f>
        <v/>
      </c>
      <c r="AA14" s="26">
        <f>IFERROR(__xludf.DUMMYFUNCTION("filter(ghg!$H:$H,(ghg!$B:$B=$A14)*(ghg!$E:$E=$X14))"),1796960.0)</f>
        <v>1796960</v>
      </c>
      <c r="AB14" s="26" t="str">
        <f>IFERROR(__xludf.DUMMYFUNCTION("filter(ghg!$J:$J,(ghg!$B:$B=$A14)*(ghg!$E:$E=$X14))"),"")</f>
        <v/>
      </c>
      <c r="AC14" s="26">
        <f t="shared" si="7"/>
        <v>2412307</v>
      </c>
      <c r="AD14" s="62">
        <f t="shared" si="8"/>
        <v>1</v>
      </c>
      <c r="AE14" s="62">
        <f t="shared" si="9"/>
        <v>0</v>
      </c>
      <c r="AF14" s="25"/>
      <c r="AG14" s="25"/>
      <c r="AH14" s="25"/>
      <c r="AI14" s="29">
        <f t="shared" si="10"/>
        <v>0</v>
      </c>
      <c r="AJ14" s="29">
        <f t="shared" si="11"/>
        <v>0</v>
      </c>
      <c r="AK14" s="25"/>
      <c r="AL14" s="29"/>
    </row>
    <row r="15" ht="12.75" customHeight="1">
      <c r="A15" s="22">
        <f t="shared" si="12"/>
        <v>13</v>
      </c>
      <c r="B15" s="26"/>
      <c r="C15" s="26"/>
      <c r="D15" s="26"/>
      <c r="E15" s="26"/>
      <c r="F15" s="26"/>
      <c r="G15" s="49" t="str">
        <f>VLOOKUP($A15,test6_2!$A:$H,COLUMN(test6_2!$H:$H),FALSE)</f>
        <v/>
      </c>
      <c r="H15" s="26" t="str">
        <f>VLOOKUP($A15,test6_2!$A:$U,COLUMN(test6_2!$I:$I),FALSE)</f>
        <v/>
      </c>
      <c r="I15" s="26">
        <f>VLOOKUP($A15,test6_2!$A:$U,COLUMN(test6_1!$Q:$Q),FALSE)</f>
        <v>2019</v>
      </c>
      <c r="J15" s="26">
        <f>VLOOKUP($A15,test6_2!$A:$U,COLUMN(test6_2!$N:$N),FALSE)</f>
        <v>0</v>
      </c>
      <c r="K15" s="26">
        <f>VLOOKUP($A15,test6_2!$A:$V,COLUMN(test6_2!$V:$V),FALSE)</f>
        <v>0</v>
      </c>
      <c r="L15" s="53">
        <f t="shared" si="1"/>
        <v>0</v>
      </c>
      <c r="M15" s="60" t="str">
        <f>VLOOKUP($A15,test6_2!$A:$U,COLUMN(test6_2!$G:$G),FALSE)</f>
        <v/>
      </c>
      <c r="N15" s="26" t="str">
        <f>VLOOKUP($A15,test6_2!$A:$U,COLUMN(test6_1!$O:$O),FALSE)</f>
        <v/>
      </c>
      <c r="O15" s="61">
        <f t="shared" si="2"/>
        <v>0</v>
      </c>
      <c r="P15" s="26">
        <f t="shared" si="3"/>
        <v>0</v>
      </c>
      <c r="Q15" s="26"/>
      <c r="R15" s="26"/>
      <c r="S15" s="26"/>
      <c r="T15" s="29">
        <f t="shared" si="4"/>
        <v>0</v>
      </c>
      <c r="U15" s="29">
        <f t="shared" si="5"/>
        <v>0</v>
      </c>
      <c r="V15" s="48"/>
      <c r="W15" s="62" t="str">
        <f>VLOOKUP($A15,test6_2!$A:$W,COLUMN(test6_2!$W:$W),FALSE)</f>
        <v/>
      </c>
      <c r="X15" s="26">
        <f t="shared" si="6"/>
        <v>2018</v>
      </c>
      <c r="Y15" s="26">
        <f>IFERROR(__xludf.DUMMYFUNCTION("filter(ghg!$F:$F,(ghg!$B:$B=$A15)*(ghg!$E:$E=$X15))"),160184.0)</f>
        <v>160184</v>
      </c>
      <c r="Z15" s="26" t="str">
        <f>IFERROR(__xludf.DUMMYFUNCTION("filter(ghg!$G:$G,(ghg!$B:$B=$A15)*(ghg!$E:$E=$X15))"),"")</f>
        <v/>
      </c>
      <c r="AA15" s="26">
        <f>IFERROR(__xludf.DUMMYFUNCTION("filter(ghg!$H:$H,(ghg!$B:$B=$A15)*(ghg!$E:$E=$X15))"),159848.0)</f>
        <v>159848</v>
      </c>
      <c r="AB15" s="26" t="str">
        <f>IFERROR(__xludf.DUMMYFUNCTION("filter(ghg!$J:$J,(ghg!$B:$B=$A15)*(ghg!$E:$E=$X15))"),"")</f>
        <v/>
      </c>
      <c r="AC15" s="26">
        <f t="shared" si="7"/>
        <v>320032</v>
      </c>
      <c r="AD15" s="62">
        <f t="shared" si="8"/>
        <v>1</v>
      </c>
      <c r="AE15" s="62">
        <f t="shared" si="9"/>
        <v>0</v>
      </c>
      <c r="AF15" s="25"/>
      <c r="AG15" s="25"/>
      <c r="AH15" s="25"/>
      <c r="AI15" s="29">
        <f t="shared" si="10"/>
        <v>0</v>
      </c>
      <c r="AJ15" s="29">
        <f t="shared" si="11"/>
        <v>0</v>
      </c>
      <c r="AK15" s="25"/>
      <c r="AL15" s="29"/>
    </row>
    <row r="16" ht="12.75" customHeight="1">
      <c r="A16" s="22">
        <f t="shared" si="12"/>
        <v>14</v>
      </c>
      <c r="B16" s="26"/>
      <c r="C16" s="26"/>
      <c r="D16" s="26"/>
      <c r="E16" s="26"/>
      <c r="F16" s="26"/>
      <c r="G16" s="49">
        <f>VLOOKUP($A16,test6_2!$A:$H,COLUMN(test6_2!$H:$H),FALSE)</f>
        <v>24</v>
      </c>
      <c r="H16" s="26">
        <f>VLOOKUP($A16,test6_2!$A:$U,COLUMN(test6_2!$I:$I),FALSE)</f>
        <v>2019</v>
      </c>
      <c r="I16" s="26">
        <f>VLOOKUP($A16,test6_2!$A:$U,COLUMN(test6_1!$Q:$Q),FALSE)</f>
        <v>2020</v>
      </c>
      <c r="J16" s="26">
        <f>VLOOKUP($A16,test6_2!$A:$U,COLUMN(test6_2!$N:$N),FALSE)</f>
        <v>25032730</v>
      </c>
      <c r="K16" s="26">
        <f>VLOOKUP($A16,test6_2!$A:$V,COLUMN(test6_2!$V:$V),FALSE)</f>
        <v>22597430</v>
      </c>
      <c r="L16" s="53">
        <f t="shared" si="1"/>
        <v>0.09728463496</v>
      </c>
      <c r="M16" s="60">
        <f>VLOOKUP($A16,test6_2!$A:$U,COLUMN(test6_2!$G:$G),FALSE)</f>
        <v>2030</v>
      </c>
      <c r="N16" s="52">
        <f>VLOOKUP($A16,test6_2!$A:$U,COLUMN(test6_1!$O:$O),FALSE)</f>
        <v>0.62</v>
      </c>
      <c r="O16" s="61">
        <f t="shared" si="2"/>
        <v>0.05636363636</v>
      </c>
      <c r="P16" s="52">
        <f t="shared" si="3"/>
        <v>1.726017717</v>
      </c>
      <c r="Q16" s="26"/>
      <c r="R16" s="26"/>
      <c r="S16" s="26"/>
      <c r="T16" s="29">
        <f t="shared" si="4"/>
        <v>1</v>
      </c>
      <c r="U16" s="29">
        <f t="shared" si="5"/>
        <v>0.1</v>
      </c>
      <c r="V16" s="48"/>
      <c r="W16" s="62">
        <f>VLOOKUP($A16,test6_2!$A:$W,COLUMN(test6_2!$W:$W),FALSE)</f>
        <v>0.05790478209</v>
      </c>
      <c r="X16" s="26">
        <f t="shared" si="6"/>
        <v>2019</v>
      </c>
      <c r="Y16" s="26">
        <f>IFERROR(__xludf.DUMMYFUNCTION("filter(ghg!$F:$F,(ghg!$B:$B=$A16)*(ghg!$E:$E=$X16))"),52730.0)</f>
        <v>52730</v>
      </c>
      <c r="Z16" s="26" t="str">
        <f>IFERROR(__xludf.DUMMYFUNCTION("filter(ghg!$G:$G,(ghg!$B:$B=$A16)*(ghg!$E:$E=$X16))"),"")</f>
        <v/>
      </c>
      <c r="AA16" s="26">
        <f>IFERROR(__xludf.DUMMYFUNCTION("filter(ghg!$H:$H,(ghg!$B:$B=$A16)*(ghg!$E:$E=$X16))"),0.0)</f>
        <v>0</v>
      </c>
      <c r="AB16" s="26">
        <f>IFERROR(__xludf.DUMMYFUNCTION("filter(ghg!$J:$J,(ghg!$B:$B=$A16)*(ghg!$E:$E=$X16))"),2.498E7)</f>
        <v>24980000</v>
      </c>
      <c r="AC16" s="26">
        <f t="shared" si="7"/>
        <v>25032730</v>
      </c>
      <c r="AD16" s="62">
        <f t="shared" si="8"/>
        <v>0.09728463496</v>
      </c>
      <c r="AE16" s="62">
        <f t="shared" si="9"/>
        <v>1.680079459</v>
      </c>
      <c r="AF16" s="25"/>
      <c r="AG16" s="25"/>
      <c r="AH16" s="25"/>
      <c r="AI16" s="29">
        <f t="shared" si="10"/>
        <v>1</v>
      </c>
      <c r="AJ16" s="29">
        <f t="shared" si="11"/>
        <v>0.1</v>
      </c>
      <c r="AK16" s="25"/>
      <c r="AL16" s="29"/>
    </row>
    <row r="17" ht="12.75" customHeight="1">
      <c r="A17" s="22">
        <f t="shared" si="12"/>
        <v>15</v>
      </c>
      <c r="B17" s="26"/>
      <c r="C17" s="26"/>
      <c r="D17" s="26"/>
      <c r="E17" s="26"/>
      <c r="F17" s="26"/>
      <c r="G17" s="49" t="str">
        <f>VLOOKUP($A17,test6_2!$A:$H,COLUMN(test6_2!$H:$H),FALSE)</f>
        <v/>
      </c>
      <c r="H17" s="26" t="str">
        <f>VLOOKUP($A17,test6_2!$A:$U,COLUMN(test6_2!$I:$I),FALSE)</f>
        <v/>
      </c>
      <c r="I17" s="26">
        <f>VLOOKUP($A17,test6_2!$A:$U,COLUMN(test6_1!$Q:$Q),FALSE)</f>
        <v>2019</v>
      </c>
      <c r="J17" s="26">
        <f>VLOOKUP($A17,test6_2!$A:$U,COLUMN(test6_2!$N:$N),FALSE)</f>
        <v>0</v>
      </c>
      <c r="K17" s="26">
        <f>VLOOKUP($A17,test6_2!$A:$V,COLUMN(test6_2!$V:$V),FALSE)</f>
        <v>0</v>
      </c>
      <c r="L17" s="53">
        <f t="shared" si="1"/>
        <v>0</v>
      </c>
      <c r="M17" s="60" t="str">
        <f>VLOOKUP($A17,test6_2!$A:$U,COLUMN(test6_2!$G:$G),FALSE)</f>
        <v/>
      </c>
      <c r="N17" s="26" t="str">
        <f>VLOOKUP($A17,test6_2!$A:$U,COLUMN(test6_1!$O:$O),FALSE)</f>
        <v/>
      </c>
      <c r="O17" s="61">
        <f t="shared" si="2"/>
        <v>0</v>
      </c>
      <c r="P17" s="26">
        <f t="shared" si="3"/>
        <v>0</v>
      </c>
      <c r="Q17" s="26"/>
      <c r="R17" s="26"/>
      <c r="S17" s="26"/>
      <c r="T17" s="29">
        <f t="shared" si="4"/>
        <v>0</v>
      </c>
      <c r="U17" s="29">
        <f t="shared" si="5"/>
        <v>0</v>
      </c>
      <c r="V17" s="48"/>
      <c r="W17" s="62" t="str">
        <f>VLOOKUP($A17,test6_2!$A:$W,COLUMN(test6_2!$W:$W),FALSE)</f>
        <v/>
      </c>
      <c r="X17" s="26">
        <f t="shared" si="6"/>
        <v>2018</v>
      </c>
      <c r="Y17" s="26">
        <f>IFERROR(__xludf.DUMMYFUNCTION("filter(ghg!$F:$F,(ghg!$B:$B=$A17)*(ghg!$E:$E=$X17))"),1020000.0)</f>
        <v>1020000</v>
      </c>
      <c r="Z17" s="26">
        <f>IFERROR(__xludf.DUMMYFUNCTION("filter(ghg!$G:$G,(ghg!$B:$B=$A17)*(ghg!$E:$E=$X17))"),6660000.0)</f>
        <v>6660000</v>
      </c>
      <c r="AA17" s="26">
        <f>IFERROR(__xludf.DUMMYFUNCTION("filter(ghg!$H:$H,(ghg!$B:$B=$A17)*(ghg!$E:$E=$X17))"),6660000.0)</f>
        <v>6660000</v>
      </c>
      <c r="AB17" s="26" t="str">
        <f>IFERROR(__xludf.DUMMYFUNCTION("filter(ghg!$J:$J,(ghg!$B:$B=$A17)*(ghg!$E:$E=$X17))"),"")</f>
        <v/>
      </c>
      <c r="AC17" s="26">
        <f t="shared" si="7"/>
        <v>7680000</v>
      </c>
      <c r="AD17" s="62">
        <f t="shared" si="8"/>
        <v>1</v>
      </c>
      <c r="AE17" s="62">
        <f t="shared" si="9"/>
        <v>0</v>
      </c>
      <c r="AF17" s="25"/>
      <c r="AG17" s="25"/>
      <c r="AH17" s="25"/>
      <c r="AI17" s="29">
        <f t="shared" si="10"/>
        <v>0</v>
      </c>
      <c r="AJ17" s="29">
        <f t="shared" si="11"/>
        <v>0</v>
      </c>
      <c r="AK17" s="25"/>
      <c r="AL17" s="29"/>
    </row>
    <row r="18" ht="12.75" customHeight="1">
      <c r="A18" s="22">
        <f t="shared" si="12"/>
        <v>16</v>
      </c>
      <c r="B18" s="26"/>
      <c r="C18" s="26"/>
      <c r="D18" s="26"/>
      <c r="E18" s="26"/>
      <c r="F18" s="26"/>
      <c r="G18" s="49" t="str">
        <f>VLOOKUP($A18,test6_2!$A:$H,COLUMN(test6_2!$H:$H),FALSE)</f>
        <v/>
      </c>
      <c r="H18" s="26" t="str">
        <f>VLOOKUP($A18,test6_2!$A:$U,COLUMN(test6_2!$I:$I),FALSE)</f>
        <v/>
      </c>
      <c r="I18" s="26">
        <f>VLOOKUP($A18,test6_2!$A:$U,COLUMN(test6_1!$Q:$Q),FALSE)</f>
        <v>2020</v>
      </c>
      <c r="J18" s="26">
        <f>VLOOKUP($A18,test6_2!$A:$U,COLUMN(test6_2!$N:$N),FALSE)</f>
        <v>0</v>
      </c>
      <c r="K18" s="26">
        <f>VLOOKUP($A18,test6_2!$A:$V,COLUMN(test6_2!$V:$V),FALSE)</f>
        <v>0</v>
      </c>
      <c r="L18" s="53">
        <f t="shared" si="1"/>
        <v>0</v>
      </c>
      <c r="M18" s="60" t="str">
        <f>VLOOKUP($A18,test6_2!$A:$U,COLUMN(test6_2!$G:$G),FALSE)</f>
        <v/>
      </c>
      <c r="N18" s="26" t="str">
        <f>VLOOKUP($A18,test6_2!$A:$U,COLUMN(test6_1!$O:$O),FALSE)</f>
        <v/>
      </c>
      <c r="O18" s="61">
        <f t="shared" si="2"/>
        <v>0</v>
      </c>
      <c r="P18" s="26">
        <f t="shared" si="3"/>
        <v>0</v>
      </c>
      <c r="Q18" s="26"/>
      <c r="R18" s="26"/>
      <c r="S18" s="26"/>
      <c r="T18" s="29">
        <f t="shared" si="4"/>
        <v>0</v>
      </c>
      <c r="U18" s="29">
        <f t="shared" si="5"/>
        <v>0</v>
      </c>
      <c r="V18" s="48"/>
      <c r="W18" s="62" t="str">
        <f>VLOOKUP($A18,test6_2!$A:$W,COLUMN(test6_2!$W:$W),FALSE)</f>
        <v/>
      </c>
      <c r="X18" s="26">
        <f t="shared" si="6"/>
        <v>2019</v>
      </c>
      <c r="Y18" s="26">
        <f>IFERROR(__xludf.DUMMYFUNCTION("filter(ghg!$F:$F,(ghg!$B:$B=$A18)*(ghg!$E:$E=$X18))"),62639.0)</f>
        <v>62639</v>
      </c>
      <c r="Z18" s="26">
        <f>IFERROR(__xludf.DUMMYFUNCTION("filter(ghg!$G:$G,(ghg!$B:$B=$A18)*(ghg!$E:$E=$X18))"),728771.0)</f>
        <v>728771</v>
      </c>
      <c r="AA18" s="26">
        <f>IFERROR(__xludf.DUMMYFUNCTION("filter(ghg!$H:$H,(ghg!$B:$B=$A18)*(ghg!$E:$E=$X18))"),17523.0)</f>
        <v>17523</v>
      </c>
      <c r="AB18" s="26" t="str">
        <f>IFERROR(__xludf.DUMMYFUNCTION("filter(ghg!$J:$J,(ghg!$B:$B=$A18)*(ghg!$E:$E=$X18))"),"")</f>
        <v/>
      </c>
      <c r="AC18" s="26">
        <f t="shared" si="7"/>
        <v>80162</v>
      </c>
      <c r="AD18" s="62">
        <f t="shared" si="8"/>
        <v>1</v>
      </c>
      <c r="AE18" s="62">
        <f t="shared" si="9"/>
        <v>0</v>
      </c>
      <c r="AF18" s="25"/>
      <c r="AG18" s="25"/>
      <c r="AH18" s="25"/>
      <c r="AI18" s="29">
        <f t="shared" si="10"/>
        <v>0</v>
      </c>
      <c r="AJ18" s="29">
        <f t="shared" si="11"/>
        <v>0</v>
      </c>
      <c r="AK18" s="25"/>
      <c r="AL18" s="29"/>
    </row>
    <row r="19" ht="12.75" customHeight="1">
      <c r="A19" s="22">
        <f t="shared" si="12"/>
        <v>17</v>
      </c>
      <c r="B19" s="26"/>
      <c r="C19" s="26"/>
      <c r="D19" s="26"/>
      <c r="E19" s="26"/>
      <c r="F19" s="26"/>
      <c r="G19" s="49" t="str">
        <f>VLOOKUP($A19,test6_2!$A:$H,COLUMN(test6_2!$H:$H),FALSE)</f>
        <v/>
      </c>
      <c r="H19" s="26" t="str">
        <f>VLOOKUP($A19,test6_2!$A:$U,COLUMN(test6_2!$I:$I),FALSE)</f>
        <v/>
      </c>
      <c r="I19" s="26" t="str">
        <f>VLOOKUP($A19,test6_2!$A:$U,COLUMN(test6_1!$Q:$Q),FALSE)</f>
        <v>NR</v>
      </c>
      <c r="J19" s="26">
        <f>VLOOKUP($A19,test6_2!$A:$U,COLUMN(test6_2!$N:$N),FALSE)</f>
        <v>0</v>
      </c>
      <c r="K19" s="26">
        <f>VLOOKUP($A19,test6_2!$A:$V,COLUMN(test6_2!$V:$V),FALSE)</f>
        <v>0</v>
      </c>
      <c r="L19" s="53">
        <f t="shared" si="1"/>
        <v>0</v>
      </c>
      <c r="M19" s="60" t="str">
        <f>VLOOKUP($A19,test6_2!$A:$U,COLUMN(test6_2!$G:$G),FALSE)</f>
        <v/>
      </c>
      <c r="N19" s="26" t="str">
        <f>VLOOKUP($A19,test6_2!$A:$U,COLUMN(test6_1!$O:$O),FALSE)</f>
        <v/>
      </c>
      <c r="O19" s="61">
        <f t="shared" si="2"/>
        <v>0</v>
      </c>
      <c r="P19" s="26">
        <f t="shared" si="3"/>
        <v>0</v>
      </c>
      <c r="Q19" s="26"/>
      <c r="R19" s="26"/>
      <c r="S19" s="26"/>
      <c r="T19" s="29">
        <f t="shared" si="4"/>
        <v>0</v>
      </c>
      <c r="U19" s="29">
        <f t="shared" si="5"/>
        <v>0</v>
      </c>
      <c r="V19" s="48"/>
      <c r="W19" s="62" t="str">
        <f>VLOOKUP($A19,test6_2!$A:$W,COLUMN(test6_2!$W:$W),FALSE)</f>
        <v/>
      </c>
      <c r="X19" s="54"/>
      <c r="Y19" s="54"/>
      <c r="Z19" s="54"/>
      <c r="AA19" s="54"/>
      <c r="AB19" s="54"/>
      <c r="AC19" s="54"/>
      <c r="AD19" s="62"/>
      <c r="AE19" s="62">
        <f t="shared" si="9"/>
        <v>0</v>
      </c>
      <c r="AF19" s="25"/>
      <c r="AG19" s="25"/>
      <c r="AH19" s="25"/>
      <c r="AI19" s="29">
        <f t="shared" si="10"/>
        <v>0</v>
      </c>
      <c r="AJ19" s="29">
        <f t="shared" si="11"/>
        <v>0</v>
      </c>
      <c r="AK19" s="25"/>
      <c r="AL19" s="29"/>
    </row>
    <row r="20" ht="12.75" customHeight="1">
      <c r="A20" s="22">
        <f t="shared" si="12"/>
        <v>18</v>
      </c>
      <c r="B20" s="26"/>
      <c r="C20" s="26"/>
      <c r="D20" s="26"/>
      <c r="E20" s="26"/>
      <c r="F20" s="26"/>
      <c r="G20" s="49" t="str">
        <f>VLOOKUP($A20,test6_2!$A:$H,COLUMN(test6_2!$H:$H),FALSE)</f>
        <v/>
      </c>
      <c r="H20" s="26" t="str">
        <f>VLOOKUP($A20,test6_2!$A:$U,COLUMN(test6_2!$I:$I),FALSE)</f>
        <v/>
      </c>
      <c r="I20" s="26">
        <f>VLOOKUP($A20,test6_2!$A:$U,COLUMN(test6_1!$Q:$Q),FALSE)</f>
        <v>2020</v>
      </c>
      <c r="J20" s="26">
        <f>VLOOKUP($A20,test6_2!$A:$U,COLUMN(test6_2!$N:$N),FALSE)</f>
        <v>0</v>
      </c>
      <c r="K20" s="26">
        <f>VLOOKUP($A20,test6_2!$A:$V,COLUMN(test6_2!$V:$V),FALSE)</f>
        <v>0</v>
      </c>
      <c r="L20" s="53">
        <f t="shared" si="1"/>
        <v>0</v>
      </c>
      <c r="M20" s="60" t="str">
        <f>VLOOKUP($A20,test6_2!$A:$U,COLUMN(test6_2!$G:$G),FALSE)</f>
        <v/>
      </c>
      <c r="N20" s="26" t="str">
        <f>VLOOKUP($A20,test6_2!$A:$U,COLUMN(test6_1!$O:$O),FALSE)</f>
        <v/>
      </c>
      <c r="O20" s="61">
        <f t="shared" si="2"/>
        <v>0</v>
      </c>
      <c r="P20" s="26">
        <f t="shared" si="3"/>
        <v>0</v>
      </c>
      <c r="Q20" s="26"/>
      <c r="R20" s="26"/>
      <c r="S20" s="26"/>
      <c r="T20" s="29">
        <f t="shared" si="4"/>
        <v>0</v>
      </c>
      <c r="U20" s="29">
        <f t="shared" si="5"/>
        <v>0</v>
      </c>
      <c r="V20" s="48"/>
      <c r="W20" s="62" t="str">
        <f>VLOOKUP($A20,test6_2!$A:$W,COLUMN(test6_2!$W:$W),FALSE)</f>
        <v/>
      </c>
      <c r="X20" s="26">
        <f t="shared" ref="X20:X22" si="13">I20-1</f>
        <v>2019</v>
      </c>
      <c r="Y20" s="26">
        <f>IFERROR(__xludf.DUMMYFUNCTION("filter(ghg!$F:$F,(ghg!$B:$B=$A20)*(ghg!$E:$E=$X20))"),67447.0)</f>
        <v>67447</v>
      </c>
      <c r="Z20" s="26">
        <f>IFERROR(__xludf.DUMMYFUNCTION("filter(ghg!$G:$G,(ghg!$B:$B=$A20)*(ghg!$E:$E=$X20))"),37712.0)</f>
        <v>37712</v>
      </c>
      <c r="AA20" s="26">
        <f>IFERROR(__xludf.DUMMYFUNCTION("filter(ghg!$H:$H,(ghg!$B:$B=$A20)*(ghg!$E:$E=$X20))"),106.0)</f>
        <v>106</v>
      </c>
      <c r="AB20" s="26">
        <f>IFERROR(__xludf.DUMMYFUNCTION("filter(ghg!$J:$J,(ghg!$B:$B=$A20)*(ghg!$E:$E=$X20))"),424592.0)</f>
        <v>424592</v>
      </c>
      <c r="AC20" s="26">
        <f t="shared" ref="AC20:AC22" si="14">Y20+min(Z20:AA20)+AB20</f>
        <v>492145</v>
      </c>
      <c r="AD20" s="62">
        <f t="shared" ref="AD20:AD22" si="15">-K20/AC20+1</f>
        <v>1</v>
      </c>
      <c r="AE20" s="62">
        <f t="shared" si="9"/>
        <v>0</v>
      </c>
      <c r="AF20" s="25"/>
      <c r="AG20" s="25"/>
      <c r="AH20" s="25"/>
      <c r="AI20" s="29">
        <f t="shared" si="10"/>
        <v>0</v>
      </c>
      <c r="AJ20" s="29">
        <f t="shared" si="11"/>
        <v>0</v>
      </c>
      <c r="AK20" s="25"/>
      <c r="AL20" s="29"/>
    </row>
    <row r="21" ht="12.75" customHeight="1">
      <c r="A21" s="22">
        <f t="shared" si="12"/>
        <v>19</v>
      </c>
      <c r="B21" s="26"/>
      <c r="C21" s="26"/>
      <c r="D21" s="26"/>
      <c r="E21" s="26"/>
      <c r="F21" s="26"/>
      <c r="G21" s="49" t="str">
        <f>VLOOKUP($A21,test6_2!$A:$H,COLUMN(test6_2!$H:$H),FALSE)</f>
        <v/>
      </c>
      <c r="H21" s="26" t="str">
        <f>VLOOKUP($A21,test6_2!$A:$U,COLUMN(test6_2!$I:$I),FALSE)</f>
        <v/>
      </c>
      <c r="I21" s="26">
        <f>VLOOKUP($A21,test6_2!$A:$U,COLUMN(test6_1!$Q:$Q),FALSE)</f>
        <v>2020</v>
      </c>
      <c r="J21" s="26">
        <f>VLOOKUP($A21,test6_2!$A:$U,COLUMN(test6_2!$N:$N),FALSE)</f>
        <v>0</v>
      </c>
      <c r="K21" s="26">
        <f>VLOOKUP($A21,test6_2!$A:$V,COLUMN(test6_2!$V:$V),FALSE)</f>
        <v>0</v>
      </c>
      <c r="L21" s="53">
        <f t="shared" si="1"/>
        <v>0</v>
      </c>
      <c r="M21" s="60" t="str">
        <f>VLOOKUP($A21,test6_2!$A:$U,COLUMN(test6_2!$G:$G),FALSE)</f>
        <v/>
      </c>
      <c r="N21" s="26" t="str">
        <f>VLOOKUP($A21,test6_2!$A:$U,COLUMN(test6_1!$O:$O),FALSE)</f>
        <v/>
      </c>
      <c r="O21" s="61">
        <f t="shared" si="2"/>
        <v>0</v>
      </c>
      <c r="P21" s="26">
        <f t="shared" si="3"/>
        <v>0</v>
      </c>
      <c r="Q21" s="26"/>
      <c r="R21" s="26"/>
      <c r="S21" s="26"/>
      <c r="T21" s="29">
        <f t="shared" si="4"/>
        <v>0</v>
      </c>
      <c r="U21" s="29">
        <f t="shared" si="5"/>
        <v>0</v>
      </c>
      <c r="V21" s="48"/>
      <c r="W21" s="62" t="str">
        <f>VLOOKUP($A21,test6_2!$A:$W,COLUMN(test6_2!$W:$W),FALSE)</f>
        <v/>
      </c>
      <c r="X21" s="26">
        <f t="shared" si="13"/>
        <v>2019</v>
      </c>
      <c r="Y21" s="26">
        <f>IFERROR(__xludf.DUMMYFUNCTION("filter(ghg!$F:$F,(ghg!$B:$B=$A21)*(ghg!$E:$E=$X21))"),5589.0)</f>
        <v>5589</v>
      </c>
      <c r="Z21" s="26">
        <f>IFERROR(__xludf.DUMMYFUNCTION("filter(ghg!$G:$G,(ghg!$B:$B=$A21)*(ghg!$E:$E=$X21))"),20369.0)</f>
        <v>20369</v>
      </c>
      <c r="AA21" s="26">
        <f>IFERROR(__xludf.DUMMYFUNCTION("filter(ghg!$H:$H,(ghg!$B:$B=$A21)*(ghg!$E:$E=$X21))"),0.0)</f>
        <v>0</v>
      </c>
      <c r="AB21" s="26" t="str">
        <f>IFERROR(__xludf.DUMMYFUNCTION("filter(ghg!$J:$J,(ghg!$B:$B=$A21)*(ghg!$E:$E=$X21))"),"")</f>
        <v/>
      </c>
      <c r="AC21" s="26">
        <f t="shared" si="14"/>
        <v>5589</v>
      </c>
      <c r="AD21" s="62">
        <f t="shared" si="15"/>
        <v>1</v>
      </c>
      <c r="AE21" s="62">
        <f t="shared" si="9"/>
        <v>0</v>
      </c>
      <c r="AF21" s="25"/>
      <c r="AG21" s="25"/>
      <c r="AH21" s="25"/>
      <c r="AI21" s="29">
        <f t="shared" si="10"/>
        <v>0</v>
      </c>
      <c r="AJ21" s="29">
        <f t="shared" si="11"/>
        <v>0</v>
      </c>
      <c r="AK21" s="25"/>
      <c r="AL21" s="29"/>
    </row>
    <row r="22" ht="12.75" customHeight="1">
      <c r="A22" s="30">
        <v>66.0</v>
      </c>
      <c r="B22" s="26"/>
      <c r="C22" s="26"/>
      <c r="D22" s="26"/>
      <c r="E22" s="26"/>
      <c r="F22" s="26"/>
      <c r="G22" s="49">
        <f>VLOOKUP($A22,test6_2!$A:$H,COLUMN(test6_2!$H:$H),FALSE)</f>
        <v>1</v>
      </c>
      <c r="H22" s="26">
        <f>VLOOKUP($A22,test6_2!$A:$U,COLUMN(test6_2!$I:$I),FALSE)</f>
        <v>2019</v>
      </c>
      <c r="I22" s="26">
        <f>VLOOKUP($A22,test6_2!$A:$U,COLUMN(test6_1!$Q:$Q),FALSE)</f>
        <v>2020</v>
      </c>
      <c r="J22" s="26">
        <f>VLOOKUP($A22,test6_2!$A:$U,COLUMN(test6_2!$N:$N),FALSE)</f>
        <v>393376</v>
      </c>
      <c r="K22" s="26">
        <f>VLOOKUP($A22,test6_2!$A:$V,COLUMN(test6_2!$V:$V),FALSE)</f>
        <v>346294</v>
      </c>
      <c r="L22" s="53">
        <f t="shared" si="1"/>
        <v>0.119687017</v>
      </c>
      <c r="M22" s="60">
        <f>VLOOKUP($A22,test6_2!$A:$U,COLUMN(test6_2!$G:$G),FALSE)</f>
        <v>2030</v>
      </c>
      <c r="N22" s="52">
        <f>VLOOKUP($A22,test6_2!$A:$U,COLUMN(test6_1!$O:$O),FALSE)</f>
        <v>0.5</v>
      </c>
      <c r="O22" s="61">
        <f t="shared" si="2"/>
        <v>0.04545454545</v>
      </c>
      <c r="P22" s="52">
        <f t="shared" si="3"/>
        <v>2.633114374</v>
      </c>
      <c r="Q22" s="26"/>
      <c r="R22" s="26"/>
      <c r="S22" s="26"/>
      <c r="T22" s="29">
        <f t="shared" si="4"/>
        <v>1</v>
      </c>
      <c r="U22" s="29">
        <f t="shared" si="5"/>
        <v>0.1</v>
      </c>
      <c r="V22" s="48"/>
      <c r="W22" s="62">
        <f>VLOOKUP($A22,test6_2!$A:$W,COLUMN(test6_2!$W:$W),FALSE)</f>
        <v>0.04320201909</v>
      </c>
      <c r="X22" s="26">
        <f t="shared" si="13"/>
        <v>2019</v>
      </c>
      <c r="Y22" s="26">
        <f>IFERROR(__xludf.DUMMYFUNCTION("filter(ghg!$F:$F,(ghg!$B:$B=$A22)*(ghg!$E:$E=$X22))"),117956.0)</f>
        <v>117956</v>
      </c>
      <c r="Z22" s="26">
        <f>IFERROR(__xludf.DUMMYFUNCTION("filter(ghg!$G:$G,(ghg!$B:$B=$A22)*(ghg!$E:$E=$X22))"),3357518.0)</f>
        <v>3357518</v>
      </c>
      <c r="AA22" s="26">
        <f>IFERROR(__xludf.DUMMYFUNCTION("filter(ghg!$H:$H,(ghg!$B:$B=$A22)*(ghg!$E:$E=$X22))"),275420.0)</f>
        <v>275420</v>
      </c>
      <c r="AB22" s="26" t="str">
        <f>IFERROR(__xludf.DUMMYFUNCTION("filter(ghg!$J:$J,(ghg!$B:$B=$A22)*(ghg!$E:$E=$X22))"),"")</f>
        <v/>
      </c>
      <c r="AC22" s="26">
        <f t="shared" si="14"/>
        <v>393376</v>
      </c>
      <c r="AD22" s="62">
        <f t="shared" si="15"/>
        <v>0.119687017</v>
      </c>
      <c r="AE22" s="62">
        <f t="shared" si="9"/>
        <v>2.770403317</v>
      </c>
      <c r="AF22" s="25"/>
      <c r="AG22" s="25"/>
      <c r="AH22" s="25"/>
      <c r="AI22" s="29">
        <f t="shared" si="10"/>
        <v>1</v>
      </c>
      <c r="AJ22" s="29">
        <f t="shared" si="11"/>
        <v>0.1</v>
      </c>
      <c r="AK22" s="25"/>
      <c r="AL22" s="29"/>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6" t="s">
        <v>2</v>
      </c>
      <c r="B1" s="35"/>
      <c r="C1" s="63" t="s">
        <v>586</v>
      </c>
      <c r="D1" s="63" t="s">
        <v>589</v>
      </c>
      <c r="E1" s="63" t="s">
        <v>591</v>
      </c>
      <c r="F1" s="63" t="s">
        <v>644</v>
      </c>
      <c r="G1" s="63" t="s">
        <v>645</v>
      </c>
      <c r="H1" s="63" t="s">
        <v>646</v>
      </c>
      <c r="I1" s="63" t="s">
        <v>647</v>
      </c>
      <c r="J1" s="63" t="s">
        <v>648</v>
      </c>
      <c r="K1" s="63" t="s">
        <v>649</v>
      </c>
      <c r="L1" s="63" t="s">
        <v>650</v>
      </c>
      <c r="M1" s="64" t="s">
        <v>576</v>
      </c>
      <c r="N1" s="63" t="s">
        <v>651</v>
      </c>
      <c r="P1" s="35" t="s">
        <v>652</v>
      </c>
      <c r="Q1" s="35" t="s">
        <v>653</v>
      </c>
      <c r="R1" s="35" t="s">
        <v>654</v>
      </c>
      <c r="S1" s="35" t="s">
        <v>655</v>
      </c>
      <c r="T1" s="35" t="s">
        <v>656</v>
      </c>
      <c r="U1" s="35" t="s">
        <v>657</v>
      </c>
      <c r="V1" s="35" t="s">
        <v>658</v>
      </c>
      <c r="W1" s="35" t="s">
        <v>659</v>
      </c>
    </row>
    <row r="2">
      <c r="A2" s="25"/>
      <c r="B2" s="25"/>
      <c r="C2" s="25"/>
      <c r="D2" s="25"/>
      <c r="E2" s="25"/>
      <c r="F2" s="25"/>
      <c r="G2" s="25"/>
      <c r="H2" s="25"/>
      <c r="I2" s="25"/>
      <c r="J2" s="25"/>
      <c r="K2" s="25"/>
      <c r="L2" s="25"/>
      <c r="M2" s="25"/>
      <c r="N2" s="25"/>
      <c r="O2" s="25"/>
      <c r="P2" s="25"/>
      <c r="Q2" s="25"/>
      <c r="R2" s="25"/>
      <c r="S2" s="25"/>
      <c r="T2" s="25"/>
      <c r="U2" s="25"/>
      <c r="V2" s="25"/>
      <c r="W2" s="25"/>
    </row>
    <row r="3" ht="12.75" customHeight="1">
      <c r="A3" s="22">
        <v>1.0</v>
      </c>
      <c r="B3" s="13" t="str">
        <f>VLOOKUP(A3,companies!$A:$B,2,FALSE)</f>
        <v>3M</v>
      </c>
      <c r="C3" s="62">
        <f t="shared" ref="C3:C22" si="1">P3+Q3</f>
        <v>0.1</v>
      </c>
      <c r="D3" s="62">
        <f>VLOOKUP($A3,test2!$A:$O,COLUMN(test2!$O:$O),FALSE)</f>
        <v>0.1</v>
      </c>
      <c r="E3" s="62">
        <f>VLOOKUP($A3,test3!$A:$J,COLUMN(test3!$J:$J),FALSE)</f>
        <v>0.025</v>
      </c>
      <c r="F3" s="62">
        <f>VLOOKUP($A3,test4!$A:$P,COLUMN(test4!P:P),FALSE)</f>
        <v>0.06</v>
      </c>
      <c r="G3" s="62">
        <f>VLOOKUP($A3,test5!$A:$W,COLUMN(test5!W:W),FALSE)</f>
        <v>0</v>
      </c>
      <c r="H3" s="62">
        <f t="shared" ref="H3:H22" si="2">R3+S3</f>
        <v>0.04463917526</v>
      </c>
      <c r="I3" s="62">
        <f>VLOOKUP($A3,test7!$A:$O,COLUMN(test7!$O:$O),FALSE)</f>
        <v>0</v>
      </c>
      <c r="J3" s="62">
        <f t="shared" ref="J3:J22" si="3">min(10%,T3+U3)</f>
        <v>0.05</v>
      </c>
      <c r="K3" s="62">
        <f t="shared" ref="K3:K22" si="4">min(10%,V3+W3)</f>
        <v>0.05</v>
      </c>
      <c r="L3" s="40">
        <v>0.1</v>
      </c>
      <c r="M3" s="65">
        <f t="shared" ref="M3:M22" si="5">SUM(C3:L3)</f>
        <v>0.5296391753</v>
      </c>
      <c r="N3" s="66">
        <f t="shared" ref="N3:N22" si="6">RANK(M3,$M$3:$M$212)</f>
        <v>6</v>
      </c>
      <c r="O3" s="67"/>
      <c r="P3" s="62">
        <f>VLOOKUP($A3,test1_1!$A:$Q,COLUMN(test1_1!$Q:$Q),FALSE)</f>
        <v>0.05</v>
      </c>
      <c r="Q3" s="62">
        <f>VLOOKUP($A3,test1_2!$A:$U,COLUMN(test1_2!$U:$U),FALSE)</f>
        <v>0.05</v>
      </c>
      <c r="R3" s="62">
        <f>VLOOKUP($A3,test6_1!$A:$AB,COLUMN(test6_1!$AB:$AB),FALSE)</f>
        <v>0.04463917526</v>
      </c>
      <c r="S3" s="62">
        <f>VLOOKUP($A3,test6_2!$A:$AD,COLUMN(test6_2!$AD:$AD),FALSE)</f>
        <v>0</v>
      </c>
      <c r="T3" s="62">
        <f>VLOOKUP($A3,'test8+9_1'!$A:$AK,COLUMN('test8+9_1'!$U:$U),FALSE)</f>
        <v>0.05</v>
      </c>
      <c r="U3" s="62">
        <f>VLOOKUP($A3,'test8+9_2'!$A:$AL,COLUMN('test8+9_2'!$U:$U),FALSE)</f>
        <v>0</v>
      </c>
      <c r="V3" s="62">
        <f>VLOOKUP($A3,'test8+9_1'!$A:$AK,COLUMN('test8+9_1'!$AI:$AI),FALSE)</f>
        <v>0.05</v>
      </c>
      <c r="W3" s="62">
        <f>VLOOKUP($A3,'test8+9_2'!$A:$AL,COLUMN('test8+9_2'!$AJ:$AJ),FALSE)</f>
        <v>0</v>
      </c>
    </row>
    <row r="4" ht="12.75" customHeight="1">
      <c r="A4" s="22">
        <f t="shared" ref="A4:A21" si="7">A3+1</f>
        <v>2</v>
      </c>
      <c r="B4" s="13" t="str">
        <f>VLOOKUP(A4,companies!$A:$B,2,FALSE)</f>
        <v>Abbott Laboratories</v>
      </c>
      <c r="C4" s="62">
        <f t="shared" si="1"/>
        <v>0.05</v>
      </c>
      <c r="D4" s="62">
        <f>VLOOKUP($A4,test2!$A:$O,COLUMN(test2!$O:$O),FALSE)</f>
        <v>0.05</v>
      </c>
      <c r="E4" s="62">
        <f>VLOOKUP($A4,test3!$A:$J,COLUMN(test3!$J:$J),FALSE)</f>
        <v>0</v>
      </c>
      <c r="F4" s="62">
        <f>VLOOKUP($A4,test4!$A:$P,COLUMN(test4!P:P),FALSE)</f>
        <v>0.03</v>
      </c>
      <c r="G4" s="62">
        <f>VLOOKUP($A4,test5!$A:$W,COLUMN(test5!W:W),FALSE)</f>
        <v>0</v>
      </c>
      <c r="H4" s="62">
        <f t="shared" si="2"/>
        <v>0.02428256071</v>
      </c>
      <c r="I4" s="62">
        <f>VLOOKUP($A4,test7!$A:$O,COLUMN(test7!$O:$O),FALSE)</f>
        <v>0</v>
      </c>
      <c r="J4" s="62">
        <f t="shared" si="3"/>
        <v>0.05</v>
      </c>
      <c r="K4" s="62">
        <f t="shared" si="4"/>
        <v>0.05</v>
      </c>
      <c r="L4" s="40">
        <v>0.1</v>
      </c>
      <c r="M4" s="65">
        <f t="shared" si="5"/>
        <v>0.3542825607</v>
      </c>
      <c r="N4" s="66">
        <f t="shared" si="6"/>
        <v>12</v>
      </c>
      <c r="O4" s="67"/>
      <c r="P4" s="62">
        <f>VLOOKUP($A4,test1_1!$A:$Q,COLUMN(test1_1!$Q:$Q),FALSE)</f>
        <v>0.05</v>
      </c>
      <c r="Q4" s="62">
        <f>VLOOKUP($A4,test1_2!$A:$U,COLUMN(test1_2!$U:$U),FALSE)</f>
        <v>0</v>
      </c>
      <c r="R4" s="62">
        <f>VLOOKUP($A4,test6_1!$A:$AB,COLUMN(test6_1!$AB:$AB),FALSE)</f>
        <v>0.02428256071</v>
      </c>
      <c r="S4" s="62">
        <f>VLOOKUP($A4,test6_2!$A:$AD,COLUMN(test6_2!$AD:$AD),FALSE)</f>
        <v>0</v>
      </c>
      <c r="T4" s="62">
        <f>VLOOKUP($A4,'test8+9_1'!$A:$AK,COLUMN('test8+9_1'!$U:$U),FALSE)</f>
        <v>0.05</v>
      </c>
      <c r="U4" s="62">
        <f>VLOOKUP($A4,'test8+9_2'!$A:$AL,COLUMN('test8+9_2'!$U:$U),FALSE)</f>
        <v>0</v>
      </c>
      <c r="V4" s="62">
        <f>VLOOKUP($A4,'test8+9_1'!$A:$AK,COLUMN('test8+9_1'!$AI:$AI),FALSE)</f>
        <v>0.05</v>
      </c>
      <c r="W4" s="62">
        <f>VLOOKUP($A4,'test8+9_2'!$A:$AL,COLUMN('test8+9_2'!$AJ:$AJ),FALSE)</f>
        <v>0</v>
      </c>
    </row>
    <row r="5" ht="12.75" customHeight="1">
      <c r="A5" s="22">
        <f t="shared" si="7"/>
        <v>3</v>
      </c>
      <c r="B5" s="13" t="str">
        <f>VLOOKUP(A5,companies!$A:$B,2,FALSE)</f>
        <v>AbbVie Inc.</v>
      </c>
      <c r="C5" s="62">
        <f t="shared" si="1"/>
        <v>0.05</v>
      </c>
      <c r="D5" s="62">
        <f>VLOOKUP($A5,test2!$A:$O,COLUMN(test2!$O:$O),FALSE)</f>
        <v>0.05</v>
      </c>
      <c r="E5" s="62">
        <f>VLOOKUP($A5,test3!$A:$J,COLUMN(test3!$J:$J),FALSE)</f>
        <v>0</v>
      </c>
      <c r="F5" s="62">
        <f>VLOOKUP($A5,test4!$A:$P,COLUMN(test4!P:P),FALSE)</f>
        <v>0.03</v>
      </c>
      <c r="G5" s="62">
        <f>VLOOKUP($A5,test5!$A:$W,COLUMN(test5!W:W),FALSE)</f>
        <v>0</v>
      </c>
      <c r="H5" s="62">
        <f t="shared" si="2"/>
        <v>0.01988188976</v>
      </c>
      <c r="I5" s="62">
        <f>VLOOKUP($A5,test7!$A:$O,COLUMN(test7!$O:$O),FALSE)</f>
        <v>0.01875</v>
      </c>
      <c r="J5" s="62">
        <f t="shared" si="3"/>
        <v>0.05</v>
      </c>
      <c r="K5" s="62">
        <f t="shared" si="4"/>
        <v>0.05</v>
      </c>
      <c r="L5" s="40">
        <v>0.1</v>
      </c>
      <c r="M5" s="65">
        <f t="shared" si="5"/>
        <v>0.3686318898</v>
      </c>
      <c r="N5" s="66">
        <f t="shared" si="6"/>
        <v>11</v>
      </c>
      <c r="O5" s="67"/>
      <c r="P5" s="62">
        <f>VLOOKUP($A5,test1_1!$A:$Q,COLUMN(test1_1!$Q:$Q),FALSE)</f>
        <v>0.05</v>
      </c>
      <c r="Q5" s="62">
        <f>VLOOKUP($A5,test1_2!$A:$U,COLUMN(test1_2!$U:$U),FALSE)</f>
        <v>0</v>
      </c>
      <c r="R5" s="62">
        <f>VLOOKUP($A5,test6_1!$A:$AB,COLUMN(test6_1!$AB:$AB),FALSE)</f>
        <v>0.01988188976</v>
      </c>
      <c r="S5" s="62">
        <f>VLOOKUP($A5,test6_2!$A:$AD,COLUMN(test6_2!$AD:$AD),FALSE)</f>
        <v>0</v>
      </c>
      <c r="T5" s="62">
        <f>VLOOKUP($A5,'test8+9_1'!$A:$AK,COLUMN('test8+9_1'!$U:$U),FALSE)</f>
        <v>0.05</v>
      </c>
      <c r="U5" s="62">
        <f>VLOOKUP($A5,'test8+9_2'!$A:$AL,COLUMN('test8+9_2'!$U:$U),FALSE)</f>
        <v>0</v>
      </c>
      <c r="V5" s="62">
        <f>VLOOKUP($A5,'test8+9_1'!$A:$AK,COLUMN('test8+9_1'!$AI:$AI),FALSE)</f>
        <v>0.05</v>
      </c>
      <c r="W5" s="62">
        <f>VLOOKUP($A5,'test8+9_2'!$A:$AL,COLUMN('test8+9_2'!$AJ:$AJ),FALSE)</f>
        <v>0</v>
      </c>
    </row>
    <row r="6" ht="12.75" customHeight="1">
      <c r="A6" s="22">
        <f t="shared" si="7"/>
        <v>4</v>
      </c>
      <c r="B6" s="13" t="str">
        <f>VLOOKUP(A6,companies!$A:$B,2,FALSE)</f>
        <v>Accenture</v>
      </c>
      <c r="C6" s="62">
        <f t="shared" si="1"/>
        <v>0.1</v>
      </c>
      <c r="D6" s="62">
        <f>VLOOKUP($A6,test2!$A:$O,COLUMN(test2!$O:$O),FALSE)</f>
        <v>0.06</v>
      </c>
      <c r="E6" s="62">
        <f>VLOOKUP($A6,test3!$A:$J,COLUMN(test3!$J:$J),FALSE)</f>
        <v>0</v>
      </c>
      <c r="F6" s="62">
        <f>VLOOKUP($A6,test4!$A:$P,COLUMN(test4!P:P),FALSE)</f>
        <v>0.06</v>
      </c>
      <c r="G6" s="62">
        <f>VLOOKUP($A6,test5!$A:$W,COLUMN(test5!W:W),FALSE)</f>
        <v>0.04166666667</v>
      </c>
      <c r="H6" s="62">
        <f t="shared" si="2"/>
        <v>0.05</v>
      </c>
      <c r="I6" s="62">
        <f>VLOOKUP($A6,test7!$A:$O,COLUMN(test7!$O:$O),FALSE)</f>
        <v>0.075</v>
      </c>
      <c r="J6" s="62">
        <f t="shared" si="3"/>
        <v>0.1</v>
      </c>
      <c r="K6" s="62">
        <f t="shared" si="4"/>
        <v>0.05</v>
      </c>
      <c r="L6" s="40">
        <v>0.1</v>
      </c>
      <c r="M6" s="65">
        <f t="shared" si="5"/>
        <v>0.6366666667</v>
      </c>
      <c r="N6" s="66">
        <f t="shared" si="6"/>
        <v>3</v>
      </c>
      <c r="O6" s="67"/>
      <c r="P6" s="62">
        <f>VLOOKUP($A6,test1_1!$A:$Q,COLUMN(test1_1!$Q:$Q),FALSE)</f>
        <v>0.05</v>
      </c>
      <c r="Q6" s="62">
        <f>VLOOKUP($A6,test1_2!$A:$U,COLUMN(test1_2!$U:$U),FALSE)</f>
        <v>0.05</v>
      </c>
      <c r="R6" s="62">
        <f>VLOOKUP($A6,test6_1!$A:$AB,COLUMN(test6_1!$AB:$AB),FALSE)</f>
        <v>0.05</v>
      </c>
      <c r="S6" s="62">
        <f>VLOOKUP($A6,test6_2!$A:$AD,COLUMN(test6_2!$AD:$AD),FALSE)</f>
        <v>0</v>
      </c>
      <c r="T6" s="62">
        <f>VLOOKUP($A6,'test8+9_1'!$A:$AK,COLUMN('test8+9_1'!$U:$U),FALSE)</f>
        <v>0</v>
      </c>
      <c r="U6" s="62">
        <f>VLOOKUP($A6,'test8+9_2'!$A:$AL,COLUMN('test8+9_2'!$U:$U),FALSE)</f>
        <v>0.1</v>
      </c>
      <c r="V6" s="62">
        <f>VLOOKUP($A6,'test8+9_1'!$A:$AK,COLUMN('test8+9_1'!$AI:$AI),FALSE)</f>
        <v>0.05</v>
      </c>
      <c r="W6" s="62">
        <f>VLOOKUP($A6,'test8+9_2'!$A:$AL,COLUMN('test8+9_2'!$AJ:$AJ),FALSE)</f>
        <v>0</v>
      </c>
    </row>
    <row r="7" ht="12.75" customHeight="1">
      <c r="A7" s="22">
        <f t="shared" si="7"/>
        <v>5</v>
      </c>
      <c r="B7" s="13" t="str">
        <f>VLOOKUP(A7,companies!$A:$B,2,FALSE)</f>
        <v>Adobe Inc.</v>
      </c>
      <c r="C7" s="62">
        <f t="shared" si="1"/>
        <v>0.1</v>
      </c>
      <c r="D7" s="62">
        <f>VLOOKUP($A7,test2!$A:$O,COLUMN(test2!$O:$O),FALSE)</f>
        <v>0.05</v>
      </c>
      <c r="E7" s="62">
        <f>VLOOKUP($A7,test3!$A:$J,COLUMN(test3!$J:$J),FALSE)</f>
        <v>0</v>
      </c>
      <c r="F7" s="62">
        <f>VLOOKUP($A7,test4!$A:$P,COLUMN(test4!P:P),FALSE)</f>
        <v>0.03</v>
      </c>
      <c r="G7" s="62">
        <f>VLOOKUP($A7,test5!$A:$W,COLUMN(test5!W:W),FALSE)</f>
        <v>0</v>
      </c>
      <c r="H7" s="62">
        <f t="shared" si="2"/>
        <v>0.02428236673</v>
      </c>
      <c r="I7" s="62">
        <f>VLOOKUP($A7,test7!$A:$O,COLUMN(test7!$O:$O),FALSE)</f>
        <v>0.075</v>
      </c>
      <c r="J7" s="62">
        <f t="shared" si="3"/>
        <v>0.05</v>
      </c>
      <c r="K7" s="62">
        <f t="shared" si="4"/>
        <v>0.05</v>
      </c>
      <c r="L7" s="40">
        <v>0.1</v>
      </c>
      <c r="M7" s="65">
        <f t="shared" si="5"/>
        <v>0.4792823667</v>
      </c>
      <c r="N7" s="66">
        <f t="shared" si="6"/>
        <v>8</v>
      </c>
      <c r="O7" s="67"/>
      <c r="P7" s="62">
        <f>VLOOKUP($A7,test1_1!$A:$Q,COLUMN(test1_1!$Q:$Q),FALSE)</f>
        <v>0.05</v>
      </c>
      <c r="Q7" s="62">
        <f>VLOOKUP($A7,test1_2!$A:$U,COLUMN(test1_2!$U:$U),FALSE)</f>
        <v>0.05</v>
      </c>
      <c r="R7" s="62">
        <f>VLOOKUP($A7,test6_1!$A:$AB,COLUMN(test6_1!$AB:$AB),FALSE)</f>
        <v>0.02428236673</v>
      </c>
      <c r="S7" s="62">
        <f>VLOOKUP($A7,test6_2!$A:$AD,COLUMN(test6_2!$AD:$AD),FALSE)</f>
        <v>0</v>
      </c>
      <c r="T7" s="62">
        <f>VLOOKUP($A7,'test8+9_1'!$A:$AK,COLUMN('test8+9_1'!$U:$U),FALSE)</f>
        <v>0.05</v>
      </c>
      <c r="U7" s="62">
        <f>VLOOKUP($A7,'test8+9_2'!$A:$AL,COLUMN('test8+9_2'!$U:$U),FALSE)</f>
        <v>0</v>
      </c>
      <c r="V7" s="62">
        <f>VLOOKUP($A7,'test8+9_1'!$A:$AK,COLUMN('test8+9_1'!$AI:$AI),FALSE)</f>
        <v>0.05</v>
      </c>
      <c r="W7" s="62">
        <f>VLOOKUP($A7,'test8+9_2'!$A:$AL,COLUMN('test8+9_2'!$AJ:$AJ),FALSE)</f>
        <v>0</v>
      </c>
    </row>
    <row r="8" ht="12.75" customHeight="1">
      <c r="A8" s="22">
        <f t="shared" si="7"/>
        <v>6</v>
      </c>
      <c r="B8" s="13" t="str">
        <f>VLOOKUP(A8,companies!$A:$B,2,FALSE)</f>
        <v>Allstate Corp</v>
      </c>
      <c r="C8" s="62">
        <f t="shared" si="1"/>
        <v>0.1</v>
      </c>
      <c r="D8" s="62">
        <f>VLOOKUP($A8,test2!$A:$O,COLUMN(test2!$O:$O),FALSE)</f>
        <v>0.062</v>
      </c>
      <c r="E8" s="62">
        <f>VLOOKUP($A8,test3!$A:$J,COLUMN(test3!$J:$J),FALSE)</f>
        <v>0</v>
      </c>
      <c r="F8" s="62">
        <f>VLOOKUP($A8,test4!$A:$P,COLUMN(test4!P:P),FALSE)</f>
        <v>0</v>
      </c>
      <c r="G8" s="62">
        <f>VLOOKUP($A8,test5!$A:$W,COLUMN(test5!W:W),FALSE)</f>
        <v>0</v>
      </c>
      <c r="H8" s="62">
        <f t="shared" si="2"/>
        <v>0</v>
      </c>
      <c r="I8" s="62">
        <f>VLOOKUP($A8,test7!$A:$O,COLUMN(test7!$O:$O),FALSE)</f>
        <v>0</v>
      </c>
      <c r="J8" s="62">
        <f t="shared" si="3"/>
        <v>0</v>
      </c>
      <c r="K8" s="62">
        <f t="shared" si="4"/>
        <v>0</v>
      </c>
      <c r="L8" s="40">
        <v>0.1</v>
      </c>
      <c r="M8" s="65">
        <f t="shared" si="5"/>
        <v>0.262</v>
      </c>
      <c r="N8" s="66">
        <f t="shared" si="6"/>
        <v>16</v>
      </c>
      <c r="O8" s="67"/>
      <c r="P8" s="62">
        <f>VLOOKUP($A8,test1_1!$A:$Q,COLUMN(test1_1!$Q:$Q),FALSE)</f>
        <v>0.05</v>
      </c>
      <c r="Q8" s="62">
        <f>VLOOKUP($A8,test1_2!$A:$U,COLUMN(test1_2!$U:$U),FALSE)</f>
        <v>0.05</v>
      </c>
      <c r="R8" s="62">
        <f>VLOOKUP($A8,test6_1!$A:$AB,COLUMN(test6_1!$AB:$AB),FALSE)</f>
        <v>0</v>
      </c>
      <c r="S8" s="62">
        <f>VLOOKUP($A8,test6_2!$A:$AD,COLUMN(test6_2!$AD:$AD),FALSE)</f>
        <v>0</v>
      </c>
      <c r="T8" s="62">
        <f>VLOOKUP($A8,'test8+9_1'!$A:$AK,COLUMN('test8+9_1'!$U:$U),FALSE)</f>
        <v>0</v>
      </c>
      <c r="U8" s="62">
        <f>VLOOKUP($A8,'test8+9_2'!$A:$AL,COLUMN('test8+9_2'!$U:$U),FALSE)</f>
        <v>0</v>
      </c>
      <c r="V8" s="62">
        <f>VLOOKUP($A8,'test8+9_1'!$A:$AK,COLUMN('test8+9_1'!$AI:$AI),FALSE)</f>
        <v>0</v>
      </c>
      <c r="W8" s="62">
        <f>VLOOKUP($A8,'test8+9_2'!$A:$AL,COLUMN('test8+9_2'!$AJ:$AJ),FALSE)</f>
        <v>0</v>
      </c>
    </row>
    <row r="9" ht="12.75" customHeight="1">
      <c r="A9" s="22">
        <f t="shared" si="7"/>
        <v>7</v>
      </c>
      <c r="B9" s="13" t="str">
        <f>VLOOKUP(A9,companies!$A:$B,2,FALSE)</f>
        <v>Alphabet Inc. Google</v>
      </c>
      <c r="C9" s="62">
        <f t="shared" si="1"/>
        <v>0.1</v>
      </c>
      <c r="D9" s="62">
        <f>VLOOKUP($A9,test2!$A:$O,COLUMN(test2!$O:$O),FALSE)</f>
        <v>0.052</v>
      </c>
      <c r="E9" s="62">
        <f>VLOOKUP($A9,test3!$A:$J,COLUMN(test3!$J:$J),FALSE)</f>
        <v>0</v>
      </c>
      <c r="F9" s="62">
        <f>VLOOKUP($A9,test4!$A:$P,COLUMN(test4!P:P),FALSE)</f>
        <v>0.03</v>
      </c>
      <c r="G9" s="62">
        <f>VLOOKUP($A9,test5!$A:$W,COLUMN(test5!W:W),FALSE)</f>
        <v>0.05</v>
      </c>
      <c r="H9" s="62">
        <f t="shared" si="2"/>
        <v>0</v>
      </c>
      <c r="I9" s="62">
        <f>VLOOKUP($A9,test7!$A:$O,COLUMN(test7!$O:$O),FALSE)</f>
        <v>0</v>
      </c>
      <c r="J9" s="62">
        <f t="shared" si="3"/>
        <v>0</v>
      </c>
      <c r="K9" s="62">
        <f t="shared" si="4"/>
        <v>0</v>
      </c>
      <c r="L9" s="40">
        <v>0.1</v>
      </c>
      <c r="M9" s="65">
        <f t="shared" si="5"/>
        <v>0.332</v>
      </c>
      <c r="N9" s="66">
        <f t="shared" si="6"/>
        <v>13</v>
      </c>
      <c r="O9" s="67"/>
      <c r="P9" s="62">
        <f>VLOOKUP($A9,test1_1!$A:$Q,COLUMN(test1_1!$Q:$Q),FALSE)</f>
        <v>0.05</v>
      </c>
      <c r="Q9" s="62">
        <f>VLOOKUP($A9,test1_2!$A:$U,COLUMN(test1_2!$U:$U),FALSE)</f>
        <v>0.05</v>
      </c>
      <c r="R9" s="62">
        <f>VLOOKUP($A9,test6_1!$A:$AB,COLUMN(test6_1!$AB:$AB),FALSE)</f>
        <v>0</v>
      </c>
      <c r="S9" s="62">
        <f>VLOOKUP($A9,test6_2!$A:$AD,COLUMN(test6_2!$AD:$AD),FALSE)</f>
        <v>0</v>
      </c>
      <c r="T9" s="62">
        <f>VLOOKUP($A9,'test8+9_1'!$A:$AK,COLUMN('test8+9_1'!$U:$U),FALSE)</f>
        <v>0</v>
      </c>
      <c r="U9" s="62">
        <f>VLOOKUP($A9,'test8+9_2'!$A:$AL,COLUMN('test8+9_2'!$U:$U),FALSE)</f>
        <v>0</v>
      </c>
      <c r="V9" s="62">
        <f>VLOOKUP($A9,'test8+9_1'!$A:$AK,COLUMN('test8+9_1'!$AI:$AI),FALSE)</f>
        <v>0</v>
      </c>
      <c r="W9" s="62">
        <f>VLOOKUP($A9,'test8+9_2'!$A:$AL,COLUMN('test8+9_2'!$AJ:$AJ),FALSE)</f>
        <v>0</v>
      </c>
    </row>
    <row r="10" ht="12.75" customHeight="1">
      <c r="A10" s="22">
        <f t="shared" si="7"/>
        <v>8</v>
      </c>
      <c r="B10" s="13" t="str">
        <f>VLOOKUP(A10,companies!$A:$B,2,FALSE)</f>
        <v>Altria Group Inc</v>
      </c>
      <c r="C10" s="62">
        <f t="shared" si="1"/>
        <v>0.1</v>
      </c>
      <c r="D10" s="62">
        <f>VLOOKUP($A10,test2!$A:$O,COLUMN(test2!$O:$O),FALSE)</f>
        <v>0.05</v>
      </c>
      <c r="E10" s="62">
        <f>VLOOKUP($A10,test3!$A:$J,COLUMN(test3!$J:$J),FALSE)</f>
        <v>0</v>
      </c>
      <c r="F10" s="62">
        <f>VLOOKUP($A10,test4!$A:$P,COLUMN(test4!P:P),FALSE)</f>
        <v>0.03</v>
      </c>
      <c r="G10" s="62">
        <f>VLOOKUP($A10,test5!$A:$W,COLUMN(test5!W:W),FALSE)</f>
        <v>0</v>
      </c>
      <c r="H10" s="62">
        <f t="shared" si="2"/>
        <v>0.04602476083</v>
      </c>
      <c r="I10" s="62">
        <f>VLOOKUP($A10,test7!$A:$O,COLUMN(test7!$O:$O),FALSE)</f>
        <v>0.075</v>
      </c>
      <c r="J10" s="62">
        <f t="shared" si="3"/>
        <v>0.05</v>
      </c>
      <c r="K10" s="62">
        <f t="shared" si="4"/>
        <v>0.05</v>
      </c>
      <c r="L10" s="40">
        <v>0.1</v>
      </c>
      <c r="M10" s="65">
        <f t="shared" si="5"/>
        <v>0.5010247608</v>
      </c>
      <c r="N10" s="66">
        <f t="shared" si="6"/>
        <v>7</v>
      </c>
      <c r="O10" s="67"/>
      <c r="P10" s="62">
        <f>VLOOKUP($A10,test1_1!$A:$Q,COLUMN(test1_1!$Q:$Q),FALSE)</f>
        <v>0.05</v>
      </c>
      <c r="Q10" s="62">
        <f>VLOOKUP($A10,test1_2!$A:$U,COLUMN(test1_2!$U:$U),FALSE)</f>
        <v>0.05</v>
      </c>
      <c r="R10" s="62">
        <f>VLOOKUP($A10,test6_1!$A:$AB,COLUMN(test6_1!$AB:$AB),FALSE)</f>
        <v>0.04602476083</v>
      </c>
      <c r="S10" s="62">
        <f>VLOOKUP($A10,test6_2!$A:$AD,COLUMN(test6_2!$AD:$AD),FALSE)</f>
        <v>0</v>
      </c>
      <c r="T10" s="62">
        <f>VLOOKUP($A10,'test8+9_1'!$A:$AK,COLUMN('test8+9_1'!$U:$U),FALSE)</f>
        <v>0.05</v>
      </c>
      <c r="U10" s="62">
        <f>VLOOKUP($A10,'test8+9_2'!$A:$AL,COLUMN('test8+9_2'!$U:$U),FALSE)</f>
        <v>0</v>
      </c>
      <c r="V10" s="62">
        <f>VLOOKUP($A10,'test8+9_1'!$A:$AK,COLUMN('test8+9_1'!$AI:$AI),FALSE)</f>
        <v>0.05</v>
      </c>
      <c r="W10" s="62">
        <f>VLOOKUP($A10,'test8+9_2'!$A:$AL,COLUMN('test8+9_2'!$AJ:$AJ),FALSE)</f>
        <v>0</v>
      </c>
    </row>
    <row r="11" ht="12.75" customHeight="1">
      <c r="A11" s="22">
        <f t="shared" si="7"/>
        <v>9</v>
      </c>
      <c r="B11" s="13" t="str">
        <f>VLOOKUP(A11,companies!$A:$B,2,FALSE)</f>
        <v>Amazon.com Inc.</v>
      </c>
      <c r="C11" s="62">
        <f t="shared" si="1"/>
        <v>0.1</v>
      </c>
      <c r="D11" s="62">
        <f>VLOOKUP($A11,test2!$A:$O,COLUMN(test2!$O:$O),FALSE)</f>
        <v>0.075</v>
      </c>
      <c r="E11" s="62">
        <f>VLOOKUP($A11,test3!$A:$J,COLUMN(test3!$J:$J),FALSE)</f>
        <v>0</v>
      </c>
      <c r="F11" s="62">
        <f>VLOOKUP($A11,test4!$A:$P,COLUMN(test4!P:P),FALSE)</f>
        <v>0.07</v>
      </c>
      <c r="G11" s="62">
        <f>VLOOKUP($A11,test5!$A:$W,COLUMN(test5!W:W),FALSE)</f>
        <v>0.06666666667</v>
      </c>
      <c r="H11" s="62">
        <f t="shared" si="2"/>
        <v>0</v>
      </c>
      <c r="I11" s="62">
        <f>VLOOKUP($A11,test7!$A:$O,COLUMN(test7!$O:$O),FALSE)</f>
        <v>0</v>
      </c>
      <c r="J11" s="62">
        <f t="shared" si="3"/>
        <v>0</v>
      </c>
      <c r="K11" s="62">
        <f t="shared" si="4"/>
        <v>0</v>
      </c>
      <c r="L11" s="40">
        <v>0.1</v>
      </c>
      <c r="M11" s="65">
        <f t="shared" si="5"/>
        <v>0.4116666667</v>
      </c>
      <c r="N11" s="66">
        <f t="shared" si="6"/>
        <v>9</v>
      </c>
      <c r="O11" s="67"/>
      <c r="P11" s="62">
        <f>VLOOKUP($A11,test1_1!$A:$Q,COLUMN(test1_1!$Q:$Q),FALSE)</f>
        <v>0.05</v>
      </c>
      <c r="Q11" s="62">
        <f>VLOOKUP($A11,test1_2!$A:$U,COLUMN(test1_2!$U:$U),FALSE)</f>
        <v>0.05</v>
      </c>
      <c r="R11" s="62">
        <f>VLOOKUP($A11,test6_1!$A:$AB,COLUMN(test6_1!$AB:$AB),FALSE)</f>
        <v>0</v>
      </c>
      <c r="S11" s="62">
        <f>VLOOKUP($A11,test6_2!$A:$AD,COLUMN(test6_2!$AD:$AD),FALSE)</f>
        <v>0</v>
      </c>
      <c r="T11" s="62">
        <f>VLOOKUP($A11,'test8+9_1'!$A:$AK,COLUMN('test8+9_1'!$U:$U),FALSE)</f>
        <v>0</v>
      </c>
      <c r="U11" s="62">
        <f>VLOOKUP($A11,'test8+9_2'!$A:$AL,COLUMN('test8+9_2'!$U:$U),FALSE)</f>
        <v>0</v>
      </c>
      <c r="V11" s="62">
        <f>VLOOKUP($A11,'test8+9_1'!$A:$AK,COLUMN('test8+9_1'!$AI:$AI),FALSE)</f>
        <v>0</v>
      </c>
      <c r="W11" s="62">
        <f>VLOOKUP($A11,'test8+9_2'!$A:$AL,COLUMN('test8+9_2'!$AJ:$AJ),FALSE)</f>
        <v>0</v>
      </c>
    </row>
    <row r="12" ht="12.75" customHeight="1">
      <c r="A12" s="22">
        <f t="shared" si="7"/>
        <v>10</v>
      </c>
      <c r="B12" s="13" t="str">
        <f>VLOOKUP(A12,companies!$A:$B,2,FALSE)</f>
        <v>American Express</v>
      </c>
      <c r="C12" s="62">
        <f t="shared" si="1"/>
        <v>0.1</v>
      </c>
      <c r="D12" s="62">
        <f>VLOOKUP($A12,test2!$A:$O,COLUMN(test2!$O:$O),FALSE)</f>
        <v>0.05</v>
      </c>
      <c r="E12" s="62">
        <f>VLOOKUP($A12,test3!$A:$J,COLUMN(test3!$J:$J),FALSE)</f>
        <v>0</v>
      </c>
      <c r="F12" s="62">
        <f>VLOOKUP($A12,test4!$A:$P,COLUMN(test4!P:P),FALSE)</f>
        <v>0</v>
      </c>
      <c r="G12" s="62">
        <f>VLOOKUP($A12,test5!$A:$W,COLUMN(test5!W:W),FALSE)</f>
        <v>0</v>
      </c>
      <c r="H12" s="62">
        <f t="shared" si="2"/>
        <v>0</v>
      </c>
      <c r="I12" s="62">
        <f>VLOOKUP($A12,test7!$A:$O,COLUMN(test7!$O:$O),FALSE)</f>
        <v>0</v>
      </c>
      <c r="J12" s="62">
        <f t="shared" si="3"/>
        <v>0</v>
      </c>
      <c r="K12" s="62">
        <f t="shared" si="4"/>
        <v>0</v>
      </c>
      <c r="L12" s="40">
        <v>0.1</v>
      </c>
      <c r="M12" s="65">
        <f t="shared" si="5"/>
        <v>0.25</v>
      </c>
      <c r="N12" s="66">
        <f t="shared" si="6"/>
        <v>17</v>
      </c>
      <c r="O12" s="67"/>
      <c r="P12" s="62">
        <f>VLOOKUP($A12,test1_1!$A:$Q,COLUMN(test1_1!$Q:$Q),FALSE)</f>
        <v>0.05</v>
      </c>
      <c r="Q12" s="62">
        <f>VLOOKUP($A12,test1_2!$A:$U,COLUMN(test1_2!$U:$U),FALSE)</f>
        <v>0.05</v>
      </c>
      <c r="R12" s="62">
        <f>VLOOKUP($A12,test6_1!$A:$AB,COLUMN(test6_1!$AB:$AB),FALSE)</f>
        <v>0</v>
      </c>
      <c r="S12" s="62">
        <f>VLOOKUP($A12,test6_2!$A:$AD,COLUMN(test6_2!$AD:$AD),FALSE)</f>
        <v>0</v>
      </c>
      <c r="T12" s="62">
        <f>VLOOKUP($A12,'test8+9_1'!$A:$AK,COLUMN('test8+9_1'!$U:$U),FALSE)</f>
        <v>0</v>
      </c>
      <c r="U12" s="62">
        <f>VLOOKUP($A12,'test8+9_2'!$A:$AL,COLUMN('test8+9_2'!$U:$U),FALSE)</f>
        <v>0</v>
      </c>
      <c r="V12" s="62">
        <f>VLOOKUP($A12,'test8+9_1'!$A:$AK,COLUMN('test8+9_1'!$AI:$AI),FALSE)</f>
        <v>0</v>
      </c>
      <c r="W12" s="62">
        <f>VLOOKUP($A12,'test8+9_2'!$A:$AL,COLUMN('test8+9_2'!$AJ:$AJ),FALSE)</f>
        <v>0</v>
      </c>
    </row>
    <row r="13" ht="12.75" customHeight="1">
      <c r="A13" s="22">
        <f t="shared" si="7"/>
        <v>11</v>
      </c>
      <c r="B13" s="13" t="str">
        <f>VLOOKUP(A13,companies!$A:$B,2,FALSE)</f>
        <v>American International Group (AIG)</v>
      </c>
      <c r="C13" s="62">
        <f t="shared" si="1"/>
        <v>0.05</v>
      </c>
      <c r="D13" s="62">
        <f>VLOOKUP($A13,test2!$A:$O,COLUMN(test2!$O:$O),FALSE)</f>
        <v>0.05</v>
      </c>
      <c r="E13" s="62">
        <f>VLOOKUP($A13,test3!$A:$J,COLUMN(test3!$J:$J),FALSE)</f>
        <v>0</v>
      </c>
      <c r="F13" s="62">
        <f>VLOOKUP($A13,test4!$A:$P,COLUMN(test4!P:P),FALSE)</f>
        <v>0.03</v>
      </c>
      <c r="G13" s="62">
        <f>VLOOKUP($A13,test5!$A:$W,COLUMN(test5!W:W),FALSE)</f>
        <v>0</v>
      </c>
      <c r="H13" s="62">
        <f t="shared" si="2"/>
        <v>0</v>
      </c>
      <c r="I13" s="62">
        <f>VLOOKUP($A13,test7!$A:$O,COLUMN(test7!$O:$O),FALSE)</f>
        <v>0</v>
      </c>
      <c r="J13" s="62">
        <f t="shared" si="3"/>
        <v>0</v>
      </c>
      <c r="K13" s="62">
        <f t="shared" si="4"/>
        <v>0</v>
      </c>
      <c r="L13" s="40">
        <v>0.1</v>
      </c>
      <c r="M13" s="65">
        <f t="shared" si="5"/>
        <v>0.23</v>
      </c>
      <c r="N13" s="66">
        <f t="shared" si="6"/>
        <v>18</v>
      </c>
      <c r="O13" s="67"/>
      <c r="P13" s="62">
        <f>VLOOKUP($A13,test1_1!$A:$Q,COLUMN(test1_1!$Q:$Q),FALSE)</f>
        <v>0.05</v>
      </c>
      <c r="Q13" s="62">
        <f>VLOOKUP($A13,test1_2!$A:$U,COLUMN(test1_2!$U:$U),FALSE)</f>
        <v>0</v>
      </c>
      <c r="R13" s="62">
        <f>VLOOKUP($A13,test6_1!$A:$AB,COLUMN(test6_1!$AB:$AB),FALSE)</f>
        <v>0</v>
      </c>
      <c r="S13" s="62">
        <f>VLOOKUP($A13,test6_2!$A:$AD,COLUMN(test6_2!$AD:$AD),FALSE)</f>
        <v>0</v>
      </c>
      <c r="T13" s="62">
        <f>VLOOKUP($A13,'test8+9_1'!$A:$AK,COLUMN('test8+9_1'!$U:$U),FALSE)</f>
        <v>0</v>
      </c>
      <c r="U13" s="62">
        <f>VLOOKUP($A13,'test8+9_2'!$A:$AL,COLUMN('test8+9_2'!$U:$U),FALSE)</f>
        <v>0</v>
      </c>
      <c r="V13" s="62">
        <f>VLOOKUP($A13,'test8+9_1'!$A:$AK,COLUMN('test8+9_1'!$AI:$AI),FALSE)</f>
        <v>0</v>
      </c>
      <c r="W13" s="62">
        <f>VLOOKUP($A13,'test8+9_2'!$A:$AL,COLUMN('test8+9_2'!$AJ:$AJ),FALSE)</f>
        <v>0</v>
      </c>
    </row>
    <row r="14" ht="12.75" customHeight="1">
      <c r="A14" s="22">
        <f t="shared" si="7"/>
        <v>12</v>
      </c>
      <c r="B14" s="13" t="str">
        <f>VLOOKUP(A14,companies!$A:$B,2,FALSE)</f>
        <v>American Tower</v>
      </c>
      <c r="C14" s="62">
        <f t="shared" si="1"/>
        <v>0.05</v>
      </c>
      <c r="D14" s="62">
        <f>VLOOKUP($A14,test2!$A:$O,COLUMN(test2!$O:$O),FALSE)</f>
        <v>0.05</v>
      </c>
      <c r="E14" s="62">
        <f>VLOOKUP($A14,test3!$A:$J,COLUMN(test3!$J:$J),FALSE)</f>
        <v>0</v>
      </c>
      <c r="F14" s="62">
        <f>VLOOKUP($A14,test4!$A:$P,COLUMN(test4!P:P),FALSE)</f>
        <v>0</v>
      </c>
      <c r="G14" s="62">
        <f>VLOOKUP($A14,test5!$A:$W,COLUMN(test5!W:W),FALSE)</f>
        <v>0</v>
      </c>
      <c r="H14" s="62">
        <f t="shared" si="2"/>
        <v>0</v>
      </c>
      <c r="I14" s="62">
        <f>VLOOKUP($A14,test7!$A:$O,COLUMN(test7!$O:$O),FALSE)</f>
        <v>0</v>
      </c>
      <c r="J14" s="62">
        <f t="shared" si="3"/>
        <v>0</v>
      </c>
      <c r="K14" s="62">
        <f t="shared" si="4"/>
        <v>0</v>
      </c>
      <c r="L14" s="40">
        <v>0.1</v>
      </c>
      <c r="M14" s="65">
        <f t="shared" si="5"/>
        <v>0.2</v>
      </c>
      <c r="N14" s="66">
        <f t="shared" si="6"/>
        <v>19</v>
      </c>
      <c r="O14" s="67"/>
      <c r="P14" s="62">
        <f>VLOOKUP($A14,test1_1!$A:$Q,COLUMN(test1_1!$Q:$Q),FALSE)</f>
        <v>0.05</v>
      </c>
      <c r="Q14" s="62">
        <f>VLOOKUP($A14,test1_2!$A:$U,COLUMN(test1_2!$U:$U),FALSE)</f>
        <v>0</v>
      </c>
      <c r="R14" s="62">
        <f>VLOOKUP($A14,test6_1!$A:$AB,COLUMN(test6_1!$AB:$AB),FALSE)</f>
        <v>0</v>
      </c>
      <c r="S14" s="62">
        <f>VLOOKUP($A14,test6_2!$A:$AD,COLUMN(test6_2!$AD:$AD),FALSE)</f>
        <v>0</v>
      </c>
      <c r="T14" s="62">
        <f>VLOOKUP($A14,'test8+9_1'!$A:$AK,COLUMN('test8+9_1'!$U:$U),FALSE)</f>
        <v>0</v>
      </c>
      <c r="U14" s="62">
        <f>VLOOKUP($A14,'test8+9_2'!$A:$AL,COLUMN('test8+9_2'!$U:$U),FALSE)</f>
        <v>0</v>
      </c>
      <c r="V14" s="62">
        <f>VLOOKUP($A14,'test8+9_1'!$A:$AK,COLUMN('test8+9_1'!$AI:$AI),FALSE)</f>
        <v>0</v>
      </c>
      <c r="W14" s="62">
        <f>VLOOKUP($A14,'test8+9_2'!$A:$AL,COLUMN('test8+9_2'!$AJ:$AJ),FALSE)</f>
        <v>0</v>
      </c>
    </row>
    <row r="15" ht="12.75" customHeight="1">
      <c r="A15" s="22">
        <f t="shared" si="7"/>
        <v>13</v>
      </c>
      <c r="B15" s="13" t="str">
        <f>VLOOKUP(A15,companies!$A:$B,2,FALSE)</f>
        <v>Amgen Inc.</v>
      </c>
      <c r="C15" s="62">
        <f t="shared" si="1"/>
        <v>0.1</v>
      </c>
      <c r="D15" s="62">
        <f>VLOOKUP($A15,test2!$A:$O,COLUMN(test2!$O:$O),FALSE)</f>
        <v>0.05</v>
      </c>
      <c r="E15" s="62">
        <f>VLOOKUP($A15,test3!$A:$J,COLUMN(test3!$J:$J),FALSE)</f>
        <v>0</v>
      </c>
      <c r="F15" s="62">
        <f>VLOOKUP($A15,test4!$A:$P,COLUMN(test4!P:P),FALSE)</f>
        <v>0.06</v>
      </c>
      <c r="G15" s="62">
        <f>VLOOKUP($A15,test5!$A:$W,COLUMN(test5!W:W),FALSE)</f>
        <v>0.03833333333</v>
      </c>
      <c r="H15" s="62">
        <f t="shared" si="2"/>
        <v>0.05</v>
      </c>
      <c r="I15" s="62">
        <f>VLOOKUP($A15,test7!$A:$O,COLUMN(test7!$O:$O),FALSE)</f>
        <v>0</v>
      </c>
      <c r="J15" s="62">
        <f t="shared" si="3"/>
        <v>0</v>
      </c>
      <c r="K15" s="62">
        <f t="shared" si="4"/>
        <v>0</v>
      </c>
      <c r="L15" s="40">
        <v>0.1</v>
      </c>
      <c r="M15" s="65">
        <f t="shared" si="5"/>
        <v>0.3983333333</v>
      </c>
      <c r="N15" s="66">
        <f t="shared" si="6"/>
        <v>10</v>
      </c>
      <c r="O15" s="67"/>
      <c r="P15" s="62">
        <f>VLOOKUP($A15,test1_1!$A:$Q,COLUMN(test1_1!$Q:$Q),FALSE)</f>
        <v>0.05</v>
      </c>
      <c r="Q15" s="62">
        <f>VLOOKUP($A15,test1_2!$A:$U,COLUMN(test1_2!$U:$U),FALSE)</f>
        <v>0.05</v>
      </c>
      <c r="R15" s="62">
        <f>VLOOKUP($A15,test6_1!$A:$AB,COLUMN(test6_1!$AB:$AB),FALSE)</f>
        <v>0.05</v>
      </c>
      <c r="S15" s="62">
        <f>VLOOKUP($A15,test6_2!$A:$AD,COLUMN(test6_2!$AD:$AD),FALSE)</f>
        <v>0</v>
      </c>
      <c r="T15" s="62">
        <f>VLOOKUP($A15,'test8+9_1'!$A:$AK,COLUMN('test8+9_1'!$U:$U),FALSE)</f>
        <v>0</v>
      </c>
      <c r="U15" s="62">
        <f>VLOOKUP($A15,'test8+9_2'!$A:$AL,COLUMN('test8+9_2'!$U:$U),FALSE)</f>
        <v>0</v>
      </c>
      <c r="V15" s="62">
        <f>VLOOKUP($A15,'test8+9_1'!$A:$AK,COLUMN('test8+9_1'!$AI:$AI),FALSE)</f>
        <v>0</v>
      </c>
      <c r="W15" s="62">
        <f>VLOOKUP($A15,'test8+9_2'!$A:$AL,COLUMN('test8+9_2'!$AJ:$AJ),FALSE)</f>
        <v>0</v>
      </c>
    </row>
    <row r="16" ht="12.75" customHeight="1">
      <c r="A16" s="22">
        <f t="shared" si="7"/>
        <v>14</v>
      </c>
      <c r="B16" s="13" t="str">
        <f>VLOOKUP(A16,companies!$A:$B,2,FALSE)</f>
        <v>Apple Inc.</v>
      </c>
      <c r="C16" s="62">
        <f t="shared" si="1"/>
        <v>0.1</v>
      </c>
      <c r="D16" s="62">
        <f>VLOOKUP($A16,test2!$A:$O,COLUMN(test2!$O:$O),FALSE)</f>
        <v>0.1</v>
      </c>
      <c r="E16" s="62">
        <f>VLOOKUP($A16,test3!$A:$J,COLUMN(test3!$J:$J),FALSE)</f>
        <v>0</v>
      </c>
      <c r="F16" s="62">
        <f>VLOOKUP($A16,test4!$A:$P,COLUMN(test4!P:P),FALSE)</f>
        <v>0.06</v>
      </c>
      <c r="G16" s="62">
        <f>VLOOKUP($A16,test5!$A:$W,COLUMN(test5!W:W),FALSE)</f>
        <v>0</v>
      </c>
      <c r="H16" s="62">
        <f t="shared" si="2"/>
        <v>0.05</v>
      </c>
      <c r="I16" s="62">
        <f>VLOOKUP($A16,test7!$A:$O,COLUMN(test7!$O:$O),FALSE)</f>
        <v>0.075</v>
      </c>
      <c r="J16" s="62">
        <f t="shared" si="3"/>
        <v>0.1</v>
      </c>
      <c r="K16" s="62">
        <f t="shared" si="4"/>
        <v>0.1</v>
      </c>
      <c r="L16" s="40">
        <v>0.1</v>
      </c>
      <c r="M16" s="65">
        <f t="shared" si="5"/>
        <v>0.685</v>
      </c>
      <c r="N16" s="66">
        <f t="shared" si="6"/>
        <v>2</v>
      </c>
      <c r="O16" s="67"/>
      <c r="P16" s="62">
        <f>VLOOKUP($A16,test1_1!$A:$Q,COLUMN(test1_1!$Q:$Q),FALSE)</f>
        <v>0.05</v>
      </c>
      <c r="Q16" s="62">
        <f>VLOOKUP($A16,test1_2!$A:$U,COLUMN(test1_2!$U:$U),FALSE)</f>
        <v>0.05</v>
      </c>
      <c r="R16" s="62">
        <f>VLOOKUP($A16,test6_1!$A:$AB,COLUMN(test6_1!$AB:$AB),FALSE)</f>
        <v>0</v>
      </c>
      <c r="S16" s="62">
        <f>VLOOKUP($A16,test6_2!$A:$AD,COLUMN(test6_2!$AD:$AD),FALSE)</f>
        <v>0.05</v>
      </c>
      <c r="T16" s="62">
        <f>VLOOKUP($A16,'test8+9_1'!$A:$AK,COLUMN('test8+9_1'!$U:$U),FALSE)</f>
        <v>0</v>
      </c>
      <c r="U16" s="62">
        <f>VLOOKUP($A16,'test8+9_2'!$A:$AL,COLUMN('test8+9_2'!$U:$U),FALSE)</f>
        <v>0.1</v>
      </c>
      <c r="V16" s="62">
        <f>VLOOKUP($A16,'test8+9_1'!$A:$AK,COLUMN('test8+9_1'!$AI:$AI),FALSE)</f>
        <v>0</v>
      </c>
      <c r="W16" s="62">
        <f>VLOOKUP($A16,'test8+9_2'!$A:$AL,COLUMN('test8+9_2'!$AJ:$AJ),FALSE)</f>
        <v>0.1</v>
      </c>
    </row>
    <row r="17" ht="12.75" customHeight="1">
      <c r="A17" s="22">
        <f t="shared" si="7"/>
        <v>15</v>
      </c>
      <c r="B17" s="13" t="str">
        <f>VLOOKUP(A17,companies!$A:$B,2,FALSE)</f>
        <v>AT&amp;T Inc.</v>
      </c>
      <c r="C17" s="62">
        <f t="shared" si="1"/>
        <v>0.1</v>
      </c>
      <c r="D17" s="62">
        <f>VLOOKUP($A17,test2!$A:$O,COLUMN(test2!$O:$O),FALSE)</f>
        <v>0.05</v>
      </c>
      <c r="E17" s="62">
        <f>VLOOKUP($A17,test3!$A:$J,COLUMN(test3!$J:$J),FALSE)</f>
        <v>0</v>
      </c>
      <c r="F17" s="62">
        <f>VLOOKUP($A17,test4!$A:$P,COLUMN(test4!P:P),FALSE)</f>
        <v>0.06</v>
      </c>
      <c r="G17" s="62">
        <f>VLOOKUP($A17,test5!$A:$W,COLUMN(test5!W:W),FALSE)</f>
        <v>0.025</v>
      </c>
      <c r="H17" s="62">
        <f t="shared" si="2"/>
        <v>0.04539458124</v>
      </c>
      <c r="I17" s="62">
        <f>VLOOKUP($A17,test7!$A:$O,COLUMN(test7!$O:$O),FALSE)</f>
        <v>0.075</v>
      </c>
      <c r="J17" s="62">
        <f t="shared" si="3"/>
        <v>0.05</v>
      </c>
      <c r="K17" s="62">
        <f t="shared" si="4"/>
        <v>0.05</v>
      </c>
      <c r="L17" s="40">
        <v>0.1</v>
      </c>
      <c r="M17" s="65">
        <f t="shared" si="5"/>
        <v>0.5553945812</v>
      </c>
      <c r="N17" s="66">
        <f t="shared" si="6"/>
        <v>5</v>
      </c>
      <c r="O17" s="67"/>
      <c r="P17" s="62">
        <f>VLOOKUP($A17,test1_1!$A:$Q,COLUMN(test1_1!$Q:$Q),FALSE)</f>
        <v>0.05</v>
      </c>
      <c r="Q17" s="62">
        <f>VLOOKUP($A17,test1_2!$A:$U,COLUMN(test1_2!$U:$U),FALSE)</f>
        <v>0.05</v>
      </c>
      <c r="R17" s="62">
        <f>VLOOKUP($A17,test6_1!$A:$AB,COLUMN(test6_1!$AB:$AB),FALSE)</f>
        <v>0.04539458124</v>
      </c>
      <c r="S17" s="62">
        <f>VLOOKUP($A17,test6_2!$A:$AD,COLUMN(test6_2!$AD:$AD),FALSE)</f>
        <v>0</v>
      </c>
      <c r="T17" s="62">
        <f>VLOOKUP($A17,'test8+9_1'!$A:$AK,COLUMN('test8+9_1'!$U:$U),FALSE)</f>
        <v>0.05</v>
      </c>
      <c r="U17" s="62">
        <f>VLOOKUP($A17,'test8+9_2'!$A:$AL,COLUMN('test8+9_2'!$U:$U),FALSE)</f>
        <v>0</v>
      </c>
      <c r="V17" s="62">
        <f>VLOOKUP($A17,'test8+9_1'!$A:$AK,COLUMN('test8+9_1'!$AI:$AI),FALSE)</f>
        <v>0.05</v>
      </c>
      <c r="W17" s="62">
        <f>VLOOKUP($A17,'test8+9_2'!$A:$AL,COLUMN('test8+9_2'!$AJ:$AJ),FALSE)</f>
        <v>0</v>
      </c>
    </row>
    <row r="18" ht="12.75" customHeight="1">
      <c r="A18" s="22">
        <f t="shared" si="7"/>
        <v>16</v>
      </c>
      <c r="B18" s="13" t="str">
        <f>VLOOKUP(A18,companies!$A:$B,2,FALSE)</f>
        <v>Bank of America</v>
      </c>
      <c r="C18" s="62">
        <f t="shared" si="1"/>
        <v>0.05</v>
      </c>
      <c r="D18" s="62">
        <f>VLOOKUP($A18,test2!$A:$O,COLUMN(test2!$O:$O),FALSE)</f>
        <v>0.05</v>
      </c>
      <c r="E18" s="62">
        <f>VLOOKUP($A18,test3!$A:$J,COLUMN(test3!$J:$J),FALSE)</f>
        <v>0</v>
      </c>
      <c r="F18" s="62">
        <f>VLOOKUP($A18,test4!$A:$P,COLUMN(test4!P:P),FALSE)</f>
        <v>0.07</v>
      </c>
      <c r="G18" s="62">
        <f>VLOOKUP($A18,test5!$A:$W,COLUMN(test5!W:W),FALSE)</f>
        <v>0</v>
      </c>
      <c r="H18" s="62">
        <f t="shared" si="2"/>
        <v>0</v>
      </c>
      <c r="I18" s="62">
        <f>VLOOKUP($A18,test7!$A:$O,COLUMN(test7!$O:$O),FALSE)</f>
        <v>0</v>
      </c>
      <c r="J18" s="62">
        <f t="shared" si="3"/>
        <v>0</v>
      </c>
      <c r="K18" s="62">
        <f t="shared" si="4"/>
        <v>0</v>
      </c>
      <c r="L18" s="40">
        <v>0.1</v>
      </c>
      <c r="M18" s="65">
        <f t="shared" si="5"/>
        <v>0.27</v>
      </c>
      <c r="N18" s="66">
        <f t="shared" si="6"/>
        <v>14</v>
      </c>
      <c r="O18" s="67"/>
      <c r="P18" s="62">
        <f>VLOOKUP($A18,test1_1!$A:$Q,COLUMN(test1_1!$Q:$Q),FALSE)</f>
        <v>0.05</v>
      </c>
      <c r="Q18" s="62">
        <f>VLOOKUP($A18,test1_2!$A:$U,COLUMN(test1_2!$U:$U),FALSE)</f>
        <v>0</v>
      </c>
      <c r="R18" s="62">
        <f>VLOOKUP($A18,test6_1!$A:$AB,COLUMN(test6_1!$AB:$AB),FALSE)</f>
        <v>0</v>
      </c>
      <c r="S18" s="62">
        <f>VLOOKUP($A18,test6_2!$A:$AD,COLUMN(test6_2!$AD:$AD),FALSE)</f>
        <v>0</v>
      </c>
      <c r="T18" s="62">
        <f>VLOOKUP($A18,'test8+9_1'!$A:$AK,COLUMN('test8+9_1'!$U:$U),FALSE)</f>
        <v>0</v>
      </c>
      <c r="U18" s="62">
        <f>VLOOKUP($A18,'test8+9_2'!$A:$AL,COLUMN('test8+9_2'!$U:$U),FALSE)</f>
        <v>0</v>
      </c>
      <c r="V18" s="62">
        <f>VLOOKUP($A18,'test8+9_1'!$A:$AK,COLUMN('test8+9_1'!$AI:$AI),FALSE)</f>
        <v>0</v>
      </c>
      <c r="W18" s="62">
        <f>VLOOKUP($A18,'test8+9_2'!$A:$AL,COLUMN('test8+9_2'!$AJ:$AJ),FALSE)</f>
        <v>0</v>
      </c>
    </row>
    <row r="19" ht="12.75" customHeight="1">
      <c r="A19" s="22">
        <f t="shared" si="7"/>
        <v>17</v>
      </c>
      <c r="B19" s="13" t="str">
        <f>VLOOKUP(A19,companies!$A:$B,2,FALSE)</f>
        <v>Berkshire Hathaway Inc.</v>
      </c>
      <c r="C19" s="62">
        <f t="shared" si="1"/>
        <v>0</v>
      </c>
      <c r="D19" s="62">
        <f>VLOOKUP($A19,test2!$A:$O,COLUMN(test2!$O:$O),FALSE)</f>
        <v>0</v>
      </c>
      <c r="E19" s="62">
        <f>VLOOKUP($A19,test3!$A:$J,COLUMN(test3!$J:$J),FALSE)</f>
        <v>0</v>
      </c>
      <c r="F19" s="62">
        <f>VLOOKUP($A19,test4!$A:$P,COLUMN(test4!P:P),FALSE)</f>
        <v>0</v>
      </c>
      <c r="G19" s="62">
        <f>VLOOKUP($A19,test5!$A:$W,COLUMN(test5!W:W),FALSE)</f>
        <v>0</v>
      </c>
      <c r="H19" s="62">
        <f t="shared" si="2"/>
        <v>0</v>
      </c>
      <c r="I19" s="62">
        <f>VLOOKUP($A19,test7!$A:$O,COLUMN(test7!$O:$O),FALSE)</f>
        <v>0</v>
      </c>
      <c r="J19" s="62">
        <f t="shared" si="3"/>
        <v>0</v>
      </c>
      <c r="K19" s="62">
        <f t="shared" si="4"/>
        <v>0</v>
      </c>
      <c r="L19" s="40">
        <v>0.0</v>
      </c>
      <c r="M19" s="65">
        <f t="shared" si="5"/>
        <v>0</v>
      </c>
      <c r="N19" s="66">
        <f t="shared" si="6"/>
        <v>20</v>
      </c>
      <c r="O19" s="67"/>
      <c r="P19" s="62">
        <f>VLOOKUP($A19,test1_1!$A:$Q,COLUMN(test1_1!$Q:$Q),FALSE)</f>
        <v>0</v>
      </c>
      <c r="Q19" s="62">
        <f>VLOOKUP($A19,test1_2!$A:$U,COLUMN(test1_2!$U:$U),FALSE)</f>
        <v>0</v>
      </c>
      <c r="R19" s="62">
        <f>VLOOKUP($A19,test6_1!$A:$AB,COLUMN(test6_1!$AB:$AB),FALSE)</f>
        <v>0</v>
      </c>
      <c r="S19" s="62">
        <f>VLOOKUP($A19,test6_2!$A:$AD,COLUMN(test6_2!$AD:$AD),FALSE)</f>
        <v>0</v>
      </c>
      <c r="T19" s="62">
        <f>VLOOKUP($A19,'test8+9_1'!$A:$AK,COLUMN('test8+9_1'!$U:$U),FALSE)</f>
        <v>0</v>
      </c>
      <c r="U19" s="62">
        <f>VLOOKUP($A19,'test8+9_2'!$A:$AL,COLUMN('test8+9_2'!$U:$U),FALSE)</f>
        <v>0</v>
      </c>
      <c r="V19" s="62">
        <f>VLOOKUP($A19,'test8+9_1'!$A:$AK,COLUMN('test8+9_1'!$AI:$AI),FALSE)</f>
        <v>0</v>
      </c>
      <c r="W19" s="62">
        <f>VLOOKUP($A19,'test8+9_2'!$A:$AL,COLUMN('test8+9_2'!$AJ:$AJ),FALSE)</f>
        <v>0</v>
      </c>
    </row>
    <row r="20" ht="12.75" customHeight="1">
      <c r="A20" s="22">
        <f t="shared" si="7"/>
        <v>18</v>
      </c>
      <c r="B20" s="13" t="str">
        <f>VLOOKUP(A20,companies!$A:$B,2,FALSE)</f>
        <v>Biogen Inc.</v>
      </c>
      <c r="C20" s="62">
        <f t="shared" si="1"/>
        <v>0.1</v>
      </c>
      <c r="D20" s="62">
        <f>VLOOKUP($A20,test2!$A:$O,COLUMN(test2!$O:$O),FALSE)</f>
        <v>0.1</v>
      </c>
      <c r="E20" s="62">
        <f>VLOOKUP($A20,test3!$A:$J,COLUMN(test3!$J:$J),FALSE)</f>
        <v>0</v>
      </c>
      <c r="F20" s="62">
        <f>VLOOKUP($A20,test4!$A:$P,COLUMN(test4!P:P),FALSE)</f>
        <v>0.07</v>
      </c>
      <c r="G20" s="62">
        <f>VLOOKUP($A20,test5!$A:$W,COLUMN(test5!W:W),FALSE)</f>
        <v>0.06666666667</v>
      </c>
      <c r="H20" s="62">
        <f t="shared" si="2"/>
        <v>0.03945711226</v>
      </c>
      <c r="I20" s="62">
        <f>VLOOKUP($A20,test7!$A:$O,COLUMN(test7!$O:$O),FALSE)</f>
        <v>0</v>
      </c>
      <c r="J20" s="62">
        <f t="shared" si="3"/>
        <v>0.05</v>
      </c>
      <c r="K20" s="62">
        <f t="shared" si="4"/>
        <v>0.05</v>
      </c>
      <c r="L20" s="40">
        <v>0.1</v>
      </c>
      <c r="M20" s="65">
        <f t="shared" si="5"/>
        <v>0.5761237789</v>
      </c>
      <c r="N20" s="66">
        <f t="shared" si="6"/>
        <v>4</v>
      </c>
      <c r="O20" s="67"/>
      <c r="P20" s="62">
        <f>VLOOKUP($A20,test1_1!$A:$Q,COLUMN(test1_1!$Q:$Q),FALSE)</f>
        <v>0.05</v>
      </c>
      <c r="Q20" s="62">
        <f>VLOOKUP($A20,test1_2!$A:$U,COLUMN(test1_2!$U:$U),FALSE)</f>
        <v>0.05</v>
      </c>
      <c r="R20" s="62">
        <f>VLOOKUP($A20,test6_1!$A:$AB,COLUMN(test6_1!$AB:$AB),FALSE)</f>
        <v>0.03945711226</v>
      </c>
      <c r="S20" s="62">
        <f>VLOOKUP($A20,test6_2!$A:$AD,COLUMN(test6_2!$AD:$AD),FALSE)</f>
        <v>0</v>
      </c>
      <c r="T20" s="62">
        <f>VLOOKUP($A20,'test8+9_1'!$A:$AK,COLUMN('test8+9_1'!$U:$U),FALSE)</f>
        <v>0.05</v>
      </c>
      <c r="U20" s="62">
        <f>VLOOKUP($A20,'test8+9_2'!$A:$AL,COLUMN('test8+9_2'!$U:$U),FALSE)</f>
        <v>0</v>
      </c>
      <c r="V20" s="62">
        <f>VLOOKUP($A20,'test8+9_1'!$A:$AK,COLUMN('test8+9_1'!$AI:$AI),FALSE)</f>
        <v>0.05</v>
      </c>
      <c r="W20" s="62">
        <f>VLOOKUP($A20,'test8+9_2'!$A:$AL,COLUMN('test8+9_2'!$AJ:$AJ),FALSE)</f>
        <v>0</v>
      </c>
    </row>
    <row r="21" ht="12.75" customHeight="1">
      <c r="A21" s="22">
        <f t="shared" si="7"/>
        <v>19</v>
      </c>
      <c r="B21" s="13" t="str">
        <f>VLOOKUP(A21,companies!$A:$B,2,FALSE)</f>
        <v>BlackRock Inc.</v>
      </c>
      <c r="C21" s="62">
        <f t="shared" si="1"/>
        <v>0.1</v>
      </c>
      <c r="D21" s="62">
        <f>VLOOKUP($A21,test2!$A:$O,COLUMN(test2!$O:$O),FALSE)</f>
        <v>0.0355</v>
      </c>
      <c r="E21" s="62">
        <f>VLOOKUP($A21,test3!$A:$J,COLUMN(test3!$J:$J),FALSE)</f>
        <v>0</v>
      </c>
      <c r="F21" s="62">
        <f>VLOOKUP($A21,test4!$A:$P,COLUMN(test4!P:P),FALSE)</f>
        <v>0.03</v>
      </c>
      <c r="G21" s="62">
        <f>VLOOKUP($A21,test5!$A:$W,COLUMN(test5!W:W),FALSE)</f>
        <v>0</v>
      </c>
      <c r="H21" s="62">
        <f t="shared" si="2"/>
        <v>0</v>
      </c>
      <c r="I21" s="62">
        <f>VLOOKUP($A21,test7!$A:$O,COLUMN(test7!$O:$O),FALSE)</f>
        <v>0</v>
      </c>
      <c r="J21" s="62">
        <f t="shared" si="3"/>
        <v>0</v>
      </c>
      <c r="K21" s="62">
        <f t="shared" si="4"/>
        <v>0</v>
      </c>
      <c r="L21" s="40">
        <v>0.1</v>
      </c>
      <c r="M21" s="65">
        <f t="shared" si="5"/>
        <v>0.2655</v>
      </c>
      <c r="N21" s="66">
        <f t="shared" si="6"/>
        <v>15</v>
      </c>
      <c r="O21" s="67"/>
      <c r="P21" s="62">
        <f>VLOOKUP($A21,test1_1!$A:$Q,COLUMN(test1_1!$Q:$Q),FALSE)</f>
        <v>0.05</v>
      </c>
      <c r="Q21" s="62">
        <f>VLOOKUP($A21,test1_2!$A:$U,COLUMN(test1_2!$U:$U),FALSE)</f>
        <v>0.05</v>
      </c>
      <c r="R21" s="62">
        <f>VLOOKUP($A21,test6_1!$A:$AB,COLUMN(test6_1!$AB:$AB),FALSE)</f>
        <v>0</v>
      </c>
      <c r="S21" s="62">
        <f>VLOOKUP($A21,test6_2!$A:$AD,COLUMN(test6_2!$AD:$AD),FALSE)</f>
        <v>0</v>
      </c>
      <c r="T21" s="62">
        <f>VLOOKUP($A21,'test8+9_1'!$A:$AK,COLUMN('test8+9_1'!$U:$U),FALSE)</f>
        <v>0</v>
      </c>
      <c r="U21" s="62">
        <f>VLOOKUP($A21,'test8+9_2'!$A:$AL,COLUMN('test8+9_2'!$U:$U),FALSE)</f>
        <v>0</v>
      </c>
      <c r="V21" s="62">
        <f>VLOOKUP($A21,'test8+9_1'!$A:$AK,COLUMN('test8+9_1'!$AI:$AI),FALSE)</f>
        <v>0</v>
      </c>
      <c r="W21" s="62">
        <f>VLOOKUP($A21,'test8+9_2'!$A:$AL,COLUMN('test8+9_2'!$AJ:$AJ),FALSE)</f>
        <v>0</v>
      </c>
    </row>
    <row r="22" ht="12.75" customHeight="1">
      <c r="A22" s="30">
        <v>66.0</v>
      </c>
      <c r="B22" s="13" t="str">
        <f>VLOOKUP(A22,companies!$A:$B,2,FALSE)</f>
        <v>Microsoft Corp.</v>
      </c>
      <c r="C22" s="62">
        <f t="shared" si="1"/>
        <v>0.1</v>
      </c>
      <c r="D22" s="62">
        <f>VLOOKUP($A22,test2!$A:$O,COLUMN(test2!$O:$O),FALSE)</f>
        <v>0.1</v>
      </c>
      <c r="E22" s="62">
        <f>VLOOKUP($A22,test3!$A:$J,COLUMN(test3!$J:$J),FALSE)</f>
        <v>0.075</v>
      </c>
      <c r="F22" s="62">
        <f>VLOOKUP($A22,test4!$A:$P,COLUMN(test4!P:P),FALSE)</f>
        <v>0.1</v>
      </c>
      <c r="G22" s="62">
        <f>VLOOKUP($A22,test5!$A:$W,COLUMN(test5!W:W),FALSE)</f>
        <v>0.08333333333</v>
      </c>
      <c r="H22" s="62">
        <f t="shared" si="2"/>
        <v>0.04320201909</v>
      </c>
      <c r="I22" s="62">
        <f>VLOOKUP($A22,test7!$A:$O,COLUMN(test7!$O:$O),FALSE)</f>
        <v>0.1</v>
      </c>
      <c r="J22" s="62">
        <f t="shared" si="3"/>
        <v>0.1</v>
      </c>
      <c r="K22" s="62">
        <f t="shared" si="4"/>
        <v>0.1</v>
      </c>
      <c r="L22" s="40">
        <v>0.1</v>
      </c>
      <c r="M22" s="65">
        <f t="shared" si="5"/>
        <v>0.9015353524</v>
      </c>
      <c r="N22" s="66">
        <f t="shared" si="6"/>
        <v>1</v>
      </c>
      <c r="O22" s="67"/>
      <c r="P22" s="62">
        <f>VLOOKUP($A22,test1_1!$A:$Q,COLUMN(test1_1!$Q:$Q),FALSE)</f>
        <v>0.05</v>
      </c>
      <c r="Q22" s="62">
        <f>VLOOKUP($A22,test1_2!$A:$U,COLUMN(test1_2!$U:$U),FALSE)</f>
        <v>0.05</v>
      </c>
      <c r="R22" s="62">
        <f>VLOOKUP($A22,test6_1!$A:$AB,COLUMN(test6_1!$AB:$AB),FALSE)</f>
        <v>0</v>
      </c>
      <c r="S22" s="62">
        <f>VLOOKUP($A22,test6_2!$A:$AD,COLUMN(test6_2!$AD:$AD),FALSE)</f>
        <v>0.04320201909</v>
      </c>
      <c r="T22" s="62">
        <f>VLOOKUP($A22,'test8+9_1'!$A:$AK,COLUMN('test8+9_1'!$U:$U),FALSE)</f>
        <v>0</v>
      </c>
      <c r="U22" s="62">
        <f>VLOOKUP($A22,'test8+9_2'!$A:$AL,COLUMN('test8+9_2'!$U:$U),FALSE)</f>
        <v>0.1</v>
      </c>
      <c r="V22" s="62">
        <f>VLOOKUP($A22,'test8+9_1'!$A:$AK,COLUMN('test8+9_1'!$AI:$AI),FALSE)</f>
        <v>0</v>
      </c>
      <c r="W22" s="62">
        <f>VLOOKUP($A22,'test8+9_2'!$A:$AL,COLUMN('test8+9_2'!$AJ:$AJ),FALSE)</f>
        <v>0.1</v>
      </c>
    </row>
    <row r="23" ht="12.75" customHeight="1"/>
    <row r="24" ht="12.75" customHeight="1"/>
    <row r="25" ht="12.75" customHeight="1"/>
    <row r="26" ht="12.75" customHeight="1"/>
    <row r="27" ht="12.75" customHeight="1">
      <c r="R27" s="68" t="s">
        <v>660</v>
      </c>
      <c r="S27" s="69"/>
      <c r="T27" s="70"/>
      <c r="U27" s="71" t="s">
        <v>638</v>
      </c>
    </row>
    <row r="28" ht="12.75" customHeight="1">
      <c r="R28" s="72">
        <v>1.0</v>
      </c>
      <c r="S28" s="73" t="str">
        <f>IFERROR(__xludf.DUMMYFUNCTION("filter($B$3:$B$22,$N$3:$N$22=$R28)"),"Microsoft Corp.")</f>
        <v>Microsoft Corp.</v>
      </c>
      <c r="T28" s="74"/>
      <c r="U28" s="75">
        <f>IFERROR(__xludf.DUMMYFUNCTION("filter($M$3:$M$22,$N$3:$N$22=$R28)"),0.9015353524269358)</f>
        <v>0.9015353524</v>
      </c>
    </row>
    <row r="29" ht="12.75" customHeight="1">
      <c r="R29" s="76">
        <f t="shared" ref="R29:R37" si="8">R28+1</f>
        <v>2</v>
      </c>
      <c r="S29" s="1" t="str">
        <f>IFERROR(__xludf.DUMMYFUNCTION("filter($B$3:$B$22,$N$3:$N$22=$R29)"),"Apple Inc.")</f>
        <v>Apple Inc.</v>
      </c>
      <c r="T29" s="77"/>
      <c r="U29" s="78">
        <f>IFERROR(__xludf.DUMMYFUNCTION("filter($M$3:$M$22,$N$3:$N$22=$R29)"),0.6849999999999999)</f>
        <v>0.685</v>
      </c>
    </row>
    <row r="30" ht="12.75" customHeight="1">
      <c r="R30" s="76">
        <f t="shared" si="8"/>
        <v>3</v>
      </c>
      <c r="S30" s="1" t="str">
        <f>IFERROR(__xludf.DUMMYFUNCTION("filter($B$3:$B$22,$N$3:$N$22=$R30)"),"Accenture")</f>
        <v>Accenture</v>
      </c>
      <c r="T30" s="77"/>
      <c r="U30" s="78">
        <f>IFERROR(__xludf.DUMMYFUNCTION("filter($M$3:$M$22,$N$3:$N$22=$R30)"),0.6366666666666667)</f>
        <v>0.6366666667</v>
      </c>
    </row>
    <row r="31" ht="12.75" customHeight="1">
      <c r="N31" s="79">
        <v>0.0</v>
      </c>
      <c r="P31" s="1">
        <f t="shared" ref="P31:P41" si="9">COUNTIFS($M$3:$M$22,"&lt;"&amp;N31,$M$3:$M$22,"&gt;="&amp;N30)</f>
        <v>0</v>
      </c>
      <c r="R31" s="76">
        <f t="shared" si="8"/>
        <v>4</v>
      </c>
      <c r="S31" s="1" t="str">
        <f>IFERROR(__xludf.DUMMYFUNCTION("filter($B$3:$B$22,$N$3:$N$22=$R31)"),"Biogen Inc.")</f>
        <v>Biogen Inc.</v>
      </c>
      <c r="T31" s="77"/>
      <c r="U31" s="78">
        <f>IFERROR(__xludf.DUMMYFUNCTION("filter($M$3:$M$22,$N$3:$N$22=$R31)"),0.576123778924761)</f>
        <v>0.5761237789</v>
      </c>
    </row>
    <row r="32" ht="12.75" customHeight="1">
      <c r="N32" s="80">
        <f t="shared" ref="N32:N41" si="10">N31+10%</f>
        <v>0.1</v>
      </c>
      <c r="O32" s="35" t="s">
        <v>661</v>
      </c>
      <c r="P32" s="1">
        <f t="shared" si="9"/>
        <v>1</v>
      </c>
      <c r="R32" s="76">
        <f t="shared" si="8"/>
        <v>5</v>
      </c>
      <c r="S32" s="1" t="str">
        <f>IFERROR(__xludf.DUMMYFUNCTION("filter($B$3:$B$22,$N$3:$N$22=$R32)"),"AT&amp;T Inc.")</f>
        <v>AT&amp;T Inc.</v>
      </c>
      <c r="T32" s="77"/>
      <c r="U32" s="78">
        <f>IFERROR(__xludf.DUMMYFUNCTION("filter($M$3:$M$22,$N$3:$N$22=$R32)"),0.5553945812380784)</f>
        <v>0.5553945812</v>
      </c>
    </row>
    <row r="33" ht="12.75" customHeight="1">
      <c r="N33" s="80">
        <f t="shared" si="10"/>
        <v>0.2</v>
      </c>
      <c r="O33" s="35" t="s">
        <v>662</v>
      </c>
      <c r="P33" s="1">
        <f t="shared" si="9"/>
        <v>0</v>
      </c>
      <c r="R33" s="76">
        <f t="shared" si="8"/>
        <v>6</v>
      </c>
      <c r="S33" s="1" t="str">
        <f>IFERROR(__xludf.DUMMYFUNCTION("filter($B$3:$B$22,$N$3:$N$22=$R33)"),"3M")</f>
        <v>3M</v>
      </c>
      <c r="T33" s="77"/>
      <c r="U33" s="78">
        <f>IFERROR(__xludf.DUMMYFUNCTION("filter($M$3:$M$22,$N$3:$N$22=$R33)"),0.529639175257732)</f>
        <v>0.5296391753</v>
      </c>
    </row>
    <row r="34" ht="12.75" customHeight="1">
      <c r="N34" s="80">
        <f t="shared" si="10"/>
        <v>0.3</v>
      </c>
      <c r="O34" s="35" t="s">
        <v>663</v>
      </c>
      <c r="P34" s="1">
        <f t="shared" si="9"/>
        <v>6</v>
      </c>
      <c r="R34" s="76">
        <f t="shared" si="8"/>
        <v>7</v>
      </c>
      <c r="S34" s="1" t="str">
        <f>IFERROR(__xludf.DUMMYFUNCTION("filter($B$3:$B$22,$N$3:$N$22=$R34)"),"Altria Group Inc")</f>
        <v>Altria Group Inc</v>
      </c>
      <c r="T34" s="77"/>
      <c r="U34" s="78">
        <f>IFERROR(__xludf.DUMMYFUNCTION("filter($M$3:$M$22,$N$3:$N$22=$R34)"),0.5010247608268558)</f>
        <v>0.5010247608</v>
      </c>
    </row>
    <row r="35" ht="12.75" customHeight="1">
      <c r="N35" s="80">
        <f t="shared" si="10"/>
        <v>0.4</v>
      </c>
      <c r="O35" s="35" t="s">
        <v>664</v>
      </c>
      <c r="P35" s="1">
        <f t="shared" si="9"/>
        <v>4</v>
      </c>
      <c r="R35" s="76">
        <f t="shared" si="8"/>
        <v>8</v>
      </c>
      <c r="S35" s="1" t="str">
        <f>IFERROR(__xludf.DUMMYFUNCTION("filter($B$3:$B$22,$N$3:$N$22=$R35)"),"Adobe Inc.")</f>
        <v>Adobe Inc.</v>
      </c>
      <c r="T35" s="77"/>
      <c r="U35" s="78">
        <f>IFERROR(__xludf.DUMMYFUNCTION("filter($M$3:$M$22,$N$3:$N$22=$R35)"),0.47928236672524893)</f>
        <v>0.4792823667</v>
      </c>
    </row>
    <row r="36" ht="12.75" customHeight="1">
      <c r="N36" s="80">
        <f t="shared" si="10"/>
        <v>0.5</v>
      </c>
      <c r="O36" s="35" t="s">
        <v>665</v>
      </c>
      <c r="P36" s="1">
        <f t="shared" si="9"/>
        <v>2</v>
      </c>
      <c r="R36" s="76">
        <f t="shared" si="8"/>
        <v>9</v>
      </c>
      <c r="S36" s="1" t="str">
        <f>IFERROR(__xludf.DUMMYFUNCTION("filter($B$3:$B$22,$N$3:$N$22=$R36)"),"Amazon.com Inc.")</f>
        <v>Amazon.com Inc.</v>
      </c>
      <c r="T36" s="77"/>
      <c r="U36" s="78">
        <f>IFERROR(__xludf.DUMMYFUNCTION("filter($M$3:$M$22,$N$3:$N$22=$R36)"),0.41166666666666674)</f>
        <v>0.4116666667</v>
      </c>
    </row>
    <row r="37" ht="12.75" customHeight="1">
      <c r="N37" s="80">
        <f t="shared" si="10"/>
        <v>0.6</v>
      </c>
      <c r="O37" s="35" t="s">
        <v>666</v>
      </c>
      <c r="P37" s="1">
        <f t="shared" si="9"/>
        <v>4</v>
      </c>
      <c r="R37" s="81">
        <f t="shared" si="8"/>
        <v>10</v>
      </c>
      <c r="S37" s="82" t="str">
        <f>IFERROR(__xludf.DUMMYFUNCTION("filter($B$3:$B$22,$N$3:$N$22=$R37)"),"Amgen Inc.")</f>
        <v>Amgen Inc.</v>
      </c>
      <c r="T37" s="83"/>
      <c r="U37" s="84">
        <f>IFERROR(__xludf.DUMMYFUNCTION("filter($M$3:$M$22,$N$3:$N$22=$R37)"),0.3983333333333333)</f>
        <v>0.3983333333</v>
      </c>
    </row>
    <row r="38" ht="12.75" customHeight="1">
      <c r="N38" s="80">
        <f t="shared" si="10"/>
        <v>0.7</v>
      </c>
      <c r="O38" s="35" t="s">
        <v>667</v>
      </c>
      <c r="P38" s="1">
        <f t="shared" si="9"/>
        <v>2</v>
      </c>
    </row>
    <row r="39" ht="12.75" customHeight="1">
      <c r="N39" s="80">
        <f t="shared" si="10"/>
        <v>0.8</v>
      </c>
      <c r="O39" s="35" t="s">
        <v>668</v>
      </c>
      <c r="P39" s="1">
        <f t="shared" si="9"/>
        <v>0</v>
      </c>
    </row>
    <row r="40" ht="12.75" customHeight="1">
      <c r="N40" s="80">
        <f t="shared" si="10"/>
        <v>0.9</v>
      </c>
      <c r="O40" s="35" t="s">
        <v>669</v>
      </c>
      <c r="P40" s="1">
        <f t="shared" si="9"/>
        <v>0</v>
      </c>
    </row>
    <row r="41" ht="12.75" customHeight="1">
      <c r="N41" s="80">
        <f t="shared" si="10"/>
        <v>1</v>
      </c>
      <c r="O41" s="35"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5" t="s">
        <v>671</v>
      </c>
      <c r="B1" s="9" t="s">
        <v>2</v>
      </c>
      <c r="C1" s="10" t="s">
        <v>3</v>
      </c>
      <c r="D1" s="11" t="s">
        <v>533</v>
      </c>
      <c r="E1" s="11" t="s">
        <v>672</v>
      </c>
      <c r="F1" s="11" t="s">
        <v>599</v>
      </c>
      <c r="G1" s="11" t="s">
        <v>673</v>
      </c>
      <c r="H1" s="11" t="s">
        <v>674</v>
      </c>
      <c r="I1" s="11" t="s">
        <v>675</v>
      </c>
      <c r="J1" s="11" t="s">
        <v>594</v>
      </c>
      <c r="K1" s="11" t="s">
        <v>676</v>
      </c>
      <c r="L1" s="11" t="s">
        <v>677</v>
      </c>
      <c r="M1" s="11" t="s">
        <v>678</v>
      </c>
      <c r="N1" s="11" t="s">
        <v>611</v>
      </c>
      <c r="O1" s="11" t="s">
        <v>606</v>
      </c>
      <c r="P1" s="11" t="s">
        <v>601</v>
      </c>
      <c r="Q1" s="11" t="s">
        <v>679</v>
      </c>
      <c r="R1" s="11" t="s">
        <v>680</v>
      </c>
      <c r="S1" s="11" t="s">
        <v>681</v>
      </c>
    </row>
    <row r="2">
      <c r="A2" s="12">
        <v>0.0</v>
      </c>
      <c r="B2" s="12">
        <v>66.0</v>
      </c>
      <c r="C2" s="13" t="str">
        <f>VLOOKUP(B2,companies!$A:$B,2,FALSE)</f>
        <v>Microsoft Corp.</v>
      </c>
      <c r="D2" s="14" t="s">
        <v>535</v>
      </c>
      <c r="E2" s="14">
        <v>0.0</v>
      </c>
      <c r="F2" s="14" t="s">
        <v>603</v>
      </c>
      <c r="G2" s="86" t="s">
        <v>682</v>
      </c>
      <c r="H2" s="87" t="s">
        <v>683</v>
      </c>
      <c r="I2" s="87" t="s">
        <v>683</v>
      </c>
      <c r="J2" s="87" t="s">
        <v>593</v>
      </c>
      <c r="K2" s="88">
        <v>1.0</v>
      </c>
      <c r="L2" s="88">
        <v>1.0</v>
      </c>
      <c r="M2" s="88">
        <v>1.0</v>
      </c>
      <c r="N2" s="88">
        <v>1.0</v>
      </c>
      <c r="O2" s="87">
        <v>2019.0</v>
      </c>
      <c r="P2" s="87">
        <v>2030.0</v>
      </c>
      <c r="Q2" s="87">
        <v>2020.0</v>
      </c>
      <c r="R2" s="87" t="s">
        <v>684</v>
      </c>
      <c r="S2" s="89"/>
    </row>
    <row r="3">
      <c r="A3" s="90">
        <v>1.0</v>
      </c>
      <c r="B3" s="90">
        <v>66.0</v>
      </c>
      <c r="C3" s="91" t="s">
        <v>345</v>
      </c>
      <c r="D3" s="92" t="s">
        <v>685</v>
      </c>
      <c r="E3" s="92" t="s">
        <v>685</v>
      </c>
      <c r="F3" s="92" t="s">
        <v>603</v>
      </c>
      <c r="G3" s="86" t="s">
        <v>582</v>
      </c>
      <c r="H3" s="93" t="s">
        <v>683</v>
      </c>
      <c r="I3" s="93" t="s">
        <v>683</v>
      </c>
      <c r="J3" s="93" t="s">
        <v>593</v>
      </c>
      <c r="K3" s="94">
        <v>1.0</v>
      </c>
      <c r="L3" s="94">
        <v>1.0</v>
      </c>
      <c r="M3" s="94">
        <v>1.0</v>
      </c>
      <c r="N3" s="94">
        <v>0.5</v>
      </c>
      <c r="O3" s="93">
        <v>2019.0</v>
      </c>
      <c r="P3" s="93">
        <v>2030.0</v>
      </c>
      <c r="Q3" s="93">
        <v>2020.0</v>
      </c>
      <c r="R3" s="93"/>
      <c r="S3" s="95"/>
    </row>
    <row r="4">
      <c r="A4" s="12">
        <f t="shared" ref="A4:A41" si="1">A3+1</f>
        <v>2</v>
      </c>
      <c r="B4" s="12">
        <v>66.0</v>
      </c>
      <c r="C4" s="13" t="str">
        <f>VLOOKUP(B4,companies!$A:$B,2,FALSE)</f>
        <v>Microsoft Corp.</v>
      </c>
      <c r="D4" s="14" t="s">
        <v>535</v>
      </c>
      <c r="E4" s="14">
        <v>1.0</v>
      </c>
      <c r="F4" s="14" t="s">
        <v>686</v>
      </c>
      <c r="G4" s="86" t="s">
        <v>582</v>
      </c>
      <c r="H4" s="87" t="s">
        <v>687</v>
      </c>
      <c r="I4" s="87" t="s">
        <v>688</v>
      </c>
      <c r="J4" s="87" t="s">
        <v>689</v>
      </c>
      <c r="K4" s="87" t="s">
        <v>683</v>
      </c>
      <c r="L4" s="87" t="s">
        <v>683</v>
      </c>
      <c r="M4" s="88">
        <v>1.0</v>
      </c>
      <c r="N4" s="88">
        <v>0.3</v>
      </c>
      <c r="O4" s="87">
        <v>2017.0</v>
      </c>
      <c r="P4" s="87">
        <v>2030.0</v>
      </c>
      <c r="Q4" s="87">
        <v>2020.0</v>
      </c>
      <c r="R4" s="87"/>
    </row>
    <row r="5">
      <c r="A5" s="12">
        <f t="shared" si="1"/>
        <v>3</v>
      </c>
      <c r="B5" s="12">
        <v>66.0</v>
      </c>
      <c r="C5" s="13" t="str">
        <f>VLOOKUP(B5,companies!$A:$B,2,FALSE)</f>
        <v>Microsoft Corp.</v>
      </c>
      <c r="D5" s="14" t="s">
        <v>535</v>
      </c>
      <c r="E5" s="14">
        <v>1.0</v>
      </c>
      <c r="F5" s="14" t="s">
        <v>603</v>
      </c>
      <c r="G5" s="86" t="s">
        <v>582</v>
      </c>
      <c r="H5" s="87" t="s">
        <v>687</v>
      </c>
      <c r="I5" s="87" t="s">
        <v>683</v>
      </c>
      <c r="J5" s="87" t="s">
        <v>689</v>
      </c>
      <c r="K5" s="87" t="s">
        <v>683</v>
      </c>
      <c r="L5" s="87" t="s">
        <v>683</v>
      </c>
      <c r="M5" s="88">
        <v>1.0</v>
      </c>
      <c r="N5" s="88">
        <v>0.0</v>
      </c>
      <c r="O5" s="87">
        <v>2017.0</v>
      </c>
      <c r="P5" s="87">
        <v>2030.0</v>
      </c>
      <c r="Q5" s="87">
        <v>2020.0</v>
      </c>
      <c r="R5" s="87"/>
    </row>
    <row r="6">
      <c r="A6" s="12">
        <f t="shared" si="1"/>
        <v>4</v>
      </c>
      <c r="B6" s="12">
        <v>66.0</v>
      </c>
      <c r="C6" s="13" t="str">
        <f>VLOOKUP(B6,companies!$A:$B,2,FALSE)</f>
        <v>Microsoft Corp.</v>
      </c>
      <c r="D6" s="96">
        <v>44263.0</v>
      </c>
      <c r="E6" s="97"/>
      <c r="F6" s="14" t="s">
        <v>603</v>
      </c>
      <c r="G6" s="86" t="s">
        <v>682</v>
      </c>
      <c r="H6" s="87" t="s">
        <v>683</v>
      </c>
      <c r="I6" s="87" t="s">
        <v>683</v>
      </c>
      <c r="J6" s="87" t="s">
        <v>598</v>
      </c>
      <c r="K6" s="88">
        <v>1.0</v>
      </c>
      <c r="L6" s="88">
        <v>1.0</v>
      </c>
      <c r="M6" s="88">
        <v>0.0</v>
      </c>
      <c r="N6" s="87" t="s">
        <v>597</v>
      </c>
      <c r="O6" s="98"/>
      <c r="P6" s="98"/>
      <c r="Q6" s="93">
        <v>2020.0</v>
      </c>
      <c r="R6" s="87"/>
    </row>
    <row r="7">
      <c r="A7" s="12">
        <f t="shared" si="1"/>
        <v>5</v>
      </c>
      <c r="B7" s="12">
        <v>1.0</v>
      </c>
      <c r="C7" s="13" t="str">
        <f>VLOOKUP(B7,companies!$A:$B,2,FALSE)</f>
        <v>3M</v>
      </c>
      <c r="D7" s="14" t="s">
        <v>535</v>
      </c>
      <c r="E7" s="14">
        <v>2.0</v>
      </c>
      <c r="F7" s="14" t="s">
        <v>603</v>
      </c>
      <c r="G7" s="86" t="s">
        <v>582</v>
      </c>
      <c r="H7" s="87" t="s">
        <v>683</v>
      </c>
      <c r="I7" s="87" t="s">
        <v>683</v>
      </c>
      <c r="J7" s="87" t="s">
        <v>598</v>
      </c>
      <c r="K7" s="88">
        <v>1.0</v>
      </c>
      <c r="L7" s="88">
        <v>1.0</v>
      </c>
      <c r="M7" s="88">
        <v>0.0</v>
      </c>
      <c r="N7" s="88">
        <v>0.5</v>
      </c>
      <c r="O7" s="87">
        <v>2019.0</v>
      </c>
      <c r="P7" s="87">
        <v>2030.0</v>
      </c>
      <c r="Q7" s="87">
        <v>2021.0</v>
      </c>
      <c r="R7" s="87"/>
    </row>
    <row r="8">
      <c r="A8" s="12">
        <f t="shared" si="1"/>
        <v>6</v>
      </c>
      <c r="B8" s="12">
        <v>1.0</v>
      </c>
      <c r="C8" s="13" t="str">
        <f>VLOOKUP(B8,companies!$A:$B,2,FALSE)</f>
        <v>3M</v>
      </c>
      <c r="D8" s="14" t="s">
        <v>535</v>
      </c>
      <c r="E8" s="14">
        <v>2.0</v>
      </c>
      <c r="F8" s="14" t="s">
        <v>603</v>
      </c>
      <c r="G8" s="86" t="s">
        <v>582</v>
      </c>
      <c r="H8" s="87" t="s">
        <v>683</v>
      </c>
      <c r="I8" s="87" t="s">
        <v>683</v>
      </c>
      <c r="J8" s="87" t="s">
        <v>598</v>
      </c>
      <c r="K8" s="88">
        <v>1.0</v>
      </c>
      <c r="L8" s="88">
        <v>1.0</v>
      </c>
      <c r="M8" s="88">
        <v>0.0</v>
      </c>
      <c r="N8" s="88">
        <v>0.8</v>
      </c>
      <c r="O8" s="87">
        <v>2019.0</v>
      </c>
      <c r="P8" s="87">
        <v>2040.0</v>
      </c>
      <c r="Q8" s="87">
        <v>2021.0</v>
      </c>
      <c r="R8" s="87"/>
    </row>
    <row r="9">
      <c r="A9" s="12">
        <f t="shared" si="1"/>
        <v>7</v>
      </c>
      <c r="B9" s="99">
        <v>1.0</v>
      </c>
      <c r="C9" s="13" t="str">
        <f>VLOOKUP(B9,companies!$A:$B,2,FALSE)</f>
        <v>3M</v>
      </c>
      <c r="D9" s="14" t="s">
        <v>535</v>
      </c>
      <c r="E9" s="100">
        <v>2.0</v>
      </c>
      <c r="F9" s="100" t="s">
        <v>603</v>
      </c>
      <c r="G9" s="86" t="s">
        <v>582</v>
      </c>
      <c r="H9" s="101" t="s">
        <v>683</v>
      </c>
      <c r="I9" s="101" t="s">
        <v>683</v>
      </c>
      <c r="J9" s="101" t="s">
        <v>598</v>
      </c>
      <c r="K9" s="102">
        <v>1.0</v>
      </c>
      <c r="L9" s="102">
        <v>1.0</v>
      </c>
      <c r="M9" s="102">
        <v>0.0</v>
      </c>
      <c r="N9" s="88">
        <v>1.0</v>
      </c>
      <c r="O9" s="87">
        <v>2019.0</v>
      </c>
      <c r="P9" s="87">
        <v>2050.0</v>
      </c>
      <c r="Q9" s="87">
        <v>2021.0</v>
      </c>
      <c r="R9" s="87"/>
    </row>
    <row r="10">
      <c r="A10" s="12">
        <f t="shared" si="1"/>
        <v>8</v>
      </c>
      <c r="B10" s="12">
        <v>2.0</v>
      </c>
      <c r="C10" s="13" t="str">
        <f>VLOOKUP(B10,companies!$A:$B,2,FALSE)</f>
        <v>Abbott Laboratories</v>
      </c>
      <c r="D10" s="14" t="s">
        <v>535</v>
      </c>
      <c r="E10" s="14">
        <v>3.0</v>
      </c>
      <c r="F10" s="14" t="s">
        <v>603</v>
      </c>
      <c r="G10" s="86" t="s">
        <v>582</v>
      </c>
      <c r="H10" s="103" t="s">
        <v>683</v>
      </c>
      <c r="I10" s="103" t="s">
        <v>683</v>
      </c>
      <c r="J10" s="103" t="s">
        <v>598</v>
      </c>
      <c r="K10" s="88">
        <v>1.0</v>
      </c>
      <c r="L10" s="88">
        <v>1.0</v>
      </c>
      <c r="M10" s="88">
        <v>0.0</v>
      </c>
      <c r="N10" s="88">
        <v>0.3</v>
      </c>
      <c r="O10" s="87">
        <v>2018.0</v>
      </c>
      <c r="P10" s="87">
        <v>2030.0</v>
      </c>
      <c r="Q10" s="87">
        <v>2021.0</v>
      </c>
      <c r="R10" s="87" t="s">
        <v>690</v>
      </c>
      <c r="S10" s="35" t="s">
        <v>582</v>
      </c>
    </row>
    <row r="11">
      <c r="A11" s="12">
        <f t="shared" si="1"/>
        <v>9</v>
      </c>
      <c r="B11" s="12">
        <v>3.0</v>
      </c>
      <c r="C11" s="13" t="str">
        <f>VLOOKUP(B11,companies!$A:$B,2,FALSE)</f>
        <v>AbbVie Inc.</v>
      </c>
      <c r="D11" s="14" t="s">
        <v>535</v>
      </c>
      <c r="E11" s="14">
        <v>4.0</v>
      </c>
      <c r="F11" s="14" t="s">
        <v>603</v>
      </c>
      <c r="G11" s="86" t="s">
        <v>582</v>
      </c>
      <c r="H11" s="103" t="s">
        <v>683</v>
      </c>
      <c r="I11" s="103" t="s">
        <v>683</v>
      </c>
      <c r="J11" s="103" t="s">
        <v>598</v>
      </c>
      <c r="K11" s="88">
        <v>1.0</v>
      </c>
      <c r="L11" s="88">
        <v>1.0</v>
      </c>
      <c r="M11" s="88">
        <v>0.0</v>
      </c>
      <c r="N11" s="88">
        <v>0.25</v>
      </c>
      <c r="O11" s="87">
        <v>2015.0</v>
      </c>
      <c r="P11" s="87">
        <v>2025.0</v>
      </c>
      <c r="Q11" s="87">
        <v>2016.0</v>
      </c>
      <c r="R11" s="87"/>
    </row>
    <row r="12">
      <c r="A12" s="12">
        <f t="shared" si="1"/>
        <v>10</v>
      </c>
      <c r="B12" s="12">
        <v>3.0</v>
      </c>
      <c r="C12" s="13" t="str">
        <f>VLOOKUP(B12,companies!$A:$B,2,FALSE)</f>
        <v>AbbVie Inc.</v>
      </c>
      <c r="D12" s="14" t="s">
        <v>535</v>
      </c>
      <c r="E12" s="14">
        <v>4.0</v>
      </c>
      <c r="F12" s="14" t="s">
        <v>603</v>
      </c>
      <c r="G12" s="86" t="s">
        <v>582</v>
      </c>
      <c r="H12" s="103" t="s">
        <v>683</v>
      </c>
      <c r="I12" s="103" t="s">
        <v>683</v>
      </c>
      <c r="J12" s="103" t="s">
        <v>598</v>
      </c>
      <c r="K12" s="88">
        <v>1.0</v>
      </c>
      <c r="L12" s="88">
        <v>1.0</v>
      </c>
      <c r="M12" s="88">
        <v>0.0</v>
      </c>
      <c r="N12" s="88">
        <v>0.5</v>
      </c>
      <c r="O12" s="87">
        <v>2015.0</v>
      </c>
      <c r="P12" s="87">
        <v>2035.0</v>
      </c>
      <c r="Q12" s="87">
        <v>2016.0</v>
      </c>
      <c r="R12" s="87"/>
    </row>
    <row r="13">
      <c r="A13" s="12">
        <f t="shared" si="1"/>
        <v>11</v>
      </c>
      <c r="B13" s="12">
        <v>4.0</v>
      </c>
      <c r="C13" s="13" t="str">
        <f>VLOOKUP(B13,companies!$A:$B,2,FALSE)</f>
        <v>Accenture</v>
      </c>
      <c r="D13" s="14" t="s">
        <v>535</v>
      </c>
      <c r="E13" s="14">
        <v>6.0</v>
      </c>
      <c r="F13" s="14" t="s">
        <v>603</v>
      </c>
      <c r="G13" s="86" t="s">
        <v>582</v>
      </c>
      <c r="H13" s="87" t="s">
        <v>687</v>
      </c>
      <c r="I13" s="87" t="s">
        <v>683</v>
      </c>
      <c r="J13" s="87" t="s">
        <v>593</v>
      </c>
      <c r="K13" s="88">
        <v>1.0</v>
      </c>
      <c r="L13" s="88">
        <v>1.0</v>
      </c>
      <c r="M13" s="88">
        <v>1.0</v>
      </c>
      <c r="N13" s="88">
        <v>0.11</v>
      </c>
      <c r="O13" s="87">
        <v>2016.0</v>
      </c>
      <c r="P13" s="87">
        <v>2025.0</v>
      </c>
      <c r="Q13" s="87">
        <v>2018.0</v>
      </c>
      <c r="R13" s="87" t="s">
        <v>691</v>
      </c>
    </row>
    <row r="14">
      <c r="A14" s="12">
        <f t="shared" si="1"/>
        <v>12</v>
      </c>
      <c r="B14" s="12">
        <v>4.0</v>
      </c>
      <c r="C14" s="13" t="str">
        <f>VLOOKUP(B14,companies!$A:$B,2,FALSE)</f>
        <v>Accenture</v>
      </c>
      <c r="D14" s="14" t="s">
        <v>535</v>
      </c>
      <c r="E14" s="14">
        <v>6.0</v>
      </c>
      <c r="F14" s="14" t="s">
        <v>603</v>
      </c>
      <c r="G14" s="86" t="s">
        <v>582</v>
      </c>
      <c r="H14" s="87" t="s">
        <v>687</v>
      </c>
      <c r="I14" s="87" t="s">
        <v>683</v>
      </c>
      <c r="J14" s="87" t="s">
        <v>598</v>
      </c>
      <c r="K14" s="88">
        <v>1.0</v>
      </c>
      <c r="L14" s="88">
        <v>1.0</v>
      </c>
      <c r="M14" s="88">
        <v>0.0</v>
      </c>
      <c r="N14" s="88">
        <v>0.65</v>
      </c>
      <c r="O14" s="87">
        <v>2016.0</v>
      </c>
      <c r="P14" s="87">
        <v>2025.0</v>
      </c>
      <c r="Q14" s="87">
        <v>2018.0</v>
      </c>
      <c r="R14" s="87" t="s">
        <v>691</v>
      </c>
    </row>
    <row r="15">
      <c r="A15" s="12">
        <f t="shared" si="1"/>
        <v>13</v>
      </c>
      <c r="B15" s="12">
        <v>4.0</v>
      </c>
      <c r="C15" s="13" t="str">
        <f>VLOOKUP(B15,companies!$A:$B,2,FALSE)</f>
        <v>Accenture</v>
      </c>
      <c r="D15" s="14" t="s">
        <v>535</v>
      </c>
      <c r="E15" s="14">
        <v>6.0</v>
      </c>
      <c r="F15" s="14" t="s">
        <v>686</v>
      </c>
      <c r="G15" s="86" t="s">
        <v>582</v>
      </c>
      <c r="H15" s="87" t="s">
        <v>687</v>
      </c>
      <c r="I15" s="87" t="s">
        <v>688</v>
      </c>
      <c r="J15" s="87" t="s">
        <v>593</v>
      </c>
      <c r="K15" s="88">
        <v>1.0</v>
      </c>
      <c r="L15" s="88">
        <v>1.0</v>
      </c>
      <c r="M15" s="88">
        <v>1.0</v>
      </c>
      <c r="N15" s="88">
        <v>0.4</v>
      </c>
      <c r="O15" s="87">
        <v>2016.0</v>
      </c>
      <c r="P15" s="87">
        <v>2025.0</v>
      </c>
      <c r="Q15" s="87">
        <v>2018.0</v>
      </c>
      <c r="R15" s="87" t="s">
        <v>691</v>
      </c>
    </row>
    <row r="16">
      <c r="A16" s="12">
        <f t="shared" si="1"/>
        <v>14</v>
      </c>
      <c r="B16" s="12">
        <v>4.0</v>
      </c>
      <c r="C16" s="13" t="str">
        <f>VLOOKUP(B16,companies!$A:$B,2,FALSE)</f>
        <v>Accenture</v>
      </c>
      <c r="D16" s="14" t="s">
        <v>535</v>
      </c>
      <c r="E16" s="14">
        <v>7.0</v>
      </c>
      <c r="F16" s="23" t="s">
        <v>603</v>
      </c>
      <c r="G16" s="86" t="s">
        <v>682</v>
      </c>
      <c r="H16" s="87" t="s">
        <v>683</v>
      </c>
      <c r="I16" s="87" t="s">
        <v>683</v>
      </c>
      <c r="J16" s="87" t="s">
        <v>598</v>
      </c>
      <c r="K16" s="88">
        <v>1.0</v>
      </c>
      <c r="L16" s="88">
        <v>1.0</v>
      </c>
      <c r="M16" s="88">
        <v>0.0</v>
      </c>
      <c r="N16" s="88">
        <v>1.0</v>
      </c>
      <c r="O16" s="87">
        <v>2019.0</v>
      </c>
      <c r="P16" s="87">
        <v>2025.0</v>
      </c>
      <c r="Q16" s="87">
        <v>2020.0</v>
      </c>
    </row>
    <row r="17">
      <c r="A17" s="12">
        <f t="shared" si="1"/>
        <v>15</v>
      </c>
      <c r="B17" s="12">
        <v>5.0</v>
      </c>
      <c r="C17" s="13" t="str">
        <f>VLOOKUP(B17,companies!$A:$B,2,FALSE)</f>
        <v>Adobe Inc.</v>
      </c>
      <c r="D17" s="14" t="s">
        <v>535</v>
      </c>
      <c r="E17" s="14">
        <v>8.0</v>
      </c>
      <c r="F17" s="14" t="s">
        <v>603</v>
      </c>
      <c r="G17" s="86" t="s">
        <v>582</v>
      </c>
      <c r="H17" s="87" t="s">
        <v>687</v>
      </c>
      <c r="I17" s="87" t="s">
        <v>683</v>
      </c>
      <c r="J17" s="87" t="s">
        <v>598</v>
      </c>
      <c r="K17" s="88">
        <v>1.0</v>
      </c>
      <c r="L17" s="88">
        <v>1.0</v>
      </c>
      <c r="M17" s="88">
        <v>0.0</v>
      </c>
      <c r="N17" s="88">
        <v>0.35</v>
      </c>
      <c r="O17" s="87">
        <v>2018.0</v>
      </c>
      <c r="P17" s="87">
        <v>2025.0</v>
      </c>
      <c r="Q17" s="87">
        <v>2019.0</v>
      </c>
      <c r="R17" s="87" t="s">
        <v>692</v>
      </c>
    </row>
    <row r="18">
      <c r="A18" s="12">
        <f t="shared" si="1"/>
        <v>16</v>
      </c>
      <c r="B18" s="12">
        <v>5.0</v>
      </c>
      <c r="C18" s="13" t="str">
        <f>VLOOKUP(B18,companies!$A:$B,2,FALSE)</f>
        <v>Adobe Inc.</v>
      </c>
      <c r="D18" s="14" t="s">
        <v>535</v>
      </c>
      <c r="E18" s="14">
        <v>8.0</v>
      </c>
      <c r="F18" s="14" t="s">
        <v>603</v>
      </c>
      <c r="G18" s="86" t="s">
        <v>582</v>
      </c>
      <c r="H18" s="87" t="s">
        <v>687</v>
      </c>
      <c r="I18" s="87" t="s">
        <v>683</v>
      </c>
      <c r="J18" s="87" t="s">
        <v>689</v>
      </c>
      <c r="K18" s="88">
        <v>0.0</v>
      </c>
      <c r="L18" s="88">
        <v>0.0</v>
      </c>
      <c r="M18" s="88">
        <v>0.16</v>
      </c>
      <c r="N18" s="88">
        <v>0.3</v>
      </c>
      <c r="O18" s="87">
        <v>2018.0</v>
      </c>
      <c r="P18" s="87">
        <v>2025.0</v>
      </c>
      <c r="Q18" s="87">
        <v>2019.0</v>
      </c>
      <c r="R18" s="87" t="s">
        <v>693</v>
      </c>
    </row>
    <row r="19">
      <c r="A19" s="104">
        <f t="shared" si="1"/>
        <v>17</v>
      </c>
      <c r="B19" s="104">
        <v>5.0</v>
      </c>
      <c r="C19" s="105" t="str">
        <f>VLOOKUP(B19,companies!$A:$B,2,FALSE)</f>
        <v>Adobe Inc.</v>
      </c>
      <c r="D19" s="106"/>
      <c r="E19" s="106"/>
      <c r="F19" s="106"/>
      <c r="G19" s="107"/>
      <c r="H19" s="107"/>
      <c r="I19" s="107"/>
      <c r="J19" s="107"/>
      <c r="K19" s="108"/>
      <c r="L19" s="108"/>
      <c r="M19" s="108"/>
      <c r="N19" s="108"/>
      <c r="O19" s="107"/>
      <c r="P19" s="107"/>
      <c r="Q19" s="107"/>
      <c r="R19" s="107"/>
    </row>
    <row r="20">
      <c r="A20" s="12">
        <f t="shared" si="1"/>
        <v>18</v>
      </c>
      <c r="B20" s="12">
        <v>5.0</v>
      </c>
      <c r="C20" s="13" t="str">
        <f>VLOOKUP(B20,companies!$A:$B,2,FALSE)</f>
        <v>Adobe Inc.</v>
      </c>
      <c r="D20" s="14" t="s">
        <v>535</v>
      </c>
      <c r="E20" s="14">
        <v>8.0</v>
      </c>
      <c r="F20" s="14" t="s">
        <v>603</v>
      </c>
      <c r="G20" s="86" t="s">
        <v>582</v>
      </c>
      <c r="H20" s="87" t="s">
        <v>687</v>
      </c>
      <c r="I20" s="87" t="s">
        <v>683</v>
      </c>
      <c r="J20" s="87" t="s">
        <v>598</v>
      </c>
      <c r="K20" s="88">
        <v>1.0</v>
      </c>
      <c r="L20" s="88">
        <v>1.0</v>
      </c>
      <c r="M20" s="88">
        <v>0.0</v>
      </c>
      <c r="N20" s="88">
        <v>0.8</v>
      </c>
      <c r="O20" s="87">
        <v>2018.0</v>
      </c>
      <c r="P20" s="87">
        <v>2035.0</v>
      </c>
      <c r="Q20" s="87">
        <v>2019.0</v>
      </c>
      <c r="R20" s="87" t="s">
        <v>694</v>
      </c>
    </row>
    <row r="21">
      <c r="A21" s="12">
        <f t="shared" si="1"/>
        <v>19</v>
      </c>
      <c r="B21" s="12">
        <v>5.0</v>
      </c>
      <c r="C21" s="13" t="str">
        <f>VLOOKUP(B21,companies!$A:$B,2,FALSE)</f>
        <v>Adobe Inc.</v>
      </c>
      <c r="D21" s="14" t="s">
        <v>535</v>
      </c>
      <c r="E21" s="14">
        <v>8.0</v>
      </c>
      <c r="F21" s="14" t="s">
        <v>603</v>
      </c>
      <c r="G21" s="86" t="s">
        <v>582</v>
      </c>
      <c r="H21" s="87" t="s">
        <v>687</v>
      </c>
      <c r="I21" s="87" t="s">
        <v>683</v>
      </c>
      <c r="J21" s="87" t="s">
        <v>598</v>
      </c>
      <c r="K21" s="88">
        <v>1.0</v>
      </c>
      <c r="L21" s="88">
        <v>1.0</v>
      </c>
      <c r="M21" s="88">
        <v>0.0</v>
      </c>
      <c r="N21" s="88">
        <v>1.0</v>
      </c>
      <c r="O21" s="87">
        <v>2018.0</v>
      </c>
      <c r="P21" s="87">
        <v>2050.0</v>
      </c>
      <c r="Q21" s="87">
        <v>2019.0</v>
      </c>
      <c r="R21" s="87" t="s">
        <v>695</v>
      </c>
    </row>
    <row r="22">
      <c r="A22" s="12">
        <f t="shared" si="1"/>
        <v>20</v>
      </c>
      <c r="B22" s="12">
        <v>7.0</v>
      </c>
      <c r="C22" s="13" t="str">
        <f>VLOOKUP(B22,companies!$A:$B,2,FALSE)</f>
        <v>Alphabet Inc. Google</v>
      </c>
      <c r="D22" s="15">
        <v>44204.0</v>
      </c>
      <c r="E22" s="14">
        <v>10.0</v>
      </c>
      <c r="F22" s="14" t="s">
        <v>603</v>
      </c>
      <c r="G22" s="86" t="s">
        <v>682</v>
      </c>
      <c r="H22" s="87" t="s">
        <v>683</v>
      </c>
      <c r="I22" s="87" t="s">
        <v>683</v>
      </c>
      <c r="J22" s="87" t="s">
        <v>598</v>
      </c>
      <c r="K22" s="88">
        <v>1.0</v>
      </c>
      <c r="L22" s="88">
        <v>1.0</v>
      </c>
      <c r="M22" s="88">
        <v>0.0</v>
      </c>
      <c r="N22" s="87" t="s">
        <v>597</v>
      </c>
      <c r="O22" s="87"/>
      <c r="P22" s="87"/>
      <c r="Q22" s="93">
        <v>2020.0</v>
      </c>
      <c r="R22" s="87" t="s">
        <v>696</v>
      </c>
    </row>
    <row r="23">
      <c r="A23" s="12">
        <f t="shared" si="1"/>
        <v>21</v>
      </c>
      <c r="B23" s="12">
        <v>8.0</v>
      </c>
      <c r="C23" s="13" t="str">
        <f>VLOOKUP(B23,companies!$A:$B,2,FALSE)</f>
        <v>Altria Group Inc</v>
      </c>
      <c r="D23" s="15">
        <v>44204.0</v>
      </c>
      <c r="E23" s="14">
        <v>11.0</v>
      </c>
      <c r="F23" s="14" t="s">
        <v>603</v>
      </c>
      <c r="G23" s="86" t="s">
        <v>582</v>
      </c>
      <c r="H23" s="87" t="s">
        <v>687</v>
      </c>
      <c r="I23" s="87" t="s">
        <v>683</v>
      </c>
      <c r="J23" s="87" t="s">
        <v>598</v>
      </c>
      <c r="K23" s="88">
        <v>1.0</v>
      </c>
      <c r="L23" s="88">
        <v>1.0</v>
      </c>
      <c r="M23" s="88">
        <v>0.0</v>
      </c>
      <c r="N23" s="88">
        <v>0.55</v>
      </c>
      <c r="O23" s="87">
        <v>2017.0</v>
      </c>
      <c r="P23" s="87">
        <v>2030.0</v>
      </c>
      <c r="Q23" s="87">
        <v>2020.0</v>
      </c>
      <c r="R23" s="87" t="s">
        <v>697</v>
      </c>
    </row>
    <row r="24">
      <c r="A24" s="12">
        <f t="shared" si="1"/>
        <v>22</v>
      </c>
      <c r="B24" s="12">
        <v>8.0</v>
      </c>
      <c r="C24" s="13" t="str">
        <f>VLOOKUP(B24,companies!$A:$B,2,FALSE)</f>
        <v>Altria Group Inc</v>
      </c>
      <c r="D24" s="15">
        <v>44204.0</v>
      </c>
      <c r="E24" s="14">
        <v>11.0</v>
      </c>
      <c r="F24" s="14" t="s">
        <v>603</v>
      </c>
      <c r="G24" s="86" t="s">
        <v>582</v>
      </c>
      <c r="H24" s="87" t="s">
        <v>687</v>
      </c>
      <c r="I24" s="87" t="s">
        <v>683</v>
      </c>
      <c r="J24" s="87" t="s">
        <v>689</v>
      </c>
      <c r="K24" s="88">
        <v>0.0</v>
      </c>
      <c r="L24" s="88">
        <v>0.0</v>
      </c>
      <c r="M24" s="88">
        <v>1.0</v>
      </c>
      <c r="N24" s="88">
        <v>0.18</v>
      </c>
      <c r="O24" s="87">
        <v>2017.0</v>
      </c>
      <c r="P24" s="87">
        <v>2030.0</v>
      </c>
      <c r="Q24" s="87">
        <v>2020.0</v>
      </c>
      <c r="R24" s="87" t="s">
        <v>697</v>
      </c>
    </row>
    <row r="25">
      <c r="A25" s="12">
        <f t="shared" si="1"/>
        <v>23</v>
      </c>
      <c r="B25" s="12">
        <v>13.0</v>
      </c>
      <c r="C25" s="13" t="str">
        <f>VLOOKUP(B25,companies!$A:$B,2,FALSE)</f>
        <v>Amgen Inc.</v>
      </c>
      <c r="D25" s="15">
        <v>44235.0</v>
      </c>
      <c r="E25" s="14">
        <v>15.0</v>
      </c>
      <c r="F25" s="14" t="s">
        <v>603</v>
      </c>
      <c r="G25" s="86" t="s">
        <v>582</v>
      </c>
      <c r="H25" s="87" t="s">
        <v>683</v>
      </c>
      <c r="I25" s="87" t="s">
        <v>683</v>
      </c>
      <c r="J25" s="87" t="s">
        <v>598</v>
      </c>
      <c r="K25" s="88">
        <v>1.0</v>
      </c>
      <c r="L25" s="88">
        <v>1.0</v>
      </c>
      <c r="M25" s="88">
        <v>0.0</v>
      </c>
      <c r="N25" s="88">
        <v>1.0</v>
      </c>
      <c r="O25" s="87">
        <v>2019.0</v>
      </c>
      <c r="P25" s="87">
        <v>2027.0</v>
      </c>
      <c r="Q25" s="87">
        <v>2020.0</v>
      </c>
      <c r="R25" s="87" t="s">
        <v>698</v>
      </c>
    </row>
    <row r="26">
      <c r="A26" s="12">
        <f t="shared" si="1"/>
        <v>24</v>
      </c>
      <c r="B26" s="12">
        <v>14.0</v>
      </c>
      <c r="C26" s="13" t="str">
        <f>VLOOKUP(B26,companies!$A:$B,2,FALSE)</f>
        <v>Apple Inc.</v>
      </c>
      <c r="D26" s="15">
        <v>44235.0</v>
      </c>
      <c r="E26" s="14">
        <v>17.0</v>
      </c>
      <c r="F26" s="14" t="s">
        <v>603</v>
      </c>
      <c r="G26" s="86" t="s">
        <v>582</v>
      </c>
      <c r="H26" s="87" t="s">
        <v>687</v>
      </c>
      <c r="I26" s="87" t="s">
        <v>683</v>
      </c>
      <c r="J26" s="87" t="s">
        <v>593</v>
      </c>
      <c r="K26" s="88">
        <v>1.0</v>
      </c>
      <c r="L26" s="88">
        <v>1.0</v>
      </c>
      <c r="M26" s="88">
        <v>1.0</v>
      </c>
      <c r="N26" s="88">
        <v>0.62</v>
      </c>
      <c r="O26" s="87">
        <v>2019.0</v>
      </c>
      <c r="P26" s="87">
        <v>2030.0</v>
      </c>
      <c r="Q26" s="87">
        <v>2020.0</v>
      </c>
      <c r="R26" s="87" t="s">
        <v>699</v>
      </c>
    </row>
    <row r="27">
      <c r="A27" s="109">
        <f t="shared" si="1"/>
        <v>25</v>
      </c>
      <c r="B27" s="109">
        <v>14.0</v>
      </c>
      <c r="C27" s="110" t="str">
        <f>VLOOKUP(B27,companies!$A:$B,2,FALSE)</f>
        <v>Apple Inc.</v>
      </c>
      <c r="D27" s="111"/>
      <c r="E27" s="112">
        <v>16.0</v>
      </c>
      <c r="F27" s="112" t="s">
        <v>603</v>
      </c>
      <c r="G27" s="86" t="s">
        <v>682</v>
      </c>
      <c r="H27" s="86"/>
      <c r="I27" s="86"/>
      <c r="J27" s="86"/>
      <c r="K27" s="113"/>
      <c r="L27" s="113"/>
      <c r="M27" s="113"/>
      <c r="N27" s="113"/>
      <c r="O27" s="86"/>
      <c r="P27" s="86"/>
      <c r="Q27" s="86"/>
      <c r="R27" s="86"/>
    </row>
    <row r="28">
      <c r="A28" s="12">
        <f t="shared" si="1"/>
        <v>26</v>
      </c>
      <c r="B28" s="12">
        <v>15.0</v>
      </c>
      <c r="C28" s="13" t="str">
        <f>VLOOKUP(B28,companies!$A:$B,2,FALSE)</f>
        <v>AT&amp;T Inc.</v>
      </c>
      <c r="D28" s="15">
        <v>44235.0</v>
      </c>
      <c r="E28" s="14">
        <v>18.0</v>
      </c>
      <c r="F28" s="14" t="s">
        <v>603</v>
      </c>
      <c r="G28" s="86" t="s">
        <v>582</v>
      </c>
      <c r="H28" s="87" t="s">
        <v>687</v>
      </c>
      <c r="I28" s="87" t="s">
        <v>683</v>
      </c>
      <c r="J28" s="87" t="s">
        <v>598</v>
      </c>
      <c r="K28" s="88">
        <v>1.0</v>
      </c>
      <c r="L28" s="88">
        <v>1.0</v>
      </c>
      <c r="M28" s="88">
        <v>0.0</v>
      </c>
      <c r="N28" s="88">
        <v>0.63</v>
      </c>
      <c r="O28" s="87">
        <v>2015.0</v>
      </c>
      <c r="P28" s="87">
        <v>2030.0</v>
      </c>
      <c r="Q28" s="87">
        <v>2020.0</v>
      </c>
      <c r="R28" s="87"/>
    </row>
    <row r="29">
      <c r="A29" s="12">
        <f t="shared" si="1"/>
        <v>27</v>
      </c>
      <c r="B29" s="12">
        <v>15.0</v>
      </c>
      <c r="C29" s="13" t="str">
        <f>VLOOKUP(B29,companies!$A:$B,2,FALSE)</f>
        <v>AT&amp;T Inc.</v>
      </c>
      <c r="D29" s="15">
        <v>44235.0</v>
      </c>
      <c r="E29" s="14">
        <v>18.0</v>
      </c>
      <c r="F29" s="14" t="s">
        <v>603</v>
      </c>
      <c r="G29" s="86" t="s">
        <v>582</v>
      </c>
      <c r="H29" s="87" t="s">
        <v>683</v>
      </c>
      <c r="I29" s="87" t="s">
        <v>683</v>
      </c>
      <c r="J29" s="87" t="s">
        <v>598</v>
      </c>
      <c r="K29" s="88">
        <v>1.0</v>
      </c>
      <c r="L29" s="88">
        <v>1.0</v>
      </c>
      <c r="M29" s="88">
        <v>0.0</v>
      </c>
      <c r="N29" s="88">
        <v>1.0</v>
      </c>
      <c r="O29" s="87">
        <v>2015.0</v>
      </c>
      <c r="P29" s="87">
        <v>2035.0</v>
      </c>
      <c r="Q29" s="87">
        <v>2020.0</v>
      </c>
      <c r="R29" s="87"/>
    </row>
    <row r="30">
      <c r="A30" s="12">
        <f t="shared" si="1"/>
        <v>28</v>
      </c>
      <c r="B30" s="12">
        <v>16.0</v>
      </c>
      <c r="C30" s="13" t="str">
        <f>VLOOKUP(B30,companies!$A:$B,2,FALSE)</f>
        <v>Bank of America</v>
      </c>
      <c r="D30" s="15">
        <v>44235.0</v>
      </c>
      <c r="E30" s="14">
        <v>20.0</v>
      </c>
      <c r="F30" s="14" t="s">
        <v>603</v>
      </c>
      <c r="G30" s="86" t="s">
        <v>682</v>
      </c>
      <c r="H30" s="87" t="s">
        <v>683</v>
      </c>
      <c r="I30" s="87" t="s">
        <v>683</v>
      </c>
      <c r="J30" s="87" t="s">
        <v>593</v>
      </c>
      <c r="K30" s="88">
        <v>1.0</v>
      </c>
      <c r="L30" s="88">
        <v>1.0</v>
      </c>
      <c r="M30" s="88">
        <v>1.0</v>
      </c>
      <c r="N30" s="88">
        <v>1.0</v>
      </c>
      <c r="O30" s="87">
        <v>2020.0</v>
      </c>
      <c r="P30" s="87">
        <v>2050.0</v>
      </c>
      <c r="Q30" s="87">
        <v>2020.0</v>
      </c>
      <c r="R30" s="87" t="s">
        <v>700</v>
      </c>
    </row>
    <row r="31">
      <c r="A31" s="12">
        <f t="shared" si="1"/>
        <v>29</v>
      </c>
      <c r="B31" s="12">
        <v>9.0</v>
      </c>
      <c r="C31" s="13" t="str">
        <f>VLOOKUP(B31,companies!$A:$B,2,FALSE)</f>
        <v>Amazon.com Inc.</v>
      </c>
      <c r="D31" s="15">
        <v>44235.0</v>
      </c>
      <c r="E31" s="14">
        <v>21.0</v>
      </c>
      <c r="F31" s="14" t="s">
        <v>603</v>
      </c>
      <c r="G31" s="86" t="s">
        <v>682</v>
      </c>
      <c r="H31" s="87" t="s">
        <v>683</v>
      </c>
      <c r="I31" s="87" t="s">
        <v>683</v>
      </c>
      <c r="J31" s="87" t="s">
        <v>593</v>
      </c>
      <c r="K31" s="88">
        <v>1.0</v>
      </c>
      <c r="L31" s="88">
        <v>1.0</v>
      </c>
      <c r="M31" s="88">
        <v>1.0</v>
      </c>
      <c r="N31" s="88">
        <v>1.0</v>
      </c>
      <c r="O31" s="87">
        <v>2019.0</v>
      </c>
      <c r="P31" s="87">
        <v>2040.0</v>
      </c>
      <c r="Q31" s="87">
        <v>2019.0</v>
      </c>
      <c r="R31" s="87" t="s">
        <v>701</v>
      </c>
    </row>
    <row r="32">
      <c r="A32" s="114">
        <f t="shared" si="1"/>
        <v>30</v>
      </c>
      <c r="B32" s="114">
        <v>9.0</v>
      </c>
      <c r="C32" s="115" t="str">
        <f>VLOOKUP(B32,companies!$A:$B,2,FALSE)</f>
        <v>Amazon.com Inc.</v>
      </c>
      <c r="D32" s="116"/>
      <c r="E32" s="117"/>
      <c r="F32" s="117" t="s">
        <v>603</v>
      </c>
      <c r="G32" s="118" t="s">
        <v>682</v>
      </c>
      <c r="H32" s="118" t="s">
        <v>683</v>
      </c>
      <c r="I32" s="118" t="s">
        <v>683</v>
      </c>
      <c r="J32" s="118" t="s">
        <v>598</v>
      </c>
      <c r="K32" s="119">
        <v>1.0</v>
      </c>
      <c r="L32" s="119">
        <v>1.0</v>
      </c>
      <c r="M32" s="119">
        <v>0.0</v>
      </c>
      <c r="N32" s="118" t="s">
        <v>597</v>
      </c>
      <c r="O32" s="118"/>
      <c r="P32" s="118"/>
      <c r="Q32" s="118">
        <v>2020.0</v>
      </c>
      <c r="R32" s="118"/>
    </row>
    <row r="33">
      <c r="A33" s="12">
        <f t="shared" si="1"/>
        <v>31</v>
      </c>
      <c r="B33" s="12">
        <v>18.0</v>
      </c>
      <c r="C33" s="13" t="str">
        <f>VLOOKUP(B33,companies!$A:$B,2,FALSE)</f>
        <v>Biogen Inc.</v>
      </c>
      <c r="D33" s="15">
        <v>44235.0</v>
      </c>
      <c r="E33" s="14">
        <v>22.0</v>
      </c>
      <c r="F33" s="14" t="s">
        <v>603</v>
      </c>
      <c r="G33" s="86" t="s">
        <v>582</v>
      </c>
      <c r="H33" s="87" t="s">
        <v>687</v>
      </c>
      <c r="I33" s="87" t="s">
        <v>683</v>
      </c>
      <c r="J33" s="87" t="s">
        <v>598</v>
      </c>
      <c r="K33" s="88">
        <v>1.0</v>
      </c>
      <c r="L33" s="88">
        <v>1.0</v>
      </c>
      <c r="M33" s="88">
        <v>0.0</v>
      </c>
      <c r="N33" s="88">
        <v>0.55</v>
      </c>
      <c r="O33" s="87">
        <v>2019.0</v>
      </c>
      <c r="P33" s="87">
        <v>2032.0</v>
      </c>
      <c r="Q33" s="87">
        <v>2019.0</v>
      </c>
      <c r="R33" s="87"/>
    </row>
    <row r="34">
      <c r="A34" s="12">
        <f t="shared" si="1"/>
        <v>32</v>
      </c>
      <c r="B34" s="12">
        <v>18.0</v>
      </c>
      <c r="C34" s="13" t="str">
        <f>VLOOKUP(B34,companies!$A:$B,2,FALSE)</f>
        <v>Biogen Inc.</v>
      </c>
      <c r="D34" s="15">
        <v>44235.0</v>
      </c>
      <c r="E34" s="14">
        <v>22.0</v>
      </c>
      <c r="F34" s="14" t="s">
        <v>603</v>
      </c>
      <c r="G34" s="86" t="s">
        <v>582</v>
      </c>
      <c r="H34" s="87" t="s">
        <v>687</v>
      </c>
      <c r="I34" s="87" t="s">
        <v>683</v>
      </c>
      <c r="J34" s="87" t="s">
        <v>598</v>
      </c>
      <c r="K34" s="88">
        <v>1.0</v>
      </c>
      <c r="L34" s="88">
        <v>1.0</v>
      </c>
      <c r="M34" s="88">
        <v>0.0</v>
      </c>
      <c r="N34" s="88">
        <v>1.0</v>
      </c>
      <c r="O34" s="87">
        <v>2019.0</v>
      </c>
      <c r="P34" s="87">
        <v>2040.0</v>
      </c>
      <c r="Q34" s="87">
        <v>2019.0</v>
      </c>
      <c r="R34" s="87"/>
    </row>
    <row r="35">
      <c r="A35" s="12">
        <f t="shared" si="1"/>
        <v>33</v>
      </c>
      <c r="B35" s="12">
        <v>18.0</v>
      </c>
      <c r="C35" s="13" t="str">
        <f>VLOOKUP(B35,companies!$A:$B,2,FALSE)</f>
        <v>Biogen Inc.</v>
      </c>
      <c r="D35" s="116"/>
      <c r="E35" s="117"/>
      <c r="F35" s="117" t="s">
        <v>603</v>
      </c>
      <c r="G35" s="118" t="s">
        <v>682</v>
      </c>
      <c r="H35" s="118" t="s">
        <v>683</v>
      </c>
      <c r="I35" s="118" t="s">
        <v>683</v>
      </c>
      <c r="J35" s="118" t="s">
        <v>598</v>
      </c>
      <c r="K35" s="119">
        <v>1.0</v>
      </c>
      <c r="L35" s="119">
        <v>1.0</v>
      </c>
      <c r="M35" s="119">
        <v>0.0</v>
      </c>
      <c r="N35" s="118" t="s">
        <v>597</v>
      </c>
      <c r="O35" s="118"/>
      <c r="P35" s="118"/>
      <c r="Q35" s="118">
        <v>2020.0</v>
      </c>
      <c r="R35" s="118"/>
    </row>
    <row r="36">
      <c r="A36" s="12">
        <f t="shared" si="1"/>
        <v>34</v>
      </c>
      <c r="B36" s="12">
        <v>18.0</v>
      </c>
      <c r="C36" s="13" t="str">
        <f>VLOOKUP(B36,companies!$A:$B,2,FALSE)</f>
        <v>Biogen Inc.</v>
      </c>
      <c r="D36" s="15">
        <v>44235.0</v>
      </c>
      <c r="E36" s="14">
        <v>23.0</v>
      </c>
      <c r="F36" s="14" t="s">
        <v>603</v>
      </c>
      <c r="G36" s="86" t="s">
        <v>682</v>
      </c>
      <c r="H36" s="87" t="s">
        <v>683</v>
      </c>
      <c r="I36" s="87" t="s">
        <v>683</v>
      </c>
      <c r="J36" s="87" t="s">
        <v>593</v>
      </c>
      <c r="K36" s="88">
        <v>1.0</v>
      </c>
      <c r="L36" s="88">
        <v>1.0</v>
      </c>
      <c r="M36" s="88">
        <v>1.0</v>
      </c>
      <c r="N36" s="88">
        <v>1.0</v>
      </c>
      <c r="O36" s="87">
        <v>2020.0</v>
      </c>
      <c r="P36" s="87">
        <v>2050.0</v>
      </c>
      <c r="Q36" s="87">
        <v>2020.0</v>
      </c>
      <c r="R36" s="87" t="s">
        <v>702</v>
      </c>
    </row>
    <row r="37">
      <c r="A37" s="12">
        <f t="shared" si="1"/>
        <v>35</v>
      </c>
      <c r="B37" s="12"/>
      <c r="C37" s="13"/>
      <c r="D37" s="15"/>
      <c r="E37" s="14"/>
      <c r="F37" s="14"/>
      <c r="G37" s="87"/>
      <c r="H37" s="87"/>
      <c r="I37" s="87"/>
      <c r="J37" s="87"/>
      <c r="K37" s="87"/>
      <c r="L37" s="87"/>
      <c r="M37" s="88"/>
      <c r="N37" s="88"/>
      <c r="O37" s="87"/>
      <c r="P37" s="87"/>
      <c r="Q37" s="87"/>
      <c r="R37" s="87"/>
    </row>
    <row r="38">
      <c r="A38" s="12">
        <f t="shared" si="1"/>
        <v>36</v>
      </c>
      <c r="B38" s="12"/>
      <c r="C38" s="13"/>
      <c r="D38" s="15"/>
      <c r="E38" s="14"/>
      <c r="F38" s="14"/>
      <c r="G38" s="87"/>
      <c r="H38" s="87"/>
      <c r="I38" s="87"/>
      <c r="J38" s="87"/>
      <c r="K38" s="87"/>
      <c r="L38" s="87"/>
      <c r="M38" s="88"/>
      <c r="N38" s="88"/>
      <c r="O38" s="87"/>
      <c r="P38" s="87"/>
      <c r="Q38" s="87"/>
      <c r="R38" s="87"/>
    </row>
    <row r="39">
      <c r="A39" s="12">
        <f t="shared" si="1"/>
        <v>37</v>
      </c>
      <c r="B39" s="12"/>
      <c r="C39" s="13"/>
      <c r="D39" s="15"/>
      <c r="E39" s="14"/>
      <c r="F39" s="14"/>
      <c r="G39" s="87"/>
      <c r="H39" s="87"/>
      <c r="I39" s="87"/>
      <c r="J39" s="87"/>
      <c r="K39" s="87"/>
      <c r="L39" s="87"/>
      <c r="M39" s="88"/>
      <c r="N39" s="88"/>
      <c r="O39" s="87"/>
      <c r="P39" s="87"/>
      <c r="Q39" s="87"/>
      <c r="R39" s="87"/>
    </row>
    <row r="40">
      <c r="A40" s="12">
        <f t="shared" si="1"/>
        <v>38</v>
      </c>
      <c r="B40" s="12"/>
      <c r="C40" s="13"/>
      <c r="D40" s="15"/>
      <c r="E40" s="14"/>
      <c r="F40" s="14"/>
      <c r="G40" s="87"/>
      <c r="H40" s="87"/>
      <c r="I40" s="87"/>
      <c r="J40" s="87"/>
      <c r="K40" s="87"/>
      <c r="L40" s="87"/>
      <c r="M40" s="88"/>
      <c r="N40" s="88"/>
      <c r="O40" s="87"/>
      <c r="P40" s="87"/>
      <c r="Q40" s="87"/>
      <c r="R40" s="87"/>
    </row>
    <row r="41">
      <c r="A41" s="12">
        <f t="shared" si="1"/>
        <v>39</v>
      </c>
      <c r="B41" s="12"/>
      <c r="C41" s="13"/>
      <c r="D41" s="15"/>
      <c r="E41" s="14"/>
      <c r="F41" s="14"/>
      <c r="G41" s="87"/>
      <c r="H41" s="87"/>
      <c r="I41" s="87"/>
      <c r="J41" s="87"/>
      <c r="K41" s="87"/>
      <c r="L41" s="87"/>
      <c r="M41" s="88"/>
      <c r="N41" s="88"/>
      <c r="O41" s="87"/>
      <c r="P41" s="87"/>
      <c r="Q41" s="87"/>
      <c r="R41" s="87"/>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5" t="s">
        <v>703</v>
      </c>
      <c r="B1" s="9" t="s">
        <v>2</v>
      </c>
      <c r="C1" s="10" t="s">
        <v>3</v>
      </c>
      <c r="D1" s="11" t="s">
        <v>533</v>
      </c>
      <c r="E1" s="120" t="s">
        <v>537</v>
      </c>
      <c r="F1" s="120" t="s">
        <v>704</v>
      </c>
      <c r="G1" s="120" t="s">
        <v>705</v>
      </c>
      <c r="H1" s="120" t="s">
        <v>706</v>
      </c>
      <c r="I1" s="121" t="s">
        <v>707</v>
      </c>
      <c r="J1" s="120" t="s">
        <v>708</v>
      </c>
      <c r="K1" s="121" t="s">
        <v>709</v>
      </c>
      <c r="L1" s="121" t="s">
        <v>710</v>
      </c>
      <c r="M1" s="121" t="s">
        <v>711</v>
      </c>
      <c r="N1" s="121" t="s">
        <v>712</v>
      </c>
      <c r="O1" s="121" t="s">
        <v>713</v>
      </c>
      <c r="P1" s="121" t="s">
        <v>714</v>
      </c>
      <c r="Q1" s="121" t="s">
        <v>715</v>
      </c>
      <c r="R1" s="121" t="s">
        <v>716</v>
      </c>
      <c r="S1" s="121" t="s">
        <v>717</v>
      </c>
      <c r="T1" s="121" t="s">
        <v>718</v>
      </c>
      <c r="U1" s="121" t="s">
        <v>719</v>
      </c>
      <c r="V1" s="121" t="s">
        <v>720</v>
      </c>
      <c r="W1" s="121" t="s">
        <v>721</v>
      </c>
      <c r="X1" s="121" t="s">
        <v>722</v>
      </c>
      <c r="Y1" s="121" t="s">
        <v>723</v>
      </c>
      <c r="Z1" s="121" t="s">
        <v>724</v>
      </c>
      <c r="AA1" s="122" t="s">
        <v>725</v>
      </c>
      <c r="AB1" s="122" t="s">
        <v>726</v>
      </c>
      <c r="AC1" s="122" t="s">
        <v>727</v>
      </c>
      <c r="AD1" s="123" t="s">
        <v>728</v>
      </c>
      <c r="AE1" s="121" t="s">
        <v>729</v>
      </c>
      <c r="AF1" s="124" t="s">
        <v>571</v>
      </c>
      <c r="AG1" s="124" t="s">
        <v>730</v>
      </c>
      <c r="AH1" s="124" t="s">
        <v>731</v>
      </c>
      <c r="AI1" s="124" t="s">
        <v>732</v>
      </c>
      <c r="AJ1" s="11" t="s">
        <v>733</v>
      </c>
      <c r="AK1" s="11" t="s">
        <v>680</v>
      </c>
      <c r="AL1" s="11" t="s">
        <v>681</v>
      </c>
      <c r="AN1" s="35"/>
      <c r="AO1" s="35"/>
      <c r="AP1" s="35"/>
      <c r="AQ1" s="35"/>
      <c r="AR1" s="35" t="s">
        <v>734</v>
      </c>
      <c r="AS1" s="35"/>
      <c r="AT1" s="35"/>
      <c r="AU1" s="35"/>
    </row>
    <row r="2">
      <c r="A2" s="12">
        <v>0.0</v>
      </c>
      <c r="B2" s="12">
        <v>66.0</v>
      </c>
      <c r="C2" s="13" t="str">
        <f>VLOOKUP(B2,companies!$A:$B,2,FALSE)</f>
        <v>Microsoft Corp.</v>
      </c>
      <c r="D2" s="14" t="s">
        <v>535</v>
      </c>
      <c r="E2" s="14">
        <v>2020.0</v>
      </c>
      <c r="F2" s="14">
        <v>118100.0</v>
      </c>
      <c r="G2" s="14">
        <v>4102445.0</v>
      </c>
      <c r="H2" s="14">
        <v>228194.0</v>
      </c>
      <c r="I2" s="14" t="s">
        <v>578</v>
      </c>
      <c r="J2" s="14"/>
      <c r="K2" s="14">
        <v>4050000.0</v>
      </c>
      <c r="L2" s="14">
        <v>2750000.0</v>
      </c>
      <c r="M2" s="14">
        <v>770000.0</v>
      </c>
      <c r="N2" s="14">
        <v>180000.0</v>
      </c>
      <c r="O2" s="14">
        <v>100000.0</v>
      </c>
      <c r="P2" s="14">
        <v>800.0</v>
      </c>
      <c r="Q2" s="14">
        <v>329356.0</v>
      </c>
      <c r="R2" s="14">
        <v>317000.0</v>
      </c>
      <c r="S2" s="125"/>
      <c r="T2" s="14">
        <v>44000.0</v>
      </c>
      <c r="U2" s="125"/>
      <c r="V2" s="14">
        <v>3025000.0</v>
      </c>
      <c r="W2" s="14">
        <v>17000.0</v>
      </c>
      <c r="X2" s="14">
        <v>4600.0</v>
      </c>
      <c r="Y2" s="125"/>
      <c r="Z2" s="125"/>
      <c r="AA2" s="126"/>
      <c r="AB2" s="126"/>
      <c r="AC2" s="126"/>
      <c r="AD2" s="126">
        <f t="shared" ref="AD2:AD16" si="1">SUM(N2:Z2,H2:L2,F2)</f>
        <v>11164050</v>
      </c>
      <c r="AE2" s="12">
        <v>612927.0</v>
      </c>
      <c r="AF2" s="127">
        <v>1.0</v>
      </c>
      <c r="AG2" s="127">
        <v>1.0</v>
      </c>
      <c r="AH2" s="127">
        <v>1.0</v>
      </c>
      <c r="AI2" s="127">
        <v>1.0</v>
      </c>
      <c r="AJ2" s="23"/>
      <c r="AK2" s="51" t="s">
        <v>735</v>
      </c>
      <c r="AL2" s="51" t="s">
        <v>682</v>
      </c>
      <c r="AR2" s="1" t="str">
        <f t="shared" ref="AR2:AR16" si="2">"id"&amp;B2&amp;"year"&amp;E2</f>
        <v>id66year2020</v>
      </c>
    </row>
    <row r="3" ht="27.0" customHeight="1">
      <c r="A3" s="12">
        <f t="shared" ref="A3:A78" si="3">A2+1</f>
        <v>1</v>
      </c>
      <c r="B3" s="12">
        <v>66.0</v>
      </c>
      <c r="C3" s="13" t="str">
        <f>VLOOKUP(B3,companies!$A:$B,2,FALSE)</f>
        <v>Microsoft Corp.</v>
      </c>
      <c r="D3" s="14" t="s">
        <v>535</v>
      </c>
      <c r="E3" s="14">
        <v>2019.0</v>
      </c>
      <c r="F3" s="14">
        <v>117956.0</v>
      </c>
      <c r="G3" s="14">
        <v>3357518.0</v>
      </c>
      <c r="H3" s="14">
        <v>275420.0</v>
      </c>
      <c r="I3" s="14" t="s">
        <v>578</v>
      </c>
      <c r="J3" s="14"/>
      <c r="K3" s="14">
        <v>4190000.0</v>
      </c>
      <c r="L3" s="14">
        <v>2180000.0</v>
      </c>
      <c r="M3" s="14">
        <v>650000.0</v>
      </c>
      <c r="N3" s="14">
        <v>170000.0</v>
      </c>
      <c r="O3" s="14">
        <v>100000.0</v>
      </c>
      <c r="P3" s="14">
        <v>1100.0</v>
      </c>
      <c r="Q3" s="14">
        <v>476457.0</v>
      </c>
      <c r="R3" s="14">
        <v>411000.0</v>
      </c>
      <c r="S3" s="125"/>
      <c r="T3" s="14">
        <v>57000.0</v>
      </c>
      <c r="U3" s="125"/>
      <c r="V3" s="14">
        <v>3753000.0</v>
      </c>
      <c r="W3" s="14">
        <v>18000.0</v>
      </c>
      <c r="X3" s="14">
        <v>800.0</v>
      </c>
      <c r="Y3" s="125"/>
      <c r="Z3" s="125"/>
      <c r="AA3" s="126"/>
      <c r="AB3" s="126"/>
      <c r="AC3" s="126"/>
      <c r="AD3" s="126">
        <f t="shared" si="1"/>
        <v>11750733</v>
      </c>
      <c r="AE3" s="12">
        <v>781344.0</v>
      </c>
      <c r="AF3" s="127">
        <v>1.0</v>
      </c>
      <c r="AG3" s="127">
        <v>1.0</v>
      </c>
      <c r="AH3" s="127">
        <v>1.0</v>
      </c>
      <c r="AI3" s="127">
        <v>1.0</v>
      </c>
      <c r="AJ3" s="127"/>
      <c r="AK3" s="127"/>
      <c r="AL3" s="127"/>
      <c r="AR3" s="1" t="str">
        <f t="shared" si="2"/>
        <v>id66year2019</v>
      </c>
    </row>
    <row r="4" ht="27.0" customHeight="1">
      <c r="A4" s="12">
        <f t="shared" si="3"/>
        <v>2</v>
      </c>
      <c r="B4" s="12">
        <v>66.0</v>
      </c>
      <c r="C4" s="13" t="str">
        <f>VLOOKUP(B4,companies!$A:$B,2,FALSE)</f>
        <v>Microsoft Corp.</v>
      </c>
      <c r="D4" s="14" t="s">
        <v>535</v>
      </c>
      <c r="E4" s="14">
        <v>2018.0</v>
      </c>
      <c r="F4" s="14">
        <v>99008.0</v>
      </c>
      <c r="G4" s="14">
        <v>2946043.0</v>
      </c>
      <c r="H4" s="14">
        <v>183329.0</v>
      </c>
      <c r="I4" s="14" t="s">
        <v>578</v>
      </c>
      <c r="J4" s="14"/>
      <c r="K4" s="14">
        <v>4120000.0</v>
      </c>
      <c r="L4" s="14">
        <v>2230000.0</v>
      </c>
      <c r="M4" s="14">
        <v>550000.0</v>
      </c>
      <c r="N4" s="14">
        <v>110000.0</v>
      </c>
      <c r="O4" s="14">
        <v>50000.0</v>
      </c>
      <c r="P4" s="14">
        <v>500.0</v>
      </c>
      <c r="Q4" s="14">
        <v>461787.0</v>
      </c>
      <c r="R4" s="14">
        <v>345000.0</v>
      </c>
      <c r="S4" s="125"/>
      <c r="T4" s="14">
        <v>98000.0</v>
      </c>
      <c r="U4" s="125"/>
      <c r="V4" s="14">
        <v>4230000.0</v>
      </c>
      <c r="W4" s="14">
        <v>18000.0</v>
      </c>
      <c r="X4" s="14">
        <v>1700.0</v>
      </c>
      <c r="Y4" s="125"/>
      <c r="Z4" s="125"/>
      <c r="AA4" s="126"/>
      <c r="AB4" s="126"/>
      <c r="AC4" s="126"/>
      <c r="AD4" s="126">
        <f t="shared" si="1"/>
        <v>11947324</v>
      </c>
      <c r="AE4" s="126"/>
      <c r="AF4" s="127">
        <v>1.0</v>
      </c>
      <c r="AG4" s="127">
        <v>1.0</v>
      </c>
      <c r="AH4" s="127">
        <v>1.0</v>
      </c>
      <c r="AI4" s="127">
        <v>1.0</v>
      </c>
      <c r="AJ4" s="127"/>
      <c r="AK4" s="127"/>
      <c r="AL4" s="127"/>
      <c r="AR4" s="1" t="str">
        <f t="shared" si="2"/>
        <v>id66year2018</v>
      </c>
    </row>
    <row r="5">
      <c r="A5" s="12">
        <f t="shared" si="3"/>
        <v>3</v>
      </c>
      <c r="B5" s="12">
        <v>1.0</v>
      </c>
      <c r="C5" s="13" t="str">
        <f>VLOOKUP(B5,companies!$A:$B,2,FALSE)</f>
        <v>3M</v>
      </c>
      <c r="D5" s="14" t="s">
        <v>535</v>
      </c>
      <c r="E5" s="14">
        <v>2020.0</v>
      </c>
      <c r="F5" s="14">
        <v>3600000.0</v>
      </c>
      <c r="G5" s="14">
        <v>1680000.0</v>
      </c>
      <c r="H5" s="14">
        <v>1250000.0</v>
      </c>
      <c r="I5" s="14" t="s">
        <v>578</v>
      </c>
      <c r="J5" s="14"/>
      <c r="K5" s="128">
        <v>6270000.0</v>
      </c>
      <c r="L5" s="14">
        <v>459000.0</v>
      </c>
      <c r="N5" s="14">
        <v>556000.0</v>
      </c>
      <c r="O5" s="14">
        <v>1080000.0</v>
      </c>
      <c r="P5" s="14">
        <v>138000.0</v>
      </c>
      <c r="Q5" s="14">
        <v>13000.0</v>
      </c>
      <c r="R5" s="14">
        <v>324000.0</v>
      </c>
      <c r="S5" s="14">
        <v>0.0</v>
      </c>
      <c r="T5" s="14">
        <v>438000.0</v>
      </c>
      <c r="U5" s="14" t="s">
        <v>536</v>
      </c>
      <c r="V5" s="14" t="s">
        <v>536</v>
      </c>
      <c r="W5" s="14" t="s">
        <v>536</v>
      </c>
      <c r="X5" s="14">
        <v>1000.0</v>
      </c>
      <c r="Y5" s="14">
        <v>0.0</v>
      </c>
      <c r="Z5" s="14">
        <v>0.0</v>
      </c>
      <c r="AA5" s="14"/>
      <c r="AB5" s="14"/>
      <c r="AC5" s="14"/>
      <c r="AD5" s="126">
        <f t="shared" si="1"/>
        <v>14129000</v>
      </c>
      <c r="AE5" s="12">
        <v>0.0</v>
      </c>
      <c r="AF5" s="127">
        <v>1.0</v>
      </c>
      <c r="AG5" s="127">
        <v>1.0</v>
      </c>
      <c r="AH5" s="127">
        <v>1.0</v>
      </c>
      <c r="AI5" s="127">
        <v>1.0</v>
      </c>
      <c r="AJ5" s="23" t="s">
        <v>736</v>
      </c>
      <c r="AK5" s="23" t="s">
        <v>737</v>
      </c>
      <c r="AL5" s="23" t="s">
        <v>682</v>
      </c>
      <c r="AR5" s="1" t="str">
        <f t="shared" si="2"/>
        <v>id1year2020</v>
      </c>
    </row>
    <row r="6">
      <c r="A6" s="12">
        <f t="shared" si="3"/>
        <v>4</v>
      </c>
      <c r="B6" s="12">
        <v>1.0</v>
      </c>
      <c r="C6" s="13" t="str">
        <f>VLOOKUP(B6,companies!$A:$B,2,FALSE)</f>
        <v>3M</v>
      </c>
      <c r="D6" s="14" t="s">
        <v>535</v>
      </c>
      <c r="E6" s="14">
        <v>2019.0</v>
      </c>
      <c r="F6" s="14">
        <v>4050000.0</v>
      </c>
      <c r="G6" s="14">
        <v>1780000.0</v>
      </c>
      <c r="H6" s="14">
        <v>1320000.0</v>
      </c>
      <c r="I6" s="14" t="s">
        <v>578</v>
      </c>
      <c r="J6" s="14"/>
      <c r="K6" s="14">
        <v>6140000.0</v>
      </c>
      <c r="L6" s="14">
        <v>556000.0</v>
      </c>
      <c r="M6" s="129"/>
      <c r="N6" s="14">
        <v>578000.0</v>
      </c>
      <c r="O6" s="14">
        <v>1070000.0</v>
      </c>
      <c r="P6" s="14">
        <v>192000.0</v>
      </c>
      <c r="Q6" s="14">
        <v>52800.0</v>
      </c>
      <c r="R6" s="14">
        <v>336000.0</v>
      </c>
      <c r="S6" s="14">
        <v>0.0</v>
      </c>
      <c r="T6" s="14" t="s">
        <v>536</v>
      </c>
      <c r="U6" s="14" t="s">
        <v>536</v>
      </c>
      <c r="V6" s="14" t="s">
        <v>536</v>
      </c>
      <c r="W6" s="14" t="s">
        <v>536</v>
      </c>
      <c r="X6" s="14">
        <v>1000.0</v>
      </c>
      <c r="Y6" s="14">
        <v>0.0</v>
      </c>
      <c r="Z6" s="14">
        <v>0.0</v>
      </c>
      <c r="AA6" s="130"/>
      <c r="AB6" s="130"/>
      <c r="AC6" s="130"/>
      <c r="AD6" s="126">
        <f t="shared" si="1"/>
        <v>14295800</v>
      </c>
      <c r="AE6" s="12">
        <v>0.0</v>
      </c>
      <c r="AF6" s="127">
        <v>1.0</v>
      </c>
      <c r="AG6" s="127">
        <v>1.0</v>
      </c>
      <c r="AH6" s="127">
        <v>1.0</v>
      </c>
      <c r="AI6" s="127">
        <v>1.0</v>
      </c>
      <c r="AJ6" s="23" t="s">
        <v>738</v>
      </c>
      <c r="AK6" s="127"/>
      <c r="AL6" s="127"/>
      <c r="AR6" s="1" t="str">
        <f t="shared" si="2"/>
        <v>id1year2019</v>
      </c>
    </row>
    <row r="7">
      <c r="A7" s="12">
        <f t="shared" si="3"/>
        <v>5</v>
      </c>
      <c r="B7" s="12">
        <v>1.0</v>
      </c>
      <c r="C7" s="13" t="str">
        <f>VLOOKUP(B7,companies!$A:$B,2,FALSE)</f>
        <v>3M</v>
      </c>
      <c r="D7" s="14" t="s">
        <v>535</v>
      </c>
      <c r="E7" s="14">
        <v>2018.0</v>
      </c>
      <c r="F7" s="14">
        <v>4790000.0</v>
      </c>
      <c r="G7" s="131">
        <v>1860000.0</v>
      </c>
      <c r="H7" s="14">
        <v>1480000.0</v>
      </c>
      <c r="I7" s="14" t="s">
        <v>578</v>
      </c>
      <c r="J7" s="14"/>
      <c r="K7" s="14">
        <v>6840000.0</v>
      </c>
      <c r="L7" s="14">
        <v>369000.0</v>
      </c>
      <c r="M7" s="129"/>
      <c r="N7" s="14">
        <v>596000.0</v>
      </c>
      <c r="O7" s="14">
        <v>1170000.0</v>
      </c>
      <c r="P7" s="14">
        <v>171000.0</v>
      </c>
      <c r="Q7" s="14">
        <v>61600.0</v>
      </c>
      <c r="R7" s="14">
        <v>327000.0</v>
      </c>
      <c r="S7" s="14">
        <v>0.0</v>
      </c>
      <c r="T7" s="14" t="s">
        <v>536</v>
      </c>
      <c r="U7" s="14" t="s">
        <v>536</v>
      </c>
      <c r="V7" s="14" t="s">
        <v>536</v>
      </c>
      <c r="W7" s="14" t="s">
        <v>536</v>
      </c>
      <c r="X7" s="14">
        <v>1000.0</v>
      </c>
      <c r="Y7" s="14">
        <v>0.0</v>
      </c>
      <c r="Z7" s="14">
        <v>0.0</v>
      </c>
      <c r="AA7" s="130"/>
      <c r="AB7" s="130"/>
      <c r="AC7" s="130"/>
      <c r="AD7" s="126">
        <f t="shared" si="1"/>
        <v>15805600</v>
      </c>
      <c r="AE7" s="12">
        <v>0.0</v>
      </c>
      <c r="AF7" s="127">
        <v>1.0</v>
      </c>
      <c r="AG7" s="127">
        <v>1.0</v>
      </c>
      <c r="AH7" s="127">
        <v>1.0</v>
      </c>
      <c r="AI7" s="127">
        <v>1.0</v>
      </c>
      <c r="AJ7" s="23" t="s">
        <v>738</v>
      </c>
      <c r="AK7" s="51"/>
      <c r="AL7" s="51"/>
      <c r="AR7" s="1" t="str">
        <f t="shared" si="2"/>
        <v>id1year2018</v>
      </c>
    </row>
    <row r="8">
      <c r="A8" s="12">
        <f t="shared" si="3"/>
        <v>6</v>
      </c>
      <c r="B8" s="12">
        <v>2.0</v>
      </c>
      <c r="C8" s="13" t="str">
        <f>VLOOKUP(B8,companies!$A:$B,2,FALSE)</f>
        <v>Abbott Laboratories</v>
      </c>
      <c r="D8" s="14" t="s">
        <v>535</v>
      </c>
      <c r="E8" s="14">
        <v>2020.0</v>
      </c>
      <c r="F8" s="14">
        <v>500000.0</v>
      </c>
      <c r="G8" s="131">
        <v>480000.0</v>
      </c>
      <c r="H8" s="14">
        <v>406000.0</v>
      </c>
      <c r="I8" s="14" t="s">
        <v>578</v>
      </c>
      <c r="J8" s="14"/>
      <c r="K8" s="14"/>
      <c r="L8" s="14"/>
      <c r="M8" s="129"/>
      <c r="N8" s="14"/>
      <c r="O8" s="14"/>
      <c r="P8" s="14"/>
      <c r="Q8" s="14"/>
      <c r="R8" s="14"/>
      <c r="S8" s="14"/>
      <c r="T8" s="14"/>
      <c r="U8" s="14"/>
      <c r="V8" s="14"/>
      <c r="W8" s="14"/>
      <c r="X8" s="14"/>
      <c r="Y8" s="14"/>
      <c r="Z8" s="14"/>
      <c r="AA8" s="130"/>
      <c r="AB8" s="130"/>
      <c r="AC8" s="130"/>
      <c r="AD8" s="126">
        <f t="shared" si="1"/>
        <v>906000</v>
      </c>
      <c r="AE8" s="12"/>
      <c r="AF8" s="132"/>
      <c r="AG8" s="132"/>
      <c r="AH8" s="132"/>
      <c r="AI8" s="132"/>
      <c r="AJ8" s="23"/>
      <c r="AK8" s="51"/>
      <c r="AL8" s="51"/>
      <c r="AR8" s="1" t="str">
        <f t="shared" si="2"/>
        <v>id2year2020</v>
      </c>
    </row>
    <row r="9">
      <c r="A9" s="12">
        <f t="shared" si="3"/>
        <v>7</v>
      </c>
      <c r="B9" s="12">
        <v>2.0</v>
      </c>
      <c r="C9" s="13" t="str">
        <f>VLOOKUP(B9,companies!$A:$B,2,FALSE)</f>
        <v>Abbott Laboratories</v>
      </c>
      <c r="D9" s="14" t="s">
        <v>535</v>
      </c>
      <c r="E9" s="14">
        <v>2019.0</v>
      </c>
      <c r="F9" s="14">
        <v>543000.0</v>
      </c>
      <c r="G9" s="131">
        <v>498000.0</v>
      </c>
      <c r="H9" s="14">
        <v>419000.0</v>
      </c>
      <c r="I9" s="14" t="s">
        <v>578</v>
      </c>
      <c r="J9" s="14"/>
      <c r="K9" s="14"/>
      <c r="L9" s="14"/>
      <c r="M9" s="129"/>
      <c r="N9" s="14"/>
      <c r="O9" s="14"/>
      <c r="P9" s="14"/>
      <c r="Q9" s="14"/>
      <c r="R9" s="14"/>
      <c r="S9" s="14"/>
      <c r="T9" s="14"/>
      <c r="U9" s="14"/>
      <c r="V9" s="14"/>
      <c r="W9" s="14"/>
      <c r="X9" s="14"/>
      <c r="Y9" s="14"/>
      <c r="Z9" s="14"/>
      <c r="AA9" s="130"/>
      <c r="AB9" s="130"/>
      <c r="AC9" s="130"/>
      <c r="AD9" s="126">
        <f t="shared" si="1"/>
        <v>962000</v>
      </c>
      <c r="AE9" s="12"/>
      <c r="AF9" s="132"/>
      <c r="AG9" s="132"/>
      <c r="AH9" s="132"/>
      <c r="AI9" s="132"/>
      <c r="AJ9" s="23"/>
      <c r="AK9" s="23" t="s">
        <v>739</v>
      </c>
      <c r="AL9" s="23" t="s">
        <v>682</v>
      </c>
      <c r="AR9" s="1" t="str">
        <f t="shared" si="2"/>
        <v>id2year2019</v>
      </c>
    </row>
    <row r="10">
      <c r="A10" s="12">
        <f t="shared" si="3"/>
        <v>8</v>
      </c>
      <c r="B10" s="12">
        <v>2.0</v>
      </c>
      <c r="C10" s="13" t="str">
        <f>VLOOKUP(B10,companies!$A:$B,2,FALSE)</f>
        <v>Abbott Laboratories</v>
      </c>
      <c r="D10" s="14" t="s">
        <v>535</v>
      </c>
      <c r="E10" s="14">
        <v>2018.0</v>
      </c>
      <c r="F10" s="14">
        <v>539000.0</v>
      </c>
      <c r="G10" s="131">
        <v>517000.0</v>
      </c>
      <c r="H10" s="14">
        <v>441000.0</v>
      </c>
      <c r="I10" s="14" t="s">
        <v>578</v>
      </c>
      <c r="J10" s="14"/>
      <c r="K10" s="14"/>
      <c r="L10" s="14"/>
      <c r="M10" s="129"/>
      <c r="N10" s="14"/>
      <c r="O10" s="14"/>
      <c r="P10" s="14"/>
      <c r="Q10" s="14"/>
      <c r="R10" s="14"/>
      <c r="S10" s="14"/>
      <c r="T10" s="14"/>
      <c r="U10" s="14"/>
      <c r="V10" s="14"/>
      <c r="W10" s="14"/>
      <c r="X10" s="14"/>
      <c r="Y10" s="14"/>
      <c r="Z10" s="14"/>
      <c r="AA10" s="130"/>
      <c r="AB10" s="130"/>
      <c r="AC10" s="130"/>
      <c r="AD10" s="126">
        <f t="shared" si="1"/>
        <v>980000</v>
      </c>
      <c r="AE10" s="12"/>
      <c r="AF10" s="132"/>
      <c r="AG10" s="132"/>
      <c r="AH10" s="132"/>
      <c r="AI10" s="132"/>
      <c r="AJ10" s="23"/>
      <c r="AK10" s="23" t="s">
        <v>740</v>
      </c>
      <c r="AL10" s="23"/>
      <c r="AR10" s="1" t="str">
        <f t="shared" si="2"/>
        <v>id2year2018</v>
      </c>
    </row>
    <row r="11">
      <c r="A11" s="12">
        <f t="shared" si="3"/>
        <v>9</v>
      </c>
      <c r="B11" s="12">
        <v>2.0</v>
      </c>
      <c r="C11" s="13" t="str">
        <f>VLOOKUP(B11,companies!$A:$B,2,FALSE)</f>
        <v>Abbott Laboratories</v>
      </c>
      <c r="D11" s="14" t="s">
        <v>535</v>
      </c>
      <c r="E11" s="14">
        <v>2017.0</v>
      </c>
      <c r="F11" s="14">
        <v>540000.0</v>
      </c>
      <c r="G11" s="131">
        <v>527000.0</v>
      </c>
      <c r="H11" s="14">
        <v>478000.0</v>
      </c>
      <c r="I11" s="14" t="s">
        <v>578</v>
      </c>
      <c r="J11" s="14"/>
      <c r="K11" s="14"/>
      <c r="L11" s="14"/>
      <c r="M11" s="129"/>
      <c r="N11" s="14"/>
      <c r="O11" s="14"/>
      <c r="P11" s="14"/>
      <c r="Q11" s="14"/>
      <c r="R11" s="14"/>
      <c r="S11" s="14"/>
      <c r="T11" s="14"/>
      <c r="U11" s="14"/>
      <c r="V11" s="14"/>
      <c r="W11" s="14"/>
      <c r="X11" s="14"/>
      <c r="Y11" s="14"/>
      <c r="Z11" s="14"/>
      <c r="AA11" s="130"/>
      <c r="AB11" s="130"/>
      <c r="AC11" s="130"/>
      <c r="AD11" s="126">
        <f t="shared" si="1"/>
        <v>1018000</v>
      </c>
      <c r="AE11" s="12"/>
      <c r="AF11" s="132"/>
      <c r="AG11" s="132"/>
      <c r="AH11" s="132"/>
      <c r="AI11" s="132"/>
      <c r="AJ11" s="23"/>
      <c r="AK11" s="23"/>
      <c r="AL11" s="51"/>
      <c r="AR11" s="1" t="str">
        <f t="shared" si="2"/>
        <v>id2year2017</v>
      </c>
    </row>
    <row r="12">
      <c r="A12" s="12">
        <f t="shared" si="3"/>
        <v>10</v>
      </c>
      <c r="B12" s="12">
        <v>3.0</v>
      </c>
      <c r="C12" s="13" t="str">
        <f>VLOOKUP(B12,companies!$A:$B,2,FALSE)</f>
        <v>AbbVie Inc.</v>
      </c>
      <c r="D12" s="14" t="s">
        <v>535</v>
      </c>
      <c r="E12" s="14">
        <v>2020.0</v>
      </c>
      <c r="F12" s="14">
        <v>265000.0</v>
      </c>
      <c r="G12" s="131">
        <v>313000.0</v>
      </c>
      <c r="H12" s="14">
        <v>243000.0</v>
      </c>
      <c r="I12" s="14" t="s">
        <v>578</v>
      </c>
      <c r="J12" s="14"/>
      <c r="K12" s="14"/>
      <c r="L12" s="14"/>
      <c r="M12" s="129"/>
      <c r="N12" s="14"/>
      <c r="O12" s="14"/>
      <c r="P12" s="14"/>
      <c r="Q12" s="14"/>
      <c r="R12" s="14"/>
      <c r="S12" s="14"/>
      <c r="T12" s="14"/>
      <c r="U12" s="14"/>
      <c r="V12" s="14"/>
      <c r="W12" s="14"/>
      <c r="X12" s="14"/>
      <c r="Y12" s="14"/>
      <c r="Z12" s="14"/>
      <c r="AA12" s="130"/>
      <c r="AB12" s="130"/>
      <c r="AC12" s="130"/>
      <c r="AD12" s="126">
        <f t="shared" si="1"/>
        <v>508000</v>
      </c>
      <c r="AE12" s="12"/>
      <c r="AF12" s="132"/>
      <c r="AG12" s="132"/>
      <c r="AH12" s="132"/>
      <c r="AI12" s="132"/>
      <c r="AJ12" s="23"/>
      <c r="AK12" s="23" t="s">
        <v>741</v>
      </c>
      <c r="AL12" s="51"/>
      <c r="AR12" s="1" t="str">
        <f t="shared" si="2"/>
        <v>id3year2020</v>
      </c>
    </row>
    <row r="13">
      <c r="A13" s="12">
        <f t="shared" si="3"/>
        <v>11</v>
      </c>
      <c r="B13" s="12">
        <v>3.0</v>
      </c>
      <c r="C13" s="13" t="str">
        <f>VLOOKUP(B13,companies!$A:$B,2,FALSE)</f>
        <v>AbbVie Inc.</v>
      </c>
      <c r="D13" s="14" t="s">
        <v>535</v>
      </c>
      <c r="E13" s="14">
        <v>2019.0</v>
      </c>
      <c r="F13" s="14">
        <v>315000.0</v>
      </c>
      <c r="G13" s="131">
        <v>308000.0</v>
      </c>
      <c r="H13" s="14">
        <v>250000.0</v>
      </c>
      <c r="I13" s="14" t="s">
        <v>578</v>
      </c>
      <c r="J13" s="14"/>
      <c r="K13" s="14"/>
      <c r="L13" s="14"/>
      <c r="M13" s="129"/>
      <c r="N13" s="14"/>
      <c r="O13" s="14"/>
      <c r="P13" s="14"/>
      <c r="Q13" s="14"/>
      <c r="R13" s="14"/>
      <c r="S13" s="14"/>
      <c r="T13" s="14"/>
      <c r="U13" s="14"/>
      <c r="V13" s="14"/>
      <c r="W13" s="14"/>
      <c r="X13" s="14"/>
      <c r="Y13" s="14"/>
      <c r="Z13" s="14"/>
      <c r="AA13" s="130"/>
      <c r="AB13" s="130"/>
      <c r="AC13" s="130"/>
      <c r="AD13" s="126">
        <f t="shared" si="1"/>
        <v>565000</v>
      </c>
      <c r="AE13" s="12"/>
      <c r="AF13" s="132"/>
      <c r="AG13" s="132"/>
      <c r="AH13" s="132"/>
      <c r="AI13" s="132"/>
      <c r="AJ13" s="23"/>
      <c r="AK13" s="23" t="s">
        <v>742</v>
      </c>
      <c r="AL13" s="51"/>
      <c r="AR13" s="1" t="str">
        <f t="shared" si="2"/>
        <v>id3year2019</v>
      </c>
    </row>
    <row r="14">
      <c r="A14" s="12">
        <f t="shared" si="3"/>
        <v>12</v>
      </c>
      <c r="B14" s="12">
        <v>3.0</v>
      </c>
      <c r="C14" s="13" t="str">
        <f>VLOOKUP(B14,companies!$A:$B,2,FALSE)</f>
        <v>AbbVie Inc.</v>
      </c>
      <c r="D14" s="14" t="s">
        <v>535</v>
      </c>
      <c r="E14" s="14">
        <v>2018.0</v>
      </c>
      <c r="F14" s="14">
        <v>314000.0</v>
      </c>
      <c r="G14" s="131"/>
      <c r="H14" s="14">
        <v>271000.0</v>
      </c>
      <c r="I14" s="14" t="s">
        <v>578</v>
      </c>
      <c r="J14" s="14"/>
      <c r="K14" s="14"/>
      <c r="L14" s="14"/>
      <c r="M14" s="129"/>
      <c r="N14" s="14"/>
      <c r="O14" s="14"/>
      <c r="P14" s="14"/>
      <c r="Q14" s="14"/>
      <c r="R14" s="14"/>
      <c r="S14" s="14"/>
      <c r="T14" s="14"/>
      <c r="U14" s="14"/>
      <c r="V14" s="14"/>
      <c r="W14" s="14"/>
      <c r="X14" s="14"/>
      <c r="Y14" s="14"/>
      <c r="Z14" s="14"/>
      <c r="AA14" s="130"/>
      <c r="AB14" s="130"/>
      <c r="AC14" s="130"/>
      <c r="AD14" s="126">
        <f t="shared" si="1"/>
        <v>585000</v>
      </c>
      <c r="AE14" s="12"/>
      <c r="AF14" s="132"/>
      <c r="AG14" s="132"/>
      <c r="AH14" s="132"/>
      <c r="AI14" s="132"/>
      <c r="AJ14" s="23"/>
      <c r="AK14" s="23" t="s">
        <v>742</v>
      </c>
      <c r="AL14" s="51"/>
      <c r="AR14" s="1" t="str">
        <f t="shared" si="2"/>
        <v>id3year2018</v>
      </c>
    </row>
    <row r="15">
      <c r="A15" s="12">
        <f t="shared" si="3"/>
        <v>13</v>
      </c>
      <c r="B15" s="12">
        <v>3.0</v>
      </c>
      <c r="C15" s="13" t="str">
        <f>VLOOKUP(B15,companies!$A:$B,2,FALSE)</f>
        <v>AbbVie Inc.</v>
      </c>
      <c r="D15" s="14" t="s">
        <v>535</v>
      </c>
      <c r="E15" s="14">
        <v>2017.0</v>
      </c>
      <c r="F15" s="14">
        <v>299000.0</v>
      </c>
      <c r="G15" s="131"/>
      <c r="H15" s="14">
        <v>284000.0</v>
      </c>
      <c r="I15" s="14" t="s">
        <v>578</v>
      </c>
      <c r="J15" s="14"/>
      <c r="K15" s="14"/>
      <c r="L15" s="14"/>
      <c r="M15" s="129"/>
      <c r="N15" s="14"/>
      <c r="O15" s="14"/>
      <c r="P15" s="14"/>
      <c r="Q15" s="14"/>
      <c r="R15" s="14"/>
      <c r="S15" s="14"/>
      <c r="T15" s="14"/>
      <c r="U15" s="14"/>
      <c r="V15" s="14"/>
      <c r="W15" s="14"/>
      <c r="X15" s="14"/>
      <c r="Y15" s="14"/>
      <c r="Z15" s="14"/>
      <c r="AA15" s="130"/>
      <c r="AB15" s="130"/>
      <c r="AC15" s="130"/>
      <c r="AD15" s="126">
        <f t="shared" si="1"/>
        <v>583000</v>
      </c>
      <c r="AE15" s="12"/>
      <c r="AF15" s="132"/>
      <c r="AG15" s="132"/>
      <c r="AH15" s="132"/>
      <c r="AI15" s="132"/>
      <c r="AJ15" s="23"/>
      <c r="AK15" s="23" t="s">
        <v>742</v>
      </c>
      <c r="AL15" s="51"/>
      <c r="AR15" s="1" t="str">
        <f t="shared" si="2"/>
        <v>id3year2017</v>
      </c>
    </row>
    <row r="16">
      <c r="A16" s="12">
        <f t="shared" si="3"/>
        <v>14</v>
      </c>
      <c r="B16" s="12">
        <v>3.0</v>
      </c>
      <c r="C16" s="13" t="str">
        <f>VLOOKUP(B16,companies!$A:$B,2,FALSE)</f>
        <v>AbbVie Inc.</v>
      </c>
      <c r="D16" s="14" t="s">
        <v>535</v>
      </c>
      <c r="E16" s="14">
        <v>2016.0</v>
      </c>
      <c r="F16" s="14">
        <v>305000.0</v>
      </c>
      <c r="G16" s="131"/>
      <c r="H16" s="14">
        <v>305000.0</v>
      </c>
      <c r="I16" s="14" t="s">
        <v>578</v>
      </c>
      <c r="J16" s="14"/>
      <c r="K16" s="14"/>
      <c r="L16" s="14"/>
      <c r="M16" s="129"/>
      <c r="N16" s="14"/>
      <c r="O16" s="14"/>
      <c r="P16" s="14"/>
      <c r="Q16" s="14"/>
      <c r="R16" s="14"/>
      <c r="S16" s="14"/>
      <c r="T16" s="14"/>
      <c r="U16" s="14"/>
      <c r="V16" s="14"/>
      <c r="W16" s="14"/>
      <c r="X16" s="14"/>
      <c r="Y16" s="14"/>
      <c r="Z16" s="14"/>
      <c r="AA16" s="130"/>
      <c r="AB16" s="130"/>
      <c r="AC16" s="130"/>
      <c r="AD16" s="126">
        <f t="shared" si="1"/>
        <v>610000</v>
      </c>
      <c r="AE16" s="12"/>
      <c r="AF16" s="132"/>
      <c r="AG16" s="132"/>
      <c r="AH16" s="132"/>
      <c r="AI16" s="132"/>
      <c r="AJ16" s="23"/>
      <c r="AK16" s="23" t="s">
        <v>742</v>
      </c>
      <c r="AR16" s="1" t="str">
        <f t="shared" si="2"/>
        <v>id3year2016</v>
      </c>
    </row>
    <row r="17">
      <c r="A17" s="133">
        <f t="shared" si="3"/>
        <v>15</v>
      </c>
      <c r="B17" s="133">
        <v>3.0</v>
      </c>
      <c r="C17" s="134" t="str">
        <f>VLOOKUP(B17,companies!$A:$B,2,FALSE)</f>
        <v>AbbVie Inc.</v>
      </c>
      <c r="D17" s="135"/>
      <c r="E17" s="135">
        <v>2015.0</v>
      </c>
      <c r="F17" s="135">
        <f>F16</f>
        <v>305000</v>
      </c>
      <c r="G17" s="135"/>
      <c r="H17" s="135">
        <f>H16</f>
        <v>305000</v>
      </c>
      <c r="I17" s="135"/>
      <c r="J17" s="135"/>
      <c r="K17" s="135"/>
      <c r="L17" s="135"/>
      <c r="M17" s="136"/>
      <c r="N17" s="135"/>
      <c r="O17" s="135"/>
      <c r="P17" s="135"/>
      <c r="Q17" s="135"/>
      <c r="R17" s="135"/>
      <c r="S17" s="135"/>
      <c r="T17" s="135"/>
      <c r="U17" s="135"/>
      <c r="V17" s="135"/>
      <c r="W17" s="135"/>
      <c r="X17" s="135"/>
      <c r="Y17" s="135"/>
      <c r="Z17" s="135"/>
      <c r="AA17" s="137"/>
      <c r="AB17" s="137"/>
      <c r="AC17" s="133"/>
      <c r="AD17" s="135"/>
      <c r="AE17" s="133"/>
      <c r="AF17" s="132"/>
      <c r="AG17" s="132"/>
      <c r="AH17" s="132"/>
      <c r="AI17" s="132"/>
      <c r="AJ17" s="138"/>
      <c r="AK17" s="138"/>
      <c r="AL17" s="139"/>
    </row>
    <row r="18">
      <c r="A18" s="12">
        <f t="shared" si="3"/>
        <v>16</v>
      </c>
      <c r="B18" s="12">
        <v>4.0</v>
      </c>
      <c r="C18" s="13" t="str">
        <f>VLOOKUP(B18,companies!$A:$B,2,FALSE)</f>
        <v>Accenture</v>
      </c>
      <c r="D18" s="14" t="s">
        <v>535</v>
      </c>
      <c r="E18" s="14">
        <v>2020.0</v>
      </c>
      <c r="F18" s="14">
        <v>13945.0</v>
      </c>
      <c r="G18" s="131">
        <v>228373.0</v>
      </c>
      <c r="H18" s="14">
        <v>162983.0</v>
      </c>
      <c r="I18" s="14" t="s">
        <v>578</v>
      </c>
      <c r="J18" s="14">
        <v>677994.0</v>
      </c>
      <c r="K18" s="14"/>
      <c r="L18" s="14"/>
      <c r="M18" s="129"/>
      <c r="N18" s="14"/>
      <c r="O18" s="14"/>
      <c r="P18" s="14"/>
      <c r="Q18" s="14"/>
      <c r="R18" s="14"/>
      <c r="S18" s="14"/>
      <c r="T18" s="14"/>
      <c r="U18" s="14"/>
      <c r="V18" s="14"/>
      <c r="W18" s="14"/>
      <c r="X18" s="14"/>
      <c r="Y18" s="14"/>
      <c r="Z18" s="14"/>
      <c r="AA18" s="130"/>
      <c r="AB18" s="130"/>
      <c r="AC18" s="12"/>
      <c r="AD18" s="126">
        <f>SUM(N18:Z18,H18:L18,F18)</f>
        <v>854922</v>
      </c>
      <c r="AE18" s="12"/>
      <c r="AF18" s="127">
        <v>1.0</v>
      </c>
      <c r="AG18" s="127">
        <v>1.0</v>
      </c>
      <c r="AH18" s="127">
        <v>1.0</v>
      </c>
      <c r="AI18" s="127">
        <v>0.2</v>
      </c>
      <c r="AJ18" s="23"/>
      <c r="AK18" s="23" t="s">
        <v>743</v>
      </c>
      <c r="AL18" s="35" t="s">
        <v>682</v>
      </c>
      <c r="AR18" s="1" t="str">
        <f t="shared" ref="AR18:AR20" si="4">"id"&amp;B18&amp;"year"&amp;E18</f>
        <v>id4year2020</v>
      </c>
    </row>
    <row r="19">
      <c r="A19" s="12">
        <f t="shared" si="3"/>
        <v>17</v>
      </c>
      <c r="B19" s="12">
        <v>4.0</v>
      </c>
      <c r="C19" s="13" t="str">
        <f>VLOOKUP(B19,companies!$A:$B,2,FALSE)</f>
        <v>Accenture</v>
      </c>
      <c r="D19" s="14" t="s">
        <v>535</v>
      </c>
      <c r="E19" s="14">
        <v>2019.0</v>
      </c>
      <c r="F19" s="14">
        <v>18923.0</v>
      </c>
      <c r="G19" s="131"/>
      <c r="H19" s="14">
        <v>214680.0</v>
      </c>
      <c r="I19" s="14" t="s">
        <v>578</v>
      </c>
      <c r="J19" s="14">
        <v>932653.0</v>
      </c>
      <c r="K19" s="14"/>
      <c r="L19" s="14"/>
      <c r="M19" s="129"/>
      <c r="N19" s="14"/>
      <c r="O19" s="14"/>
      <c r="P19" s="14"/>
      <c r="Q19" s="14"/>
      <c r="R19" s="14"/>
      <c r="S19" s="14"/>
      <c r="T19" s="14"/>
      <c r="U19" s="14"/>
      <c r="V19" s="14"/>
      <c r="W19" s="14"/>
      <c r="X19" s="14"/>
      <c r="Y19" s="14"/>
      <c r="Z19" s="14"/>
      <c r="AA19" s="130"/>
      <c r="AB19" s="130"/>
      <c r="AC19" s="130"/>
      <c r="AD19" s="126">
        <f t="shared" ref="AD19:AD20" si="5">SUM(O19:AA19,H19,K19:M19,F19)</f>
        <v>233603</v>
      </c>
      <c r="AE19" s="12"/>
      <c r="AF19" s="127">
        <v>1.0</v>
      </c>
      <c r="AG19" s="127">
        <v>1.0</v>
      </c>
      <c r="AH19" s="127">
        <v>1.0</v>
      </c>
      <c r="AI19" s="12" t="s">
        <v>744</v>
      </c>
      <c r="AJ19" s="23"/>
      <c r="AK19" s="23" t="s">
        <v>745</v>
      </c>
      <c r="AR19" s="1" t="str">
        <f t="shared" si="4"/>
        <v>id4year2019</v>
      </c>
    </row>
    <row r="20">
      <c r="A20" s="12">
        <f t="shared" si="3"/>
        <v>18</v>
      </c>
      <c r="B20" s="12">
        <v>4.0</v>
      </c>
      <c r="C20" s="13" t="str">
        <f>VLOOKUP(B20,companies!$A:$B,2,FALSE)</f>
        <v>Accenture</v>
      </c>
      <c r="D20" s="14" t="s">
        <v>535</v>
      </c>
      <c r="E20" s="14">
        <v>2018.0</v>
      </c>
      <c r="F20" s="14">
        <v>22183.0</v>
      </c>
      <c r="G20" s="131"/>
      <c r="H20" s="14">
        <v>218855.0</v>
      </c>
      <c r="I20" s="14" t="s">
        <v>578</v>
      </c>
      <c r="J20" s="14">
        <v>948756.0</v>
      </c>
      <c r="K20" s="14"/>
      <c r="L20" s="14"/>
      <c r="M20" s="129"/>
      <c r="N20" s="14"/>
      <c r="O20" s="14"/>
      <c r="P20" s="14"/>
      <c r="Q20" s="14"/>
      <c r="R20" s="14"/>
      <c r="S20" s="14"/>
      <c r="T20" s="14"/>
      <c r="U20" s="14"/>
      <c r="V20" s="14"/>
      <c r="W20" s="14"/>
      <c r="X20" s="14"/>
      <c r="Y20" s="14"/>
      <c r="Z20" s="14"/>
      <c r="AA20" s="130"/>
      <c r="AB20" s="130"/>
      <c r="AC20" s="130"/>
      <c r="AD20" s="126">
        <f t="shared" si="5"/>
        <v>241038</v>
      </c>
      <c r="AE20" s="12">
        <v>0.0</v>
      </c>
      <c r="AF20" s="127">
        <v>1.0</v>
      </c>
      <c r="AG20" s="127">
        <v>1.0</v>
      </c>
      <c r="AH20" s="127">
        <v>1.0</v>
      </c>
      <c r="AI20" s="127">
        <v>0.0</v>
      </c>
      <c r="AJ20" s="23"/>
      <c r="AK20" s="23" t="s">
        <v>746</v>
      </c>
      <c r="AR20" s="1" t="str">
        <f t="shared" si="4"/>
        <v>id4year2018</v>
      </c>
    </row>
    <row r="21">
      <c r="A21" s="133">
        <f t="shared" si="3"/>
        <v>19</v>
      </c>
      <c r="B21" s="133">
        <v>4.0</v>
      </c>
      <c r="C21" s="134" t="str">
        <f>VLOOKUP(B21,companies!$A:$B,2,FALSE)</f>
        <v>Accenture</v>
      </c>
      <c r="D21" s="135"/>
      <c r="E21" s="135">
        <v>2016.0</v>
      </c>
      <c r="F21" s="135">
        <f>F20</f>
        <v>22183</v>
      </c>
      <c r="G21" s="135"/>
      <c r="H21" s="135">
        <f>H20</f>
        <v>218855</v>
      </c>
      <c r="I21" s="135"/>
      <c r="J21" s="135">
        <f>J20</f>
        <v>948756</v>
      </c>
      <c r="K21" s="135"/>
      <c r="L21" s="135"/>
      <c r="M21" s="136"/>
      <c r="N21" s="135"/>
      <c r="O21" s="135"/>
      <c r="P21" s="135"/>
      <c r="Q21" s="135"/>
      <c r="R21" s="135"/>
      <c r="S21" s="135"/>
      <c r="T21" s="135"/>
      <c r="U21" s="135"/>
      <c r="V21" s="135"/>
      <c r="W21" s="135"/>
      <c r="X21" s="135"/>
      <c r="Y21" s="135"/>
      <c r="Z21" s="135"/>
      <c r="AA21" s="137"/>
      <c r="AB21" s="137"/>
      <c r="AC21" s="133"/>
      <c r="AD21" s="140"/>
      <c r="AE21" s="133"/>
      <c r="AF21" s="132"/>
      <c r="AG21" s="132"/>
      <c r="AH21" s="132"/>
      <c r="AI21" s="132"/>
      <c r="AJ21" s="138"/>
      <c r="AK21" s="138"/>
      <c r="AL21" s="139"/>
    </row>
    <row r="22">
      <c r="A22" s="12">
        <f t="shared" si="3"/>
        <v>20</v>
      </c>
      <c r="B22" s="12">
        <v>5.0</v>
      </c>
      <c r="C22" s="13" t="str">
        <f>VLOOKUP(B22,companies!$A:$B,2,FALSE)</f>
        <v>Adobe Inc.</v>
      </c>
      <c r="D22" s="14" t="s">
        <v>535</v>
      </c>
      <c r="E22" s="14">
        <v>2020.0</v>
      </c>
      <c r="F22" s="14">
        <v>9842.0</v>
      </c>
      <c r="G22" s="14">
        <v>51176.0</v>
      </c>
      <c r="H22" s="14">
        <v>34540.0</v>
      </c>
      <c r="I22" s="14" t="s">
        <v>578</v>
      </c>
      <c r="J22" s="14">
        <v>438210.0</v>
      </c>
      <c r="K22" s="14">
        <v>359994.0</v>
      </c>
      <c r="L22" s="14">
        <v>38955.0</v>
      </c>
      <c r="M22" s="14" t="s">
        <v>683</v>
      </c>
      <c r="N22" s="14">
        <v>12692.0</v>
      </c>
      <c r="O22" s="14">
        <v>682.0</v>
      </c>
      <c r="P22" s="14" t="s">
        <v>683</v>
      </c>
      <c r="Q22" s="14">
        <v>11978.0</v>
      </c>
      <c r="R22" s="14">
        <v>13908.0</v>
      </c>
      <c r="S22" s="14" t="s">
        <v>683</v>
      </c>
      <c r="T22" s="14" t="s">
        <v>683</v>
      </c>
      <c r="U22" s="14" t="s">
        <v>683</v>
      </c>
      <c r="V22" s="14" t="s">
        <v>683</v>
      </c>
      <c r="W22" s="14" t="s">
        <v>683</v>
      </c>
      <c r="X22" s="14" t="s">
        <v>683</v>
      </c>
      <c r="Y22" s="14" t="s">
        <v>683</v>
      </c>
      <c r="Z22" s="14" t="s">
        <v>683</v>
      </c>
      <c r="AA22" s="130" t="s">
        <v>683</v>
      </c>
      <c r="AB22" s="130" t="s">
        <v>683</v>
      </c>
      <c r="AC22" s="130"/>
      <c r="AD22" s="126">
        <f t="shared" ref="AD22:AD29" si="6">SUM(O22:AA22,H22,K22:M22,F22)</f>
        <v>469899</v>
      </c>
      <c r="AE22" s="12">
        <v>0.0</v>
      </c>
      <c r="AF22" s="127">
        <v>1.0</v>
      </c>
      <c r="AG22" s="127">
        <v>1.0</v>
      </c>
      <c r="AH22" s="127">
        <v>1.0</v>
      </c>
      <c r="AI22" s="127"/>
      <c r="AJ22" s="23"/>
      <c r="AK22" s="23"/>
      <c r="AR22" s="1" t="str">
        <f t="shared" ref="AR22:AR85" si="7">"id"&amp;B22&amp;"year"&amp;E22</f>
        <v>id5year2020</v>
      </c>
    </row>
    <row r="23">
      <c r="A23" s="12">
        <f t="shared" si="3"/>
        <v>21</v>
      </c>
      <c r="B23" s="12">
        <v>5.0</v>
      </c>
      <c r="C23" s="13" t="str">
        <f>VLOOKUP(B23,companies!$A:$B,2,FALSE)</f>
        <v>Adobe Inc.</v>
      </c>
      <c r="D23" s="14" t="s">
        <v>535</v>
      </c>
      <c r="E23" s="14">
        <v>2019.0</v>
      </c>
      <c r="F23" s="14">
        <v>11817.0</v>
      </c>
      <c r="G23" s="14">
        <v>56128.0</v>
      </c>
      <c r="H23" s="14">
        <v>43893.0</v>
      </c>
      <c r="I23" s="14" t="s">
        <v>578</v>
      </c>
      <c r="J23" s="14">
        <v>542874.0</v>
      </c>
      <c r="K23" s="14">
        <v>358472.0</v>
      </c>
      <c r="L23" s="14">
        <v>39706.0</v>
      </c>
      <c r="M23" s="14" t="s">
        <v>683</v>
      </c>
      <c r="N23" s="14">
        <v>14180.0</v>
      </c>
      <c r="O23" s="14">
        <v>739.0</v>
      </c>
      <c r="P23" s="14" t="s">
        <v>683</v>
      </c>
      <c r="Q23" s="14">
        <v>88959.0</v>
      </c>
      <c r="R23" s="14">
        <v>42037.0</v>
      </c>
      <c r="S23" s="14" t="s">
        <v>683</v>
      </c>
      <c r="T23" s="14" t="s">
        <v>683</v>
      </c>
      <c r="U23" s="14" t="s">
        <v>683</v>
      </c>
      <c r="V23" s="14" t="s">
        <v>683</v>
      </c>
      <c r="W23" s="14" t="s">
        <v>683</v>
      </c>
      <c r="X23" s="14" t="s">
        <v>683</v>
      </c>
      <c r="Y23" s="14" t="s">
        <v>683</v>
      </c>
      <c r="Z23" s="14" t="s">
        <v>683</v>
      </c>
      <c r="AA23" s="130" t="s">
        <v>683</v>
      </c>
      <c r="AB23" s="130" t="s">
        <v>683</v>
      </c>
      <c r="AC23" s="130"/>
      <c r="AD23" s="126">
        <f t="shared" si="6"/>
        <v>585623</v>
      </c>
      <c r="AE23" s="12">
        <v>0.0</v>
      </c>
      <c r="AF23" s="127">
        <v>1.0</v>
      </c>
      <c r="AG23" s="127">
        <v>1.0</v>
      </c>
      <c r="AH23" s="127">
        <v>1.0</v>
      </c>
      <c r="AI23" s="127"/>
      <c r="AJ23" s="23"/>
      <c r="AK23" s="23"/>
      <c r="AR23" s="1" t="str">
        <f t="shared" si="7"/>
        <v>id5year2019</v>
      </c>
    </row>
    <row r="24">
      <c r="A24" s="12">
        <f t="shared" si="3"/>
        <v>22</v>
      </c>
      <c r="B24" s="12">
        <v>5.0</v>
      </c>
      <c r="C24" s="13" t="str">
        <f>VLOOKUP(B24,companies!$A:$B,2,FALSE)</f>
        <v>Adobe Inc.</v>
      </c>
      <c r="D24" s="14" t="s">
        <v>535</v>
      </c>
      <c r="E24" s="14">
        <v>2018.0</v>
      </c>
      <c r="F24" s="14">
        <v>12119.0</v>
      </c>
      <c r="G24" s="14">
        <v>58874.0</v>
      </c>
      <c r="H24" s="14">
        <v>47871.0</v>
      </c>
      <c r="I24" s="14" t="s">
        <v>578</v>
      </c>
      <c r="J24" s="14">
        <v>51738.0</v>
      </c>
      <c r="K24" s="14" t="s">
        <v>536</v>
      </c>
      <c r="L24" s="14" t="s">
        <v>536</v>
      </c>
      <c r="M24" s="14" t="s">
        <v>683</v>
      </c>
      <c r="N24" s="14" t="s">
        <v>536</v>
      </c>
      <c r="O24" s="14" t="s">
        <v>536</v>
      </c>
      <c r="P24" s="14" t="s">
        <v>683</v>
      </c>
      <c r="Q24" s="14">
        <v>40498.0</v>
      </c>
      <c r="R24" s="14">
        <v>10603.0</v>
      </c>
      <c r="S24" s="14" t="s">
        <v>683</v>
      </c>
      <c r="T24" s="14" t="s">
        <v>683</v>
      </c>
      <c r="U24" s="14" t="s">
        <v>683</v>
      </c>
      <c r="V24" s="14" t="s">
        <v>683</v>
      </c>
      <c r="W24" s="14" t="s">
        <v>683</v>
      </c>
      <c r="X24" s="14" t="s">
        <v>683</v>
      </c>
      <c r="Y24" s="14" t="s">
        <v>683</v>
      </c>
      <c r="Z24" s="14" t="s">
        <v>683</v>
      </c>
      <c r="AA24" s="130" t="s">
        <v>683</v>
      </c>
      <c r="AB24" s="130" t="s">
        <v>683</v>
      </c>
      <c r="AC24" s="130"/>
      <c r="AD24" s="126">
        <f t="shared" si="6"/>
        <v>111091</v>
      </c>
      <c r="AE24" s="12">
        <v>0.0</v>
      </c>
      <c r="AF24" s="127">
        <v>1.0</v>
      </c>
      <c r="AG24" s="127">
        <v>1.0</v>
      </c>
      <c r="AH24" s="127">
        <v>1.0</v>
      </c>
      <c r="AI24" s="127">
        <v>0.1</v>
      </c>
      <c r="AJ24" s="23"/>
      <c r="AK24" s="23" t="s">
        <v>747</v>
      </c>
      <c r="AR24" s="1" t="str">
        <f t="shared" si="7"/>
        <v>id5year2018</v>
      </c>
    </row>
    <row r="25">
      <c r="A25" s="12">
        <f t="shared" si="3"/>
        <v>23</v>
      </c>
      <c r="B25" s="12">
        <v>5.0</v>
      </c>
      <c r="C25" s="13" t="str">
        <f>VLOOKUP(B25,companies!$A:$B,2,FALSE)</f>
        <v>Adobe Inc.</v>
      </c>
      <c r="D25" s="14" t="s">
        <v>535</v>
      </c>
      <c r="E25" s="14">
        <v>2017.0</v>
      </c>
      <c r="F25" s="14">
        <v>11361.0</v>
      </c>
      <c r="G25" s="14">
        <v>66268.0</v>
      </c>
      <c r="H25" s="14">
        <v>59184.0</v>
      </c>
      <c r="I25" s="14" t="s">
        <v>578</v>
      </c>
      <c r="J25" s="14">
        <v>43258.0</v>
      </c>
      <c r="K25" s="14" t="s">
        <v>536</v>
      </c>
      <c r="L25" s="14" t="s">
        <v>536</v>
      </c>
      <c r="M25" s="14" t="s">
        <v>683</v>
      </c>
      <c r="N25" s="14" t="s">
        <v>536</v>
      </c>
      <c r="O25" s="14" t="s">
        <v>536</v>
      </c>
      <c r="P25" s="14" t="s">
        <v>683</v>
      </c>
      <c r="Q25" s="14">
        <v>32512.0</v>
      </c>
      <c r="R25" s="14">
        <v>10746.0</v>
      </c>
      <c r="S25" s="14" t="s">
        <v>683</v>
      </c>
      <c r="T25" s="14" t="s">
        <v>683</v>
      </c>
      <c r="U25" s="14" t="s">
        <v>683</v>
      </c>
      <c r="V25" s="14" t="s">
        <v>683</v>
      </c>
      <c r="W25" s="14" t="s">
        <v>683</v>
      </c>
      <c r="X25" s="14" t="s">
        <v>683</v>
      </c>
      <c r="Y25" s="14" t="s">
        <v>683</v>
      </c>
      <c r="Z25" s="14" t="s">
        <v>683</v>
      </c>
      <c r="AA25" s="130" t="s">
        <v>683</v>
      </c>
      <c r="AB25" s="130" t="s">
        <v>683</v>
      </c>
      <c r="AC25" s="130"/>
      <c r="AD25" s="126">
        <f t="shared" si="6"/>
        <v>113803</v>
      </c>
      <c r="AE25" s="12">
        <v>0.0</v>
      </c>
      <c r="AF25" s="127">
        <v>1.0</v>
      </c>
      <c r="AG25" s="127">
        <v>1.0</v>
      </c>
      <c r="AH25" s="127">
        <v>1.0</v>
      </c>
      <c r="AI25" s="127">
        <v>0.1</v>
      </c>
      <c r="AJ25" s="23"/>
      <c r="AK25" s="23" t="s">
        <v>747</v>
      </c>
      <c r="AR25" s="1" t="str">
        <f t="shared" si="7"/>
        <v>id5year2017</v>
      </c>
    </row>
    <row r="26">
      <c r="A26" s="12">
        <f t="shared" si="3"/>
        <v>24</v>
      </c>
      <c r="B26" s="12">
        <v>6.0</v>
      </c>
      <c r="C26" s="13" t="str">
        <f>VLOOKUP(B26,companies!$A:$B,2,FALSE)</f>
        <v>Allstate Corp</v>
      </c>
      <c r="D26" s="14" t="s">
        <v>535</v>
      </c>
      <c r="E26" s="14">
        <v>2020.0</v>
      </c>
      <c r="F26" s="14">
        <v>20849.0</v>
      </c>
      <c r="G26" s="14">
        <v>75630.0</v>
      </c>
      <c r="H26" s="14">
        <v>58970.0</v>
      </c>
      <c r="I26" s="14" t="s">
        <v>578</v>
      </c>
      <c r="J26" s="14"/>
      <c r="K26" s="14"/>
      <c r="L26" s="14"/>
      <c r="M26" s="129"/>
      <c r="N26" s="14"/>
      <c r="O26" s="14"/>
      <c r="P26" s="14"/>
      <c r="Q26" s="14">
        <v>7800.0</v>
      </c>
      <c r="R26" s="14"/>
      <c r="S26" s="14"/>
      <c r="T26" s="14"/>
      <c r="U26" s="14"/>
      <c r="V26" s="14"/>
      <c r="W26" s="14"/>
      <c r="X26" s="14"/>
      <c r="Y26" s="14"/>
      <c r="Z26" s="14"/>
      <c r="AA26" s="130"/>
      <c r="AB26" s="130"/>
      <c r="AC26" s="130"/>
      <c r="AD26" s="126">
        <f t="shared" si="6"/>
        <v>87619</v>
      </c>
      <c r="AE26" s="12">
        <v>0.0</v>
      </c>
      <c r="AF26" s="127">
        <v>1.0</v>
      </c>
      <c r="AG26" s="127">
        <v>1.0</v>
      </c>
      <c r="AH26" s="127">
        <v>1.0</v>
      </c>
      <c r="AI26" s="127">
        <v>0.24</v>
      </c>
      <c r="AJ26" s="23"/>
      <c r="AK26" s="23" t="s">
        <v>748</v>
      </c>
      <c r="AL26" s="35" t="s">
        <v>682</v>
      </c>
      <c r="AR26" s="1" t="str">
        <f t="shared" si="7"/>
        <v>id6year2020</v>
      </c>
    </row>
    <row r="27">
      <c r="A27" s="12">
        <f t="shared" si="3"/>
        <v>25</v>
      </c>
      <c r="B27" s="12">
        <v>6.0</v>
      </c>
      <c r="C27" s="13" t="str">
        <f>VLOOKUP(B27,companies!$A:$B,2,FALSE)</f>
        <v>Allstate Corp</v>
      </c>
      <c r="D27" s="14" t="s">
        <v>535</v>
      </c>
      <c r="E27" s="14">
        <v>2019.0</v>
      </c>
      <c r="F27" s="14">
        <v>39200.0</v>
      </c>
      <c r="G27" s="14">
        <v>86900.0</v>
      </c>
      <c r="H27" s="14">
        <v>74200.0</v>
      </c>
      <c r="I27" s="14" t="s">
        <v>578</v>
      </c>
      <c r="J27" s="14"/>
      <c r="K27" s="141"/>
      <c r="L27" s="14"/>
      <c r="M27" s="142"/>
      <c r="N27" s="14"/>
      <c r="O27" s="14"/>
      <c r="P27" s="14"/>
      <c r="Q27" s="14">
        <v>8900.0</v>
      </c>
      <c r="R27" s="14"/>
      <c r="S27" s="143"/>
      <c r="T27" s="143"/>
      <c r="U27" s="143"/>
      <c r="V27" s="143"/>
      <c r="W27" s="143"/>
      <c r="X27" s="14"/>
      <c r="Y27" s="143"/>
      <c r="Z27" s="143"/>
      <c r="AA27" s="143"/>
      <c r="AB27" s="143"/>
      <c r="AC27" s="14"/>
      <c r="AD27" s="126">
        <f t="shared" si="6"/>
        <v>122300</v>
      </c>
      <c r="AE27" s="12">
        <v>0.0</v>
      </c>
      <c r="AF27" s="127">
        <v>1.0</v>
      </c>
      <c r="AG27" s="127">
        <v>1.0</v>
      </c>
      <c r="AH27" s="127">
        <v>1.0</v>
      </c>
      <c r="AI27" s="127">
        <v>0.24</v>
      </c>
      <c r="AJ27" s="23"/>
      <c r="AK27" s="23" t="s">
        <v>748</v>
      </c>
      <c r="AL27" s="35" t="s">
        <v>682</v>
      </c>
      <c r="AR27" s="1" t="str">
        <f t="shared" si="7"/>
        <v>id6year2019</v>
      </c>
    </row>
    <row r="28">
      <c r="A28" s="12">
        <f t="shared" si="3"/>
        <v>26</v>
      </c>
      <c r="B28" s="12">
        <v>6.0</v>
      </c>
      <c r="C28" s="13" t="str">
        <f>VLOOKUP(B28,companies!$A:$B,2,FALSE)</f>
        <v>Allstate Corp</v>
      </c>
      <c r="D28" s="14" t="s">
        <v>535</v>
      </c>
      <c r="E28" s="14">
        <v>2018.0</v>
      </c>
      <c r="F28" s="14">
        <v>45.966</v>
      </c>
      <c r="G28" s="14">
        <v>82.887</v>
      </c>
      <c r="H28" s="14" t="s">
        <v>536</v>
      </c>
      <c r="I28" s="14" t="s">
        <v>578</v>
      </c>
      <c r="J28" s="14"/>
      <c r="K28" s="141"/>
      <c r="L28" s="14"/>
      <c r="M28" s="142"/>
      <c r="N28" s="14"/>
      <c r="O28" s="14"/>
      <c r="P28" s="14"/>
      <c r="Q28" s="14">
        <v>13264.0</v>
      </c>
      <c r="R28" s="14"/>
      <c r="S28" s="143"/>
      <c r="T28" s="143"/>
      <c r="U28" s="143"/>
      <c r="V28" s="143"/>
      <c r="W28" s="143"/>
      <c r="X28" s="14"/>
      <c r="Y28" s="143"/>
      <c r="Z28" s="143"/>
      <c r="AA28" s="143"/>
      <c r="AB28" s="143"/>
      <c r="AC28" s="14"/>
      <c r="AD28" s="126">
        <f t="shared" si="6"/>
        <v>13309.966</v>
      </c>
      <c r="AE28" s="12">
        <v>0.0</v>
      </c>
      <c r="AF28" s="127">
        <v>1.0</v>
      </c>
      <c r="AG28" s="127">
        <v>1.0</v>
      </c>
      <c r="AH28" s="127">
        <v>1.0</v>
      </c>
      <c r="AI28" s="127">
        <v>0.24</v>
      </c>
      <c r="AJ28" s="23"/>
      <c r="AK28" s="23" t="s">
        <v>748</v>
      </c>
      <c r="AL28" s="35" t="s">
        <v>682</v>
      </c>
      <c r="AR28" s="1" t="str">
        <f t="shared" si="7"/>
        <v>id6year2018</v>
      </c>
    </row>
    <row r="29">
      <c r="A29" s="12">
        <f t="shared" si="3"/>
        <v>27</v>
      </c>
      <c r="B29" s="12">
        <v>6.0</v>
      </c>
      <c r="C29" s="13" t="str">
        <f>VLOOKUP(B29,companies!$A:$B,2,FALSE)</f>
        <v>Allstate Corp</v>
      </c>
      <c r="D29" s="14" t="s">
        <v>535</v>
      </c>
      <c r="E29" s="14">
        <v>2017.0</v>
      </c>
      <c r="F29" s="14">
        <v>53818.0</v>
      </c>
      <c r="G29" s="14">
        <v>91209.0</v>
      </c>
      <c r="H29" s="14" t="s">
        <v>536</v>
      </c>
      <c r="I29" s="14" t="s">
        <v>578</v>
      </c>
      <c r="J29" s="14"/>
      <c r="K29" s="141"/>
      <c r="L29" s="14"/>
      <c r="M29" s="142"/>
      <c r="N29" s="14"/>
      <c r="O29" s="14"/>
      <c r="P29" s="14"/>
      <c r="Q29" s="14">
        <v>20119.0</v>
      </c>
      <c r="R29" s="14"/>
      <c r="S29" s="143"/>
      <c r="T29" s="143"/>
      <c r="U29" s="143"/>
      <c r="V29" s="143"/>
      <c r="W29" s="143"/>
      <c r="X29" s="14"/>
      <c r="Y29" s="143"/>
      <c r="Z29" s="143"/>
      <c r="AA29" s="143"/>
      <c r="AB29" s="143"/>
      <c r="AC29" s="14"/>
      <c r="AD29" s="126">
        <f t="shared" si="6"/>
        <v>73937</v>
      </c>
      <c r="AE29" s="12">
        <v>0.0</v>
      </c>
      <c r="AF29" s="127">
        <v>1.0</v>
      </c>
      <c r="AG29" s="127">
        <v>1.0</v>
      </c>
      <c r="AH29" s="127">
        <v>1.0</v>
      </c>
      <c r="AI29" s="127">
        <v>0.24</v>
      </c>
      <c r="AJ29" s="23"/>
      <c r="AK29" s="23" t="s">
        <v>748</v>
      </c>
      <c r="AL29" s="35" t="s">
        <v>682</v>
      </c>
      <c r="AR29" s="1" t="str">
        <f t="shared" si="7"/>
        <v>id6year2017</v>
      </c>
    </row>
    <row r="30">
      <c r="A30" s="12">
        <f t="shared" si="3"/>
        <v>28</v>
      </c>
      <c r="B30" s="12">
        <v>7.0</v>
      </c>
      <c r="C30" s="13" t="str">
        <f>VLOOKUP(B30,companies!$A:$B,2,FALSE)</f>
        <v>Alphabet Inc. Google</v>
      </c>
      <c r="D30" s="15">
        <v>44204.0</v>
      </c>
      <c r="E30" s="14">
        <v>2020.0</v>
      </c>
      <c r="F30" s="14"/>
      <c r="G30" s="14"/>
      <c r="H30" s="14"/>
      <c r="I30" s="14" t="s">
        <v>578</v>
      </c>
      <c r="J30" s="14"/>
      <c r="K30" s="14"/>
      <c r="L30" s="14"/>
      <c r="M30" s="129"/>
      <c r="N30" s="14"/>
      <c r="O30" s="14"/>
      <c r="P30" s="14"/>
      <c r="Q30" s="14"/>
      <c r="R30" s="14"/>
      <c r="S30" s="14"/>
      <c r="T30" s="14"/>
      <c r="U30" s="14"/>
      <c r="V30" s="14"/>
      <c r="W30" s="14"/>
      <c r="X30" s="14"/>
      <c r="Y30" s="14"/>
      <c r="Z30" s="14"/>
      <c r="AA30" s="130"/>
      <c r="AB30" s="130"/>
      <c r="AC30" s="130"/>
      <c r="AD30" s="126"/>
      <c r="AE30" s="12"/>
      <c r="AF30" s="127"/>
      <c r="AG30" s="127"/>
      <c r="AH30" s="127"/>
      <c r="AI30" s="127"/>
      <c r="AJ30" s="23"/>
      <c r="AK30" s="23"/>
      <c r="AR30" s="1" t="str">
        <f t="shared" si="7"/>
        <v>id7year2020</v>
      </c>
    </row>
    <row r="31">
      <c r="A31" s="12">
        <f t="shared" si="3"/>
        <v>29</v>
      </c>
      <c r="B31" s="12">
        <v>7.0</v>
      </c>
      <c r="C31" s="13" t="str">
        <f>VLOOKUP(B31,companies!$A:$B,2,FALSE)</f>
        <v>Alphabet Inc. Google</v>
      </c>
      <c r="D31" s="15">
        <v>44204.0</v>
      </c>
      <c r="E31" s="14">
        <v>2019.0</v>
      </c>
      <c r="F31" s="14">
        <v>66686.0</v>
      </c>
      <c r="G31" s="14">
        <v>5116949.0</v>
      </c>
      <c r="H31" s="14">
        <v>794267.0</v>
      </c>
      <c r="I31" s="14" t="s">
        <v>578</v>
      </c>
      <c r="J31" s="14">
        <v>1.1669E7</v>
      </c>
      <c r="K31" s="14" t="s">
        <v>683</v>
      </c>
      <c r="L31" s="14">
        <f>VLOOKUP($B31,'GHG19'!$A:$Y,COLUMN('GHG19'!G$1),FALSE)</f>
        <v>2158000</v>
      </c>
      <c r="M31" s="129" t="s">
        <v>683</v>
      </c>
      <c r="N31" s="14" t="s">
        <v>683</v>
      </c>
      <c r="O31" s="14">
        <v>460000.0</v>
      </c>
      <c r="P31" s="14" t="s">
        <v>683</v>
      </c>
      <c r="Q31" s="14">
        <v>369000.0</v>
      </c>
      <c r="R31" s="14">
        <v>173000.0</v>
      </c>
      <c r="S31" s="14" t="s">
        <v>683</v>
      </c>
      <c r="T31" s="14">
        <v>0.0</v>
      </c>
      <c r="U31" s="14" t="s">
        <v>683</v>
      </c>
      <c r="V31" s="14">
        <v>0.0</v>
      </c>
      <c r="W31" s="14">
        <v>0.0</v>
      </c>
      <c r="X31" s="14" t="s">
        <v>683</v>
      </c>
      <c r="Y31" s="14" t="s">
        <v>683</v>
      </c>
      <c r="Z31" s="14" t="s">
        <v>683</v>
      </c>
      <c r="AA31" s="130">
        <v>8509000.0</v>
      </c>
      <c r="AB31" s="130" t="s">
        <v>683</v>
      </c>
      <c r="AC31" s="130"/>
      <c r="AD31" s="126">
        <f>SUM(O31:AA31,H31,K31:M31,F31)</f>
        <v>12529953</v>
      </c>
      <c r="AE31" s="12">
        <v>1402953.0</v>
      </c>
      <c r="AF31" s="127">
        <v>1.0</v>
      </c>
      <c r="AG31" s="127">
        <v>1.0</v>
      </c>
      <c r="AH31" s="127">
        <v>1.0</v>
      </c>
      <c r="AI31" s="127">
        <f>542000/12529953</f>
        <v>0.04325634741</v>
      </c>
      <c r="AJ31" s="23"/>
      <c r="AK31" s="23" t="s">
        <v>749</v>
      </c>
      <c r="AR31" s="1" t="str">
        <f t="shared" si="7"/>
        <v>id7year2019</v>
      </c>
    </row>
    <row r="32">
      <c r="A32" s="12">
        <f t="shared" si="3"/>
        <v>30</v>
      </c>
      <c r="B32" s="12">
        <v>7.0</v>
      </c>
      <c r="C32" s="13" t="str">
        <f>VLOOKUP(B32,companies!$A:$B,2,FALSE)</f>
        <v>Alphabet Inc. Google</v>
      </c>
      <c r="D32" s="15">
        <v>44204.0</v>
      </c>
      <c r="E32" s="14">
        <v>2018.0</v>
      </c>
      <c r="F32" s="14">
        <v>63521.0</v>
      </c>
      <c r="G32" s="14">
        <v>4344686.0</v>
      </c>
      <c r="H32" s="14">
        <v>684236.0</v>
      </c>
      <c r="I32" s="14" t="s">
        <v>578</v>
      </c>
      <c r="J32" s="14">
        <v>1.2900467E7</v>
      </c>
      <c r="K32" s="14"/>
      <c r="L32" s="14"/>
      <c r="M32" s="129"/>
      <c r="N32" s="14"/>
      <c r="O32" s="14"/>
      <c r="P32" s="14"/>
      <c r="Q32" s="14"/>
      <c r="R32" s="14"/>
      <c r="S32" s="14"/>
      <c r="T32" s="14"/>
      <c r="U32" s="14"/>
      <c r="V32" s="14"/>
      <c r="W32" s="14"/>
      <c r="X32" s="14"/>
      <c r="Y32" s="14"/>
      <c r="Z32" s="14"/>
      <c r="AA32" s="130"/>
      <c r="AB32" s="130"/>
      <c r="AC32" s="130"/>
      <c r="AD32" s="126">
        <f t="shared" ref="AD32:AD39" si="8">SUM(O32:AA32,H32:M32,F32)</f>
        <v>13648224</v>
      </c>
      <c r="AE32" s="12">
        <v>1211224.0</v>
      </c>
      <c r="AF32" s="127">
        <v>1.0</v>
      </c>
      <c r="AG32" s="127">
        <v>1.0</v>
      </c>
      <c r="AH32" s="127">
        <v>1.0</v>
      </c>
      <c r="AI32" s="127">
        <f>463467/12900467</f>
        <v>0.03592637383</v>
      </c>
      <c r="AJ32" s="23"/>
      <c r="AK32" s="23" t="s">
        <v>750</v>
      </c>
      <c r="AL32" s="1" t="s">
        <v>682</v>
      </c>
      <c r="AR32" s="1" t="str">
        <f t="shared" si="7"/>
        <v>id7year2018</v>
      </c>
    </row>
    <row r="33">
      <c r="A33" s="12">
        <f t="shared" si="3"/>
        <v>31</v>
      </c>
      <c r="B33" s="12">
        <v>7.0</v>
      </c>
      <c r="C33" s="13" t="str">
        <f>VLOOKUP(B33,companies!$A:$B,2,FALSE)</f>
        <v>Alphabet Inc. Google</v>
      </c>
      <c r="D33" s="15">
        <v>44204.0</v>
      </c>
      <c r="E33" s="14">
        <v>2017.0</v>
      </c>
      <c r="F33" s="14">
        <v>66546.0</v>
      </c>
      <c r="G33" s="14">
        <v>3301392.0</v>
      </c>
      <c r="H33" s="14">
        <v>509334.0</v>
      </c>
      <c r="I33" s="14" t="s">
        <v>578</v>
      </c>
      <c r="J33" s="14">
        <v>2719024.0</v>
      </c>
      <c r="K33" s="14"/>
      <c r="L33" s="14"/>
      <c r="M33" s="129"/>
      <c r="N33" s="14"/>
      <c r="O33" s="14"/>
      <c r="P33" s="14"/>
      <c r="Q33" s="14"/>
      <c r="R33" s="14"/>
      <c r="S33" s="14"/>
      <c r="T33" s="14"/>
      <c r="U33" s="14"/>
      <c r="V33" s="14"/>
      <c r="W33" s="14"/>
      <c r="X33" s="14"/>
      <c r="Y33" s="14"/>
      <c r="Z33" s="14"/>
      <c r="AA33" s="130"/>
      <c r="AB33" s="130"/>
      <c r="AC33" s="130"/>
      <c r="AD33" s="126">
        <f t="shared" si="8"/>
        <v>3294904</v>
      </c>
      <c r="AE33" s="12">
        <v>931943.0</v>
      </c>
      <c r="AF33" s="127">
        <v>1.0</v>
      </c>
      <c r="AG33" s="127">
        <v>1.0</v>
      </c>
      <c r="AH33" s="127">
        <v>1.0</v>
      </c>
      <c r="AI33" s="127">
        <v>0.04</v>
      </c>
      <c r="AJ33" s="23"/>
      <c r="AK33" s="23" t="s">
        <v>751</v>
      </c>
      <c r="AR33" s="1" t="str">
        <f t="shared" si="7"/>
        <v>id7year2017</v>
      </c>
    </row>
    <row r="34">
      <c r="A34" s="12">
        <f t="shared" si="3"/>
        <v>32</v>
      </c>
      <c r="B34" s="12">
        <v>7.0</v>
      </c>
      <c r="C34" s="13" t="str">
        <f>VLOOKUP(B34,companies!$A:$B,2,FALSE)</f>
        <v>Alphabet Inc. Google</v>
      </c>
      <c r="D34" s="15">
        <v>44204.0</v>
      </c>
      <c r="E34" s="14">
        <v>2016.0</v>
      </c>
      <c r="F34" s="14">
        <v>66218.0</v>
      </c>
      <c r="G34" s="14">
        <v>2902554.0</v>
      </c>
      <c r="H34" s="14">
        <v>1518643.0</v>
      </c>
      <c r="I34" s="14" t="s">
        <v>578</v>
      </c>
      <c r="J34" s="14">
        <v>1292268.0</v>
      </c>
      <c r="K34" s="14"/>
      <c r="L34" s="14"/>
      <c r="M34" s="129"/>
      <c r="N34" s="14"/>
      <c r="O34" s="14"/>
      <c r="P34" s="14"/>
      <c r="Q34" s="14"/>
      <c r="R34" s="14"/>
      <c r="S34" s="14"/>
      <c r="T34" s="14"/>
      <c r="U34" s="14"/>
      <c r="V34" s="14"/>
      <c r="W34" s="14"/>
      <c r="X34" s="14"/>
      <c r="Y34" s="14"/>
      <c r="Z34" s="14"/>
      <c r="AA34" s="130"/>
      <c r="AB34" s="130"/>
      <c r="AC34" s="130"/>
      <c r="AD34" s="126">
        <f t="shared" si="8"/>
        <v>2877129</v>
      </c>
      <c r="AE34" s="12">
        <v>1898889.0</v>
      </c>
      <c r="AF34" s="127">
        <v>1.0</v>
      </c>
      <c r="AG34" s="127">
        <v>1.0</v>
      </c>
      <c r="AH34" s="127">
        <v>1.0</v>
      </c>
      <c r="AI34" s="127">
        <v>0.04</v>
      </c>
      <c r="AJ34" s="23"/>
      <c r="AK34" s="23" t="s">
        <v>752</v>
      </c>
      <c r="AR34" s="1" t="str">
        <f t="shared" si="7"/>
        <v>id7year2016</v>
      </c>
    </row>
    <row r="35">
      <c r="A35" s="12">
        <f t="shared" si="3"/>
        <v>33</v>
      </c>
      <c r="B35" s="12">
        <v>7.0</v>
      </c>
      <c r="C35" s="13" t="str">
        <f>VLOOKUP(B35,companies!$A:$B,2,FALSE)</f>
        <v>Alphabet Inc. Google</v>
      </c>
      <c r="D35" s="15">
        <v>44204.0</v>
      </c>
      <c r="E35" s="14">
        <v>2015.0</v>
      </c>
      <c r="F35" s="14">
        <v>66991.0</v>
      </c>
      <c r="G35" s="14">
        <v>2450438.0</v>
      </c>
      <c r="H35" s="14">
        <v>1384427.0</v>
      </c>
      <c r="I35" s="14" t="s">
        <v>578</v>
      </c>
      <c r="J35" s="14">
        <v>1234683.0</v>
      </c>
      <c r="K35" s="14"/>
      <c r="L35" s="14"/>
      <c r="M35" s="129"/>
      <c r="N35" s="14"/>
      <c r="O35" s="14"/>
      <c r="P35" s="14"/>
      <c r="Q35" s="14"/>
      <c r="R35" s="14"/>
      <c r="S35" s="14"/>
      <c r="T35" s="14"/>
      <c r="U35" s="14"/>
      <c r="V35" s="14"/>
      <c r="W35" s="14"/>
      <c r="X35" s="14"/>
      <c r="Y35" s="14"/>
      <c r="Z35" s="14"/>
      <c r="AA35" s="130"/>
      <c r="AB35" s="130"/>
      <c r="AC35" s="130"/>
      <c r="AD35" s="126">
        <f t="shared" si="8"/>
        <v>2686101</v>
      </c>
      <c r="AE35" s="12">
        <v>2686101.0</v>
      </c>
      <c r="AF35" s="127">
        <v>1.0</v>
      </c>
      <c r="AG35" s="127">
        <v>1.0</v>
      </c>
      <c r="AH35" s="127">
        <v>1.0</v>
      </c>
      <c r="AI35" s="127">
        <v>0.04</v>
      </c>
      <c r="AJ35" s="23"/>
      <c r="AK35" s="23" t="s">
        <v>752</v>
      </c>
      <c r="AR35" s="1" t="str">
        <f t="shared" si="7"/>
        <v>id7year2015</v>
      </c>
    </row>
    <row r="36">
      <c r="A36" s="12">
        <f t="shared" si="3"/>
        <v>34</v>
      </c>
      <c r="B36" s="12">
        <v>8.0</v>
      </c>
      <c r="C36" s="13" t="str">
        <f>VLOOKUP(B36,companies!$A:$B,2,FALSE)</f>
        <v>Altria Group Inc</v>
      </c>
      <c r="D36" s="15">
        <v>44204.0</v>
      </c>
      <c r="E36" s="14">
        <v>2020.0</v>
      </c>
      <c r="F36" s="14">
        <v>139868.0</v>
      </c>
      <c r="G36" s="14">
        <v>144140.0</v>
      </c>
      <c r="H36" s="14">
        <v>141100.0</v>
      </c>
      <c r="I36" s="14" t="s">
        <v>578</v>
      </c>
      <c r="J36" s="14"/>
      <c r="K36" s="14">
        <v>1680841.0</v>
      </c>
      <c r="L36" s="14">
        <v>26999.0</v>
      </c>
      <c r="M36" s="129"/>
      <c r="N36" s="14">
        <v>96877.0</v>
      </c>
      <c r="O36" s="14">
        <v>230858.0</v>
      </c>
      <c r="P36" s="14">
        <v>21661.0</v>
      </c>
      <c r="Q36" s="14">
        <v>2546.0</v>
      </c>
      <c r="R36" s="14">
        <v>6188.0</v>
      </c>
      <c r="S36" s="129"/>
      <c r="T36" s="14">
        <v>20086.0</v>
      </c>
      <c r="U36" s="129"/>
      <c r="V36" s="129"/>
      <c r="W36" s="14">
        <v>64723.0</v>
      </c>
      <c r="X36" s="129"/>
      <c r="Y36" s="129"/>
      <c r="Z36" s="14">
        <v>2858340.0</v>
      </c>
      <c r="AA36" s="12"/>
      <c r="AB36" s="12"/>
      <c r="AC36" s="126"/>
      <c r="AD36" s="126">
        <f t="shared" si="8"/>
        <v>5193210</v>
      </c>
      <c r="AE36" s="12"/>
      <c r="AF36" s="127">
        <v>1.0</v>
      </c>
      <c r="AG36" s="127">
        <v>1.0</v>
      </c>
      <c r="AH36" s="127">
        <v>1.0</v>
      </c>
      <c r="AI36" s="127">
        <v>0.0</v>
      </c>
      <c r="AJ36" s="23"/>
      <c r="AK36" s="23" t="s">
        <v>753</v>
      </c>
      <c r="AL36" s="35" t="s">
        <v>682</v>
      </c>
      <c r="AR36" s="1" t="str">
        <f t="shared" si="7"/>
        <v>id8year2020</v>
      </c>
    </row>
    <row r="37">
      <c r="A37" s="12">
        <f t="shared" si="3"/>
        <v>35</v>
      </c>
      <c r="B37" s="12">
        <v>8.0</v>
      </c>
      <c r="C37" s="13" t="str">
        <f>VLOOKUP(B37,companies!$A:$B,2,FALSE)</f>
        <v>Altria Group Inc</v>
      </c>
      <c r="D37" s="15">
        <v>44204.0</v>
      </c>
      <c r="E37" s="14">
        <v>2019.0</v>
      </c>
      <c r="F37" s="14">
        <v>154507.0</v>
      </c>
      <c r="G37" s="14">
        <v>151259.0</v>
      </c>
      <c r="H37" s="14">
        <v>147909.0</v>
      </c>
      <c r="I37" s="14" t="s">
        <v>578</v>
      </c>
      <c r="J37" s="14"/>
      <c r="K37" s="14">
        <v>1297850.0</v>
      </c>
      <c r="L37" s="14">
        <v>6713.0</v>
      </c>
      <c r="M37" s="129"/>
      <c r="N37" s="14">
        <v>96806.0</v>
      </c>
      <c r="O37" s="14">
        <v>278393.0</v>
      </c>
      <c r="P37" s="14">
        <v>27853.0</v>
      </c>
      <c r="Q37" s="14">
        <v>14102.0</v>
      </c>
      <c r="R37" s="14">
        <v>11373.0</v>
      </c>
      <c r="S37" s="129"/>
      <c r="T37" s="14">
        <v>199307.0</v>
      </c>
      <c r="U37" s="129"/>
      <c r="V37" s="129"/>
      <c r="W37" s="14">
        <v>67173.0</v>
      </c>
      <c r="X37" s="129"/>
      <c r="Y37" s="129"/>
      <c r="Z37" s="14">
        <v>3228163.0</v>
      </c>
      <c r="AA37" s="126"/>
      <c r="AB37" s="126"/>
      <c r="AC37" s="126"/>
      <c r="AD37" s="126">
        <f t="shared" si="8"/>
        <v>5433343</v>
      </c>
      <c r="AE37" s="12"/>
      <c r="AF37" s="127">
        <v>1.0</v>
      </c>
      <c r="AG37" s="127">
        <v>1.0</v>
      </c>
      <c r="AH37" s="127">
        <v>1.0</v>
      </c>
      <c r="AI37" s="127">
        <v>0.0</v>
      </c>
      <c r="AJ37" s="23"/>
      <c r="AK37" s="23"/>
      <c r="AR37" s="1" t="str">
        <f t="shared" si="7"/>
        <v>id8year2019</v>
      </c>
    </row>
    <row r="38">
      <c r="A38" s="12">
        <f t="shared" si="3"/>
        <v>36</v>
      </c>
      <c r="B38" s="12">
        <v>8.0</v>
      </c>
      <c r="C38" s="13" t="str">
        <f>VLOOKUP(B38,companies!$A:$B,2,FALSE)</f>
        <v>Altria Group Inc</v>
      </c>
      <c r="D38" s="15">
        <v>44204.0</v>
      </c>
      <c r="E38" s="14">
        <v>2018.0</v>
      </c>
      <c r="F38" s="14">
        <v>162162.0</v>
      </c>
      <c r="G38" s="14"/>
      <c r="H38" s="14">
        <v>16712.0</v>
      </c>
      <c r="I38" s="14" t="s">
        <v>578</v>
      </c>
      <c r="J38" s="14"/>
      <c r="K38" s="14">
        <v>1344729.0</v>
      </c>
      <c r="L38" s="14">
        <v>11515.0</v>
      </c>
      <c r="M38" s="129"/>
      <c r="N38" s="14">
        <v>98424.0</v>
      </c>
      <c r="O38" s="14">
        <v>225799.0</v>
      </c>
      <c r="P38" s="14">
        <v>4929.0</v>
      </c>
      <c r="Q38" s="14">
        <v>20286.0</v>
      </c>
      <c r="R38" s="14">
        <v>17436.0</v>
      </c>
      <c r="S38" s="129"/>
      <c r="T38" s="14">
        <v>148.0</v>
      </c>
      <c r="U38" s="129"/>
      <c r="V38" s="129"/>
      <c r="W38" s="14">
        <v>80439.0</v>
      </c>
      <c r="X38" s="129"/>
      <c r="Y38" s="129"/>
      <c r="Z38" s="14">
        <v>3126891.0</v>
      </c>
      <c r="AA38" s="126"/>
      <c r="AB38" s="126"/>
      <c r="AC38" s="126"/>
      <c r="AD38" s="126">
        <f t="shared" si="8"/>
        <v>5011046</v>
      </c>
      <c r="AE38" s="12"/>
      <c r="AF38" s="127">
        <v>1.0</v>
      </c>
      <c r="AG38" s="127">
        <v>1.0</v>
      </c>
      <c r="AH38" s="127">
        <v>1.0</v>
      </c>
      <c r="AI38" s="127">
        <v>0.0</v>
      </c>
      <c r="AJ38" s="23"/>
      <c r="AK38" s="23"/>
      <c r="AR38" s="1" t="str">
        <f t="shared" si="7"/>
        <v>id8year2018</v>
      </c>
    </row>
    <row r="39">
      <c r="A39" s="12">
        <f t="shared" si="3"/>
        <v>37</v>
      </c>
      <c r="B39" s="12">
        <v>8.0</v>
      </c>
      <c r="C39" s="13" t="str">
        <f>VLOOKUP(B39,companies!$A:$B,2,FALSE)</f>
        <v>Altria Group Inc</v>
      </c>
      <c r="D39" s="15">
        <v>44204.0</v>
      </c>
      <c r="E39" s="14">
        <v>2017.0</v>
      </c>
      <c r="F39" s="14">
        <v>167720.0</v>
      </c>
      <c r="G39" s="14"/>
      <c r="H39" s="14">
        <v>169287.0</v>
      </c>
      <c r="I39" s="14" t="s">
        <v>578</v>
      </c>
      <c r="J39" s="14"/>
      <c r="K39" s="14">
        <v>1402570.0</v>
      </c>
      <c r="L39" s="14">
        <v>11934.0</v>
      </c>
      <c r="M39" s="129"/>
      <c r="N39" s="14">
        <v>103063.0</v>
      </c>
      <c r="O39" s="14">
        <v>235413.0</v>
      </c>
      <c r="P39" s="14">
        <v>5111.0</v>
      </c>
      <c r="Q39" s="14">
        <v>15298.0</v>
      </c>
      <c r="R39" s="14">
        <v>18112.0</v>
      </c>
      <c r="S39" s="129"/>
      <c r="T39" s="14">
        <v>151736.0</v>
      </c>
      <c r="U39" s="129"/>
      <c r="V39" s="129"/>
      <c r="W39" s="14">
        <v>84728.0</v>
      </c>
      <c r="X39" s="129"/>
      <c r="Y39" s="129"/>
      <c r="Z39" s="14">
        <v>3236400.0</v>
      </c>
      <c r="AA39" s="126"/>
      <c r="AB39" s="126"/>
      <c r="AC39" s="126"/>
      <c r="AD39" s="126">
        <f t="shared" si="8"/>
        <v>5498309</v>
      </c>
      <c r="AE39" s="12"/>
      <c r="AF39" s="127">
        <v>1.0</v>
      </c>
      <c r="AG39" s="127">
        <v>1.0</v>
      </c>
      <c r="AH39" s="127">
        <v>1.0</v>
      </c>
      <c r="AI39" s="127">
        <v>0.0</v>
      </c>
      <c r="AJ39" s="23"/>
      <c r="AK39" s="23"/>
      <c r="AR39" s="1" t="str">
        <f t="shared" si="7"/>
        <v>id8year2017</v>
      </c>
    </row>
    <row r="40">
      <c r="A40" s="12">
        <f t="shared" si="3"/>
        <v>38</v>
      </c>
      <c r="B40" s="12">
        <v>10.0</v>
      </c>
      <c r="C40" s="13" t="str">
        <f>VLOOKUP(B40,companies!$A:$B,2,FALSE)</f>
        <v>American Express</v>
      </c>
      <c r="D40" s="15">
        <v>44204.0</v>
      </c>
      <c r="E40" s="14">
        <v>2020.0</v>
      </c>
      <c r="F40" s="14"/>
      <c r="G40" s="14"/>
      <c r="H40" s="14"/>
      <c r="I40" s="14" t="s">
        <v>578</v>
      </c>
      <c r="J40" s="14"/>
      <c r="K40" s="14"/>
      <c r="L40" s="14"/>
      <c r="M40" s="129"/>
      <c r="N40" s="14"/>
      <c r="O40" s="14"/>
      <c r="P40" s="14"/>
      <c r="Q40" s="14"/>
      <c r="R40" s="14"/>
      <c r="S40" s="129"/>
      <c r="T40" s="14"/>
      <c r="U40" s="129"/>
      <c r="V40" s="129"/>
      <c r="W40" s="14"/>
      <c r="X40" s="129"/>
      <c r="Y40" s="129"/>
      <c r="Z40" s="14"/>
      <c r="AA40" s="126"/>
      <c r="AB40" s="126"/>
      <c r="AC40" s="126"/>
      <c r="AD40" s="126"/>
      <c r="AE40" s="12"/>
      <c r="AF40" s="127"/>
      <c r="AG40" s="127"/>
      <c r="AH40" s="127"/>
      <c r="AI40" s="127"/>
      <c r="AJ40" s="23"/>
      <c r="AK40" s="23"/>
      <c r="AR40" s="1" t="str">
        <f t="shared" si="7"/>
        <v>id10year2020</v>
      </c>
    </row>
    <row r="41">
      <c r="A41" s="12">
        <f t="shared" si="3"/>
        <v>39</v>
      </c>
      <c r="B41" s="12">
        <v>10.0</v>
      </c>
      <c r="C41" s="13" t="str">
        <f>VLOOKUP(B41,companies!$A:$B,2,FALSE)</f>
        <v>American Express</v>
      </c>
      <c r="D41" s="15">
        <v>44204.0</v>
      </c>
      <c r="E41" s="14">
        <v>2019.0</v>
      </c>
      <c r="F41" s="14">
        <v>24363.0</v>
      </c>
      <c r="G41" s="14">
        <v>113964.0</v>
      </c>
      <c r="H41" s="14">
        <v>3153.0</v>
      </c>
      <c r="I41" s="14" t="s">
        <v>578</v>
      </c>
      <c r="J41" s="14"/>
      <c r="K41" s="14"/>
      <c r="L41" s="14"/>
      <c r="M41" s="129"/>
      <c r="N41" s="14"/>
      <c r="O41" s="14"/>
      <c r="P41" s="14"/>
      <c r="Q41" s="14">
        <v>51.679</v>
      </c>
      <c r="R41" s="14"/>
      <c r="S41" s="129"/>
      <c r="T41" s="14"/>
      <c r="U41" s="129"/>
      <c r="V41" s="129"/>
      <c r="W41" s="14"/>
      <c r="X41" s="129"/>
      <c r="Y41" s="129"/>
      <c r="Z41" s="14"/>
      <c r="AA41" s="126"/>
      <c r="AB41" s="126"/>
      <c r="AC41" s="126"/>
      <c r="AD41" s="126"/>
      <c r="AE41" s="12">
        <v>80194.0</v>
      </c>
      <c r="AF41" s="127">
        <v>1.0</v>
      </c>
      <c r="AG41" s="127">
        <v>1.0</v>
      </c>
      <c r="AH41" s="127">
        <v>1.0</v>
      </c>
      <c r="AI41" s="127">
        <v>0.0</v>
      </c>
      <c r="AJ41" s="23"/>
      <c r="AK41" s="23" t="s">
        <v>754</v>
      </c>
      <c r="AL41" s="35" t="s">
        <v>682</v>
      </c>
      <c r="AR41" s="1" t="str">
        <f t="shared" si="7"/>
        <v>id10year2019</v>
      </c>
    </row>
    <row r="42">
      <c r="A42" s="12">
        <f t="shared" si="3"/>
        <v>40</v>
      </c>
      <c r="B42" s="12">
        <v>10.0</v>
      </c>
      <c r="C42" s="13" t="str">
        <f>VLOOKUP(B42,companies!$A:$B,2,FALSE)</f>
        <v>American Express</v>
      </c>
      <c r="D42" s="15">
        <v>44204.0</v>
      </c>
      <c r="E42" s="14">
        <v>2018.0</v>
      </c>
      <c r="F42" s="14">
        <v>23981.0</v>
      </c>
      <c r="G42" s="14">
        <v>112745.0</v>
      </c>
      <c r="H42" s="14">
        <v>2994.0</v>
      </c>
      <c r="I42" s="14" t="s">
        <v>578</v>
      </c>
      <c r="J42" s="14"/>
      <c r="K42" s="14"/>
      <c r="L42" s="14"/>
      <c r="M42" s="129"/>
      <c r="N42" s="14"/>
      <c r="O42" s="14"/>
      <c r="P42" s="14"/>
      <c r="Q42" s="14"/>
      <c r="R42" s="14"/>
      <c r="S42" s="129"/>
      <c r="T42" s="14"/>
      <c r="U42" s="129"/>
      <c r="V42" s="129"/>
      <c r="W42" s="14"/>
      <c r="X42" s="129"/>
      <c r="Y42" s="129"/>
      <c r="Z42" s="14"/>
      <c r="AA42" s="126"/>
      <c r="AB42" s="126"/>
      <c r="AC42" s="126"/>
      <c r="AD42" s="126"/>
      <c r="AE42" s="12">
        <v>75970.0</v>
      </c>
      <c r="AF42" s="127">
        <v>1.0</v>
      </c>
      <c r="AG42" s="127">
        <v>1.0</v>
      </c>
      <c r="AH42" s="127">
        <v>1.0</v>
      </c>
      <c r="AI42" s="127">
        <v>0.0</v>
      </c>
      <c r="AJ42" s="23"/>
      <c r="AK42" s="23"/>
      <c r="AR42" s="1" t="str">
        <f t="shared" si="7"/>
        <v>id10year2018</v>
      </c>
    </row>
    <row r="43">
      <c r="A43" s="12">
        <f t="shared" si="3"/>
        <v>41</v>
      </c>
      <c r="B43" s="12">
        <v>10.0</v>
      </c>
      <c r="C43" s="13" t="str">
        <f>VLOOKUP(B43,companies!$A:$B,2,FALSE)</f>
        <v>American Express</v>
      </c>
      <c r="D43" s="15">
        <v>44204.0</v>
      </c>
      <c r="E43" s="14">
        <v>2017.0</v>
      </c>
      <c r="F43" s="14">
        <v>24162.0</v>
      </c>
      <c r="G43" s="14">
        <v>119932.0</v>
      </c>
      <c r="H43" s="14">
        <v>55273.0</v>
      </c>
      <c r="I43" s="14" t="s">
        <v>578</v>
      </c>
      <c r="J43" s="14"/>
      <c r="K43" s="14"/>
      <c r="L43" s="14"/>
      <c r="M43" s="129"/>
      <c r="N43" s="14"/>
      <c r="O43" s="14"/>
      <c r="P43" s="14"/>
      <c r="Q43" s="14"/>
      <c r="R43" s="14"/>
      <c r="S43" s="129"/>
      <c r="T43" s="14"/>
      <c r="U43" s="129"/>
      <c r="V43" s="129"/>
      <c r="W43" s="14"/>
      <c r="X43" s="129"/>
      <c r="Y43" s="129"/>
      <c r="Z43" s="14"/>
      <c r="AA43" s="126"/>
      <c r="AB43" s="126"/>
      <c r="AC43" s="126"/>
      <c r="AD43" s="126"/>
      <c r="AE43" s="12">
        <v>35000.0</v>
      </c>
      <c r="AF43" s="127">
        <v>1.0</v>
      </c>
      <c r="AG43" s="127">
        <v>1.0</v>
      </c>
      <c r="AH43" s="127">
        <v>1.0</v>
      </c>
      <c r="AI43" s="127">
        <v>0.0</v>
      </c>
      <c r="AJ43" s="23"/>
      <c r="AK43" s="23"/>
      <c r="AR43" s="1" t="str">
        <f t="shared" si="7"/>
        <v>id10year2017</v>
      </c>
    </row>
    <row r="44">
      <c r="A44" s="12">
        <f t="shared" si="3"/>
        <v>42</v>
      </c>
      <c r="B44" s="12">
        <v>11.0</v>
      </c>
      <c r="C44" s="13" t="str">
        <f>VLOOKUP(B44,companies!$A:$B,2,FALSE)</f>
        <v>American International Group (AIG)</v>
      </c>
      <c r="D44" s="15">
        <v>44204.0</v>
      </c>
      <c r="E44" s="14">
        <v>2020.0</v>
      </c>
      <c r="F44" s="14">
        <v>6156.0</v>
      </c>
      <c r="G44" s="14" t="s">
        <v>536</v>
      </c>
      <c r="H44" s="14">
        <v>71106.0</v>
      </c>
      <c r="I44" s="14" t="s">
        <v>578</v>
      </c>
      <c r="J44" s="14"/>
      <c r="K44" s="14"/>
      <c r="L44" s="14"/>
      <c r="M44" s="129"/>
      <c r="N44" s="14"/>
      <c r="O44" s="14"/>
      <c r="P44" s="14"/>
      <c r="Q44" s="14">
        <v>1394.0</v>
      </c>
      <c r="R44" s="14"/>
      <c r="S44" s="129"/>
      <c r="T44" s="14"/>
      <c r="U44" s="129"/>
      <c r="V44" s="129"/>
      <c r="W44" s="14"/>
      <c r="X44" s="129"/>
      <c r="Y44" s="129"/>
      <c r="Z44" s="14"/>
      <c r="AA44" s="126"/>
      <c r="AB44" s="126"/>
      <c r="AC44" s="126"/>
      <c r="AD44" s="126"/>
      <c r="AE44" s="12"/>
      <c r="AF44" s="127">
        <v>0.0</v>
      </c>
      <c r="AG44" s="127">
        <v>0.0</v>
      </c>
      <c r="AH44" s="127">
        <v>0.0</v>
      </c>
      <c r="AI44" s="127">
        <v>0.0</v>
      </c>
      <c r="AJ44" s="23"/>
      <c r="AK44" s="23" t="s">
        <v>755</v>
      </c>
      <c r="AR44" s="1" t="str">
        <f t="shared" si="7"/>
        <v>id11year2020</v>
      </c>
    </row>
    <row r="45">
      <c r="A45" s="12">
        <f t="shared" si="3"/>
        <v>43</v>
      </c>
      <c r="B45" s="12">
        <v>11.0</v>
      </c>
      <c r="C45" s="13" t="str">
        <f>VLOOKUP(B45,companies!$A:$B,2,FALSE)</f>
        <v>American International Group (AIG)</v>
      </c>
      <c r="D45" s="15">
        <v>44204.0</v>
      </c>
      <c r="E45" s="14">
        <v>2019.0</v>
      </c>
      <c r="F45" s="14">
        <v>17121.0</v>
      </c>
      <c r="G45" s="14" t="s">
        <v>536</v>
      </c>
      <c r="H45" s="14">
        <v>93782.0</v>
      </c>
      <c r="I45" s="14" t="s">
        <v>578</v>
      </c>
      <c r="J45" s="129"/>
      <c r="K45" s="14"/>
      <c r="L45" s="14"/>
      <c r="M45" s="129"/>
      <c r="N45" s="14"/>
      <c r="O45" s="14"/>
      <c r="P45" s="14"/>
      <c r="Q45" s="14">
        <v>44695.0</v>
      </c>
      <c r="R45" s="14"/>
      <c r="S45" s="14"/>
      <c r="T45" s="14"/>
      <c r="U45" s="14"/>
      <c r="V45" s="14"/>
      <c r="W45" s="14"/>
      <c r="X45" s="14"/>
      <c r="Y45" s="14"/>
      <c r="Z45" s="14"/>
      <c r="AA45" s="130"/>
      <c r="AB45" s="130"/>
      <c r="AC45" s="130"/>
      <c r="AD45" s="126"/>
      <c r="AE45" s="12"/>
      <c r="AF45" s="127">
        <v>0.0</v>
      </c>
      <c r="AG45" s="127">
        <v>0.0</v>
      </c>
      <c r="AH45" s="127">
        <v>0.0</v>
      </c>
      <c r="AI45" s="127">
        <v>0.0</v>
      </c>
      <c r="AJ45" s="23"/>
      <c r="AK45" s="23"/>
      <c r="AR45" s="1" t="str">
        <f t="shared" si="7"/>
        <v>id11year2019</v>
      </c>
    </row>
    <row r="46">
      <c r="A46" s="12">
        <f t="shared" si="3"/>
        <v>44</v>
      </c>
      <c r="B46" s="12">
        <v>11.0</v>
      </c>
      <c r="C46" s="13" t="str">
        <f>VLOOKUP(B46,companies!$A:$B,2,FALSE)</f>
        <v>American International Group (AIG)</v>
      </c>
      <c r="D46" s="15">
        <v>44204.0</v>
      </c>
      <c r="E46" s="14">
        <v>2018.0</v>
      </c>
      <c r="F46" s="14" t="s">
        <v>536</v>
      </c>
      <c r="G46" s="14" t="s">
        <v>536</v>
      </c>
      <c r="H46" s="14" t="s">
        <v>536</v>
      </c>
      <c r="I46" s="14" t="s">
        <v>578</v>
      </c>
      <c r="J46" s="129"/>
      <c r="K46" s="14"/>
      <c r="L46" s="14"/>
      <c r="M46" s="129"/>
      <c r="N46" s="14"/>
      <c r="O46" s="14"/>
      <c r="P46" s="14"/>
      <c r="Q46" s="14" t="s">
        <v>536</v>
      </c>
      <c r="R46" s="14"/>
      <c r="S46" s="14"/>
      <c r="T46" s="14"/>
      <c r="U46" s="14"/>
      <c r="V46" s="14"/>
      <c r="W46" s="14"/>
      <c r="X46" s="14"/>
      <c r="Y46" s="14"/>
      <c r="Z46" s="14"/>
      <c r="AA46" s="130"/>
      <c r="AB46" s="130"/>
      <c r="AC46" s="130"/>
      <c r="AD46" s="126"/>
      <c r="AE46" s="12"/>
      <c r="AF46" s="127">
        <v>0.0</v>
      </c>
      <c r="AG46" s="127">
        <v>0.0</v>
      </c>
      <c r="AH46" s="127">
        <v>0.0</v>
      </c>
      <c r="AI46" s="127">
        <v>0.0</v>
      </c>
      <c r="AJ46" s="23"/>
      <c r="AK46" s="23"/>
      <c r="AR46" s="1" t="str">
        <f t="shared" si="7"/>
        <v>id11year2018</v>
      </c>
    </row>
    <row r="47">
      <c r="A47" s="12">
        <f t="shared" si="3"/>
        <v>45</v>
      </c>
      <c r="B47" s="12">
        <v>11.0</v>
      </c>
      <c r="C47" s="13" t="str">
        <f>VLOOKUP(B47,companies!$A:$B,2,FALSE)</f>
        <v>American International Group (AIG)</v>
      </c>
      <c r="D47" s="15">
        <v>44204.0</v>
      </c>
      <c r="E47" s="14">
        <v>2017.0</v>
      </c>
      <c r="F47" s="14" t="s">
        <v>536</v>
      </c>
      <c r="G47" s="14" t="s">
        <v>536</v>
      </c>
      <c r="H47" s="14" t="s">
        <v>536</v>
      </c>
      <c r="I47" s="14" t="s">
        <v>578</v>
      </c>
      <c r="J47" s="129"/>
      <c r="K47" s="14"/>
      <c r="L47" s="14"/>
      <c r="M47" s="129"/>
      <c r="N47" s="14"/>
      <c r="O47" s="14"/>
      <c r="P47" s="14"/>
      <c r="Q47" s="14" t="s">
        <v>536</v>
      </c>
      <c r="R47" s="14"/>
      <c r="S47" s="14"/>
      <c r="T47" s="14"/>
      <c r="U47" s="14"/>
      <c r="V47" s="14"/>
      <c r="W47" s="14"/>
      <c r="X47" s="14"/>
      <c r="Y47" s="14"/>
      <c r="Z47" s="14"/>
      <c r="AA47" s="130"/>
      <c r="AB47" s="130"/>
      <c r="AC47" s="130"/>
      <c r="AD47" s="126"/>
      <c r="AE47" s="12"/>
      <c r="AF47" s="127">
        <v>0.0</v>
      </c>
      <c r="AG47" s="127">
        <v>0.0</v>
      </c>
      <c r="AH47" s="127">
        <v>0.0</v>
      </c>
      <c r="AI47" s="127">
        <v>0.0</v>
      </c>
      <c r="AJ47" s="23"/>
      <c r="AK47" s="23"/>
      <c r="AR47" s="1" t="str">
        <f t="shared" si="7"/>
        <v>id11year2017</v>
      </c>
    </row>
    <row r="48">
      <c r="A48" s="12">
        <f t="shared" si="3"/>
        <v>46</v>
      </c>
      <c r="B48" s="12">
        <v>12.0</v>
      </c>
      <c r="C48" s="13" t="str">
        <f>VLOOKUP(B48,companies!$A:$B,2,FALSE)</f>
        <v>American Tower</v>
      </c>
      <c r="D48" s="15">
        <v>44204.0</v>
      </c>
      <c r="E48" s="14">
        <v>2020.0</v>
      </c>
      <c r="F48" s="14" t="s">
        <v>536</v>
      </c>
      <c r="G48" s="14" t="s">
        <v>536</v>
      </c>
      <c r="H48" s="14" t="s">
        <v>536</v>
      </c>
      <c r="I48" s="14" t="s">
        <v>578</v>
      </c>
      <c r="J48" s="129"/>
      <c r="K48" s="14"/>
      <c r="L48" s="14"/>
      <c r="M48" s="129"/>
      <c r="N48" s="14"/>
      <c r="O48" s="14"/>
      <c r="P48" s="14"/>
      <c r="Q48" s="14"/>
      <c r="R48" s="14"/>
      <c r="S48" s="14"/>
      <c r="T48" s="14"/>
      <c r="U48" s="14"/>
      <c r="V48" s="14"/>
      <c r="W48" s="14"/>
      <c r="X48" s="14"/>
      <c r="Y48" s="14"/>
      <c r="Z48" s="14"/>
      <c r="AA48" s="130"/>
      <c r="AB48" s="130"/>
      <c r="AC48" s="130"/>
      <c r="AD48" s="126"/>
      <c r="AE48" s="12"/>
      <c r="AF48" s="127"/>
      <c r="AG48" s="127"/>
      <c r="AH48" s="127"/>
      <c r="AI48" s="127"/>
      <c r="AJ48" s="23"/>
      <c r="AK48" s="23"/>
      <c r="AR48" s="1" t="str">
        <f t="shared" si="7"/>
        <v>id12year2020</v>
      </c>
    </row>
    <row r="49">
      <c r="A49" s="12">
        <f t="shared" si="3"/>
        <v>47</v>
      </c>
      <c r="B49" s="12">
        <v>12.0</v>
      </c>
      <c r="C49" s="13" t="str">
        <f>VLOOKUP(B49,companies!$A:$B,2,FALSE)</f>
        <v>American Tower</v>
      </c>
      <c r="D49" s="15">
        <v>44204.0</v>
      </c>
      <c r="E49" s="14">
        <v>2019.0</v>
      </c>
      <c r="F49" s="14">
        <v>556281.0</v>
      </c>
      <c r="H49" s="14">
        <v>1780621.0</v>
      </c>
      <c r="I49" s="14" t="s">
        <v>578</v>
      </c>
      <c r="J49" s="129"/>
      <c r="K49" s="14"/>
      <c r="L49" s="14"/>
      <c r="M49" s="129"/>
      <c r="N49" s="14"/>
      <c r="O49" s="14"/>
      <c r="P49" s="14"/>
      <c r="Q49" s="14"/>
      <c r="R49" s="14"/>
      <c r="S49" s="14"/>
      <c r="T49" s="14"/>
      <c r="U49" s="14"/>
      <c r="V49" s="14"/>
      <c r="W49" s="14"/>
      <c r="X49" s="14"/>
      <c r="Y49" s="14"/>
      <c r="Z49" s="14"/>
      <c r="AA49" s="130"/>
      <c r="AB49" s="130"/>
      <c r="AC49" s="130"/>
      <c r="AD49" s="126"/>
      <c r="AE49" s="12"/>
      <c r="AF49" s="127">
        <v>0.0</v>
      </c>
      <c r="AG49" s="127">
        <v>0.0</v>
      </c>
      <c r="AH49" s="127">
        <v>0.0</v>
      </c>
      <c r="AI49" s="127">
        <v>0.0</v>
      </c>
      <c r="AJ49" s="23"/>
      <c r="AK49" s="23" t="s">
        <v>756</v>
      </c>
      <c r="AR49" s="1" t="str">
        <f t="shared" si="7"/>
        <v>id12year2019</v>
      </c>
    </row>
    <row r="50">
      <c r="A50" s="12">
        <f t="shared" si="3"/>
        <v>48</v>
      </c>
      <c r="B50" s="12">
        <v>12.0</v>
      </c>
      <c r="C50" s="13" t="str">
        <f>VLOOKUP(B50,companies!$A:$B,2,FALSE)</f>
        <v>American Tower</v>
      </c>
      <c r="D50" s="15">
        <v>44204.0</v>
      </c>
      <c r="E50" s="14">
        <v>2018.0</v>
      </c>
      <c r="F50" s="14">
        <v>615347.0</v>
      </c>
      <c r="G50" s="14"/>
      <c r="H50" s="14">
        <v>1796960.0</v>
      </c>
      <c r="I50" s="14" t="s">
        <v>578</v>
      </c>
      <c r="J50" s="129"/>
      <c r="K50" s="14"/>
      <c r="L50" s="14"/>
      <c r="M50" s="129"/>
      <c r="N50" s="14"/>
      <c r="O50" s="14"/>
      <c r="P50" s="14"/>
      <c r="Q50" s="14"/>
      <c r="R50" s="14"/>
      <c r="S50" s="14"/>
      <c r="T50" s="14"/>
      <c r="U50" s="14"/>
      <c r="V50" s="14"/>
      <c r="W50" s="14"/>
      <c r="X50" s="14"/>
      <c r="Y50" s="14"/>
      <c r="Z50" s="14"/>
      <c r="AA50" s="130"/>
      <c r="AB50" s="130"/>
      <c r="AC50" s="130"/>
      <c r="AD50" s="126"/>
      <c r="AE50" s="12"/>
      <c r="AF50" s="127">
        <v>0.0</v>
      </c>
      <c r="AG50" s="127">
        <v>0.0</v>
      </c>
      <c r="AH50" s="127">
        <v>0.0</v>
      </c>
      <c r="AI50" s="127">
        <v>0.0</v>
      </c>
      <c r="AJ50" s="23"/>
      <c r="AK50" s="23" t="s">
        <v>756</v>
      </c>
      <c r="AR50" s="1" t="str">
        <f t="shared" si="7"/>
        <v>id12year2018</v>
      </c>
    </row>
    <row r="51">
      <c r="A51" s="12">
        <f t="shared" si="3"/>
        <v>49</v>
      </c>
      <c r="B51" s="12">
        <v>12.0</v>
      </c>
      <c r="C51" s="13" t="str">
        <f>VLOOKUP(B51,companies!$A:$B,2,FALSE)</f>
        <v>American Tower</v>
      </c>
      <c r="D51" s="15">
        <v>44204.0</v>
      </c>
      <c r="E51" s="14">
        <v>2017.0</v>
      </c>
      <c r="F51" s="14">
        <v>650755.0</v>
      </c>
      <c r="G51" s="14"/>
      <c r="H51" s="14">
        <v>1617395.0</v>
      </c>
      <c r="I51" s="14" t="s">
        <v>578</v>
      </c>
      <c r="J51" s="129"/>
      <c r="K51" s="14"/>
      <c r="L51" s="14"/>
      <c r="M51" s="129"/>
      <c r="N51" s="14"/>
      <c r="O51" s="14"/>
      <c r="P51" s="14"/>
      <c r="Q51" s="14"/>
      <c r="R51" s="14"/>
      <c r="S51" s="14"/>
      <c r="T51" s="14"/>
      <c r="U51" s="14"/>
      <c r="V51" s="14"/>
      <c r="W51" s="14"/>
      <c r="X51" s="14"/>
      <c r="Y51" s="14"/>
      <c r="Z51" s="14"/>
      <c r="AA51" s="130"/>
      <c r="AB51" s="130"/>
      <c r="AC51" s="130"/>
      <c r="AD51" s="126"/>
      <c r="AE51" s="12"/>
      <c r="AF51" s="127">
        <v>0.0</v>
      </c>
      <c r="AG51" s="127">
        <v>0.0</v>
      </c>
      <c r="AH51" s="127">
        <v>0.0</v>
      </c>
      <c r="AI51" s="127">
        <v>0.0</v>
      </c>
      <c r="AJ51" s="23"/>
      <c r="AK51" s="23"/>
      <c r="AR51" s="1" t="str">
        <f t="shared" si="7"/>
        <v>id12year2017</v>
      </c>
    </row>
    <row r="52">
      <c r="A52" s="12">
        <f t="shared" si="3"/>
        <v>50</v>
      </c>
      <c r="B52" s="12">
        <v>13.0</v>
      </c>
      <c r="C52" s="13" t="str">
        <f>VLOOKUP(B52,companies!$A:$B,2,FALSE)</f>
        <v>Amgen Inc.</v>
      </c>
      <c r="D52" s="15">
        <v>44204.0</v>
      </c>
      <c r="E52" s="14">
        <v>2020.0</v>
      </c>
      <c r="F52" s="14">
        <f>107000+27000+1400+3700</f>
        <v>139100</v>
      </c>
      <c r="G52" s="14">
        <v>138900.0</v>
      </c>
      <c r="H52" s="14">
        <v>136100.0</v>
      </c>
      <c r="I52" s="14" t="s">
        <v>578</v>
      </c>
      <c r="J52" s="129"/>
      <c r="K52" s="14">
        <v>2316000.0</v>
      </c>
      <c r="L52" s="14">
        <v>210000.0</v>
      </c>
      <c r="M52" s="129"/>
      <c r="N52" s="14">
        <v>45000.0</v>
      </c>
      <c r="O52" s="14">
        <v>21000.0</v>
      </c>
      <c r="P52" s="14">
        <v>7600.0</v>
      </c>
      <c r="Q52" s="14">
        <v>13000.0</v>
      </c>
      <c r="R52" s="14">
        <v>14000.0</v>
      </c>
      <c r="S52" s="14"/>
      <c r="T52" s="14"/>
      <c r="U52" s="14"/>
      <c r="V52" s="14"/>
      <c r="W52" s="14"/>
      <c r="X52" s="14"/>
      <c r="Y52" s="14"/>
      <c r="Z52" s="14"/>
      <c r="AA52" s="130"/>
      <c r="AB52" s="130"/>
      <c r="AC52" s="130"/>
      <c r="AD52" s="126"/>
      <c r="AE52" s="12"/>
      <c r="AF52" s="127">
        <v>1.0</v>
      </c>
      <c r="AG52" s="127">
        <v>1.0</v>
      </c>
      <c r="AH52" s="127">
        <v>1.0</v>
      </c>
      <c r="AI52" s="127" t="str">
        <f>AI53</f>
        <v>#N/A</v>
      </c>
      <c r="AJ52" s="23"/>
      <c r="AK52" s="23" t="s">
        <v>757</v>
      </c>
      <c r="AR52" s="1" t="str">
        <f t="shared" si="7"/>
        <v>id13year2020</v>
      </c>
    </row>
    <row r="53">
      <c r="A53" s="12">
        <f t="shared" si="3"/>
        <v>51</v>
      </c>
      <c r="B53" s="12">
        <v>13.0</v>
      </c>
      <c r="C53" s="13" t="str">
        <f>VLOOKUP(B53,companies!$A:$B,2,FALSE)</f>
        <v>Amgen Inc.</v>
      </c>
      <c r="D53" s="15">
        <v>44204.0</v>
      </c>
      <c r="E53" s="14">
        <v>2019.0</v>
      </c>
      <c r="F53" s="14">
        <v>135954.0</v>
      </c>
      <c r="G53" s="14">
        <v>173922.0</v>
      </c>
      <c r="H53" s="14">
        <v>160360.0</v>
      </c>
      <c r="I53" s="14" t="s">
        <v>578</v>
      </c>
      <c r="J53" s="129"/>
      <c r="K53" s="14">
        <v>2323917.0</v>
      </c>
      <c r="L53" s="14">
        <v>258132.0</v>
      </c>
      <c r="M53" s="129"/>
      <c r="N53" s="14">
        <v>52554.0</v>
      </c>
      <c r="O53" s="14">
        <v>22572.0</v>
      </c>
      <c r="P53" s="14">
        <v>3454.0</v>
      </c>
      <c r="Q53" s="14">
        <v>56478.0</v>
      </c>
      <c r="R53" s="14">
        <v>56210.0</v>
      </c>
      <c r="S53" s="14"/>
      <c r="T53" s="14"/>
      <c r="U53" s="14"/>
      <c r="V53" s="14"/>
      <c r="W53" s="14"/>
      <c r="X53" s="14"/>
      <c r="Y53" s="14"/>
      <c r="Z53" s="14"/>
      <c r="AA53" s="130"/>
      <c r="AB53" s="130"/>
      <c r="AC53" s="130"/>
      <c r="AD53" s="126"/>
      <c r="AE53" s="12"/>
      <c r="AF53" s="127">
        <v>1.0</v>
      </c>
      <c r="AG53" s="127">
        <v>1.0</v>
      </c>
      <c r="AH53" s="127">
        <v>1.0</v>
      </c>
      <c r="AI53" s="127" t="str">
        <f t="shared" ref="AI53:AI54" si="9">sum(K53:R53)/AC81</f>
        <v>#N/A</v>
      </c>
      <c r="AJ53" s="23"/>
      <c r="AK53" s="23"/>
      <c r="AR53" s="1" t="str">
        <f t="shared" si="7"/>
        <v>id13year2019</v>
      </c>
    </row>
    <row r="54">
      <c r="A54" s="12">
        <f t="shared" si="3"/>
        <v>52</v>
      </c>
      <c r="B54" s="12">
        <v>13.0</v>
      </c>
      <c r="C54" s="13" t="str">
        <f>VLOOKUP(B54,companies!$A:$B,2,FALSE)</f>
        <v>Amgen Inc.</v>
      </c>
      <c r="D54" s="15">
        <v>44204.0</v>
      </c>
      <c r="E54" s="14">
        <v>2018.0</v>
      </c>
      <c r="F54" s="14">
        <v>160184.0</v>
      </c>
      <c r="G54" s="14"/>
      <c r="H54" s="14">
        <v>159848.0</v>
      </c>
      <c r="I54" s="14" t="s">
        <v>578</v>
      </c>
      <c r="J54" s="129"/>
      <c r="K54" s="14">
        <v>2414000.0</v>
      </c>
      <c r="L54" s="14">
        <v>263000.0</v>
      </c>
      <c r="M54" s="129"/>
      <c r="N54" s="14">
        <v>29000.0</v>
      </c>
      <c r="O54" s="14">
        <v>33000.0</v>
      </c>
      <c r="P54" s="14">
        <v>1400.0</v>
      </c>
      <c r="Q54" s="14">
        <v>59000.0</v>
      </c>
      <c r="R54" s="14">
        <v>56000.0</v>
      </c>
      <c r="S54" s="14"/>
      <c r="T54" s="14"/>
      <c r="U54" s="14"/>
      <c r="V54" s="14"/>
      <c r="W54" s="14"/>
      <c r="X54" s="14"/>
      <c r="Y54" s="14"/>
      <c r="Z54" s="14"/>
      <c r="AA54" s="130"/>
      <c r="AB54" s="130"/>
      <c r="AC54" s="130"/>
      <c r="AD54" s="126"/>
      <c r="AE54" s="12"/>
      <c r="AF54" s="127">
        <v>1.0</v>
      </c>
      <c r="AG54" s="127">
        <v>1.0</v>
      </c>
      <c r="AH54" s="127">
        <v>1.0</v>
      </c>
      <c r="AI54" s="127" t="str">
        <f t="shared" si="9"/>
        <v>#N/A</v>
      </c>
      <c r="AJ54" s="23"/>
      <c r="AK54" s="23"/>
      <c r="AR54" s="1" t="str">
        <f t="shared" si="7"/>
        <v>id13year2018</v>
      </c>
    </row>
    <row r="55">
      <c r="A55" s="12">
        <f t="shared" si="3"/>
        <v>53</v>
      </c>
      <c r="B55" s="12">
        <v>13.0</v>
      </c>
      <c r="C55" s="13" t="str">
        <f>VLOOKUP(B55,companies!$A:$B,2,FALSE)</f>
        <v>Amgen Inc.</v>
      </c>
      <c r="D55" s="15">
        <v>44204.0</v>
      </c>
      <c r="E55" s="14">
        <v>2017.0</v>
      </c>
      <c r="F55" s="14">
        <v>163362.0</v>
      </c>
      <c r="G55" s="14"/>
      <c r="H55" s="14">
        <v>154000.0</v>
      </c>
      <c r="I55" s="14" t="s">
        <v>578</v>
      </c>
      <c r="J55" s="129"/>
      <c r="K55" s="14" t="s">
        <v>536</v>
      </c>
      <c r="L55" s="14" t="s">
        <v>536</v>
      </c>
      <c r="M55" s="129"/>
      <c r="N55" s="14" t="s">
        <v>536</v>
      </c>
      <c r="O55" s="14">
        <v>40000.0</v>
      </c>
      <c r="P55" s="14" t="s">
        <v>536</v>
      </c>
      <c r="Q55" s="14">
        <v>85000.0</v>
      </c>
      <c r="R55" s="14">
        <v>60000.0</v>
      </c>
      <c r="S55" s="14"/>
      <c r="T55" s="14"/>
      <c r="U55" s="14"/>
      <c r="V55" s="14"/>
      <c r="W55" s="14"/>
      <c r="X55" s="14"/>
      <c r="Y55" s="14"/>
      <c r="Z55" s="14"/>
      <c r="AA55" s="130"/>
      <c r="AB55" s="130"/>
      <c r="AC55" s="130"/>
      <c r="AD55" s="126"/>
      <c r="AE55" s="12"/>
      <c r="AF55" s="127"/>
      <c r="AG55" s="127"/>
      <c r="AH55" s="127"/>
      <c r="AI55" s="127"/>
      <c r="AJ55" s="23"/>
      <c r="AK55" s="23"/>
      <c r="AR55" s="1" t="str">
        <f t="shared" si="7"/>
        <v>id13year2017</v>
      </c>
    </row>
    <row r="56">
      <c r="A56" s="12">
        <f t="shared" si="3"/>
        <v>54</v>
      </c>
      <c r="B56" s="12">
        <v>14.0</v>
      </c>
      <c r="C56" s="13" t="str">
        <f>VLOOKUP(B56,companies!$A:$B,2,FALSE)</f>
        <v>Apple Inc.</v>
      </c>
      <c r="D56" s="15">
        <v>44235.0</v>
      </c>
      <c r="E56" s="14">
        <v>2020.0</v>
      </c>
      <c r="F56" s="14">
        <v>47430.0</v>
      </c>
      <c r="G56" s="14">
        <v>890189.0</v>
      </c>
      <c r="H56" s="14">
        <v>0.0</v>
      </c>
      <c r="I56" s="14" t="s">
        <v>578</v>
      </c>
      <c r="J56" s="14">
        <v>2.255E7</v>
      </c>
      <c r="K56" s="14">
        <v>1.61E7</v>
      </c>
      <c r="L56" s="14"/>
      <c r="M56" s="129"/>
      <c r="N56" s="14"/>
      <c r="O56" s="14"/>
      <c r="P56" s="14"/>
      <c r="Q56" s="14">
        <v>153000.0</v>
      </c>
      <c r="R56" s="14">
        <v>134000.0</v>
      </c>
      <c r="S56" s="14"/>
      <c r="T56" s="14"/>
      <c r="U56" s="14"/>
      <c r="V56" s="14">
        <v>4300000.0</v>
      </c>
      <c r="W56" s="14">
        <v>60000.0</v>
      </c>
      <c r="X56" s="14"/>
      <c r="Y56" s="14"/>
      <c r="Z56" s="14"/>
      <c r="AA56" s="130"/>
      <c r="AB56" s="130"/>
      <c r="AC56" s="130"/>
      <c r="AD56" s="126"/>
      <c r="AE56" s="12"/>
      <c r="AF56" s="127">
        <v>1.0</v>
      </c>
      <c r="AG56" s="127">
        <v>1.0</v>
      </c>
      <c r="AH56" s="127">
        <v>1.0</v>
      </c>
      <c r="AI56" s="127">
        <v>1.0</v>
      </c>
      <c r="AJ56" s="23"/>
      <c r="AK56" s="23" t="s">
        <v>758</v>
      </c>
      <c r="AL56" s="35" t="s">
        <v>682</v>
      </c>
      <c r="AR56" s="1" t="str">
        <f t="shared" si="7"/>
        <v>id14year2020</v>
      </c>
    </row>
    <row r="57">
      <c r="A57" s="12">
        <f t="shared" si="3"/>
        <v>55</v>
      </c>
      <c r="B57" s="12">
        <v>14.0</v>
      </c>
      <c r="C57" s="13" t="str">
        <f>VLOOKUP(B57,companies!$A:$B,2,FALSE)</f>
        <v>Apple Inc.</v>
      </c>
      <c r="D57" s="15">
        <v>44235.0</v>
      </c>
      <c r="E57" s="14">
        <v>2019.0</v>
      </c>
      <c r="F57" s="14">
        <v>52730.0</v>
      </c>
      <c r="G57" s="14"/>
      <c r="H57" s="14">
        <v>0.0</v>
      </c>
      <c r="I57" s="14" t="s">
        <v>578</v>
      </c>
      <c r="J57" s="14">
        <v>2.498E7</v>
      </c>
      <c r="K57" s="14">
        <v>1.89E7</v>
      </c>
      <c r="L57" s="14"/>
      <c r="M57" s="129"/>
      <c r="N57" s="14"/>
      <c r="O57" s="14"/>
      <c r="P57" s="14"/>
      <c r="Q57" s="14">
        <v>326000.0</v>
      </c>
      <c r="R57" s="14">
        <v>195000.0</v>
      </c>
      <c r="S57" s="14"/>
      <c r="T57" s="14"/>
      <c r="U57" s="14"/>
      <c r="V57" s="14">
        <v>4100000.0</v>
      </c>
      <c r="W57" s="14">
        <v>60000.0</v>
      </c>
      <c r="X57" s="14"/>
      <c r="Y57" s="14"/>
      <c r="Z57" s="14"/>
      <c r="AA57" s="130"/>
      <c r="AB57" s="130"/>
      <c r="AC57" s="130"/>
      <c r="AD57" s="126"/>
      <c r="AE57" s="12"/>
      <c r="AF57" s="127">
        <v>1.0</v>
      </c>
      <c r="AG57" s="127">
        <v>1.0</v>
      </c>
      <c r="AH57" s="127">
        <v>1.0</v>
      </c>
      <c r="AI57" s="127">
        <v>1.0</v>
      </c>
      <c r="AJ57" s="23"/>
      <c r="AK57" s="23"/>
      <c r="AR57" s="1" t="str">
        <f t="shared" si="7"/>
        <v>id14year2019</v>
      </c>
    </row>
    <row r="58">
      <c r="A58" s="12">
        <f t="shared" si="3"/>
        <v>56</v>
      </c>
      <c r="B58" s="12">
        <v>14.0</v>
      </c>
      <c r="C58" s="13" t="str">
        <f>VLOOKUP(B58,companies!$A:$B,2,FALSE)</f>
        <v>Apple Inc.</v>
      </c>
      <c r="D58" s="15">
        <v>44235.0</v>
      </c>
      <c r="E58" s="14">
        <v>2018.0</v>
      </c>
      <c r="F58" s="14">
        <v>57440.0</v>
      </c>
      <c r="G58" s="14"/>
      <c r="H58" s="14">
        <v>8730.0</v>
      </c>
      <c r="I58" s="14" t="s">
        <v>578</v>
      </c>
      <c r="J58" s="14">
        <v>2.507E7</v>
      </c>
      <c r="K58" s="14">
        <v>1.85E7</v>
      </c>
      <c r="L58" s="14"/>
      <c r="M58" s="129"/>
      <c r="N58" s="14"/>
      <c r="O58" s="14"/>
      <c r="P58" s="14"/>
      <c r="Q58" s="14">
        <v>337000.0</v>
      </c>
      <c r="R58" s="14">
        <v>183000.0</v>
      </c>
      <c r="S58" s="14"/>
      <c r="T58" s="14"/>
      <c r="U58" s="14"/>
      <c r="V58" s="14">
        <v>4700000.0</v>
      </c>
      <c r="W58" s="14">
        <v>50000.0</v>
      </c>
      <c r="X58" s="14"/>
      <c r="Y58" s="14"/>
      <c r="Z58" s="14"/>
      <c r="AA58" s="130"/>
      <c r="AB58" s="130"/>
      <c r="AC58" s="130"/>
      <c r="AD58" s="126"/>
      <c r="AE58" s="12"/>
      <c r="AF58" s="127">
        <v>1.0</v>
      </c>
      <c r="AG58" s="127">
        <v>1.0</v>
      </c>
      <c r="AH58" s="127">
        <v>1.0</v>
      </c>
      <c r="AI58" s="127"/>
      <c r="AJ58" s="23"/>
      <c r="AK58" s="23"/>
      <c r="AR58" s="1" t="str">
        <f t="shared" si="7"/>
        <v>id14year2018</v>
      </c>
    </row>
    <row r="59">
      <c r="A59" s="12">
        <f t="shared" si="3"/>
        <v>57</v>
      </c>
      <c r="B59" s="12">
        <v>14.0</v>
      </c>
      <c r="C59" s="13" t="str">
        <f>VLOOKUP(B59,companies!$A:$B,2,FALSE)</f>
        <v>Apple Inc.</v>
      </c>
      <c r="D59" s="15">
        <v>44235.0</v>
      </c>
      <c r="E59" s="14">
        <v>2017.0</v>
      </c>
      <c r="F59" s="14">
        <v>47050.0</v>
      </c>
      <c r="G59" s="14"/>
      <c r="H59" s="14">
        <v>36250.0</v>
      </c>
      <c r="I59" s="14" t="s">
        <v>578</v>
      </c>
      <c r="J59" s="14">
        <v>2.733E7</v>
      </c>
      <c r="K59" s="14">
        <v>2.11E7</v>
      </c>
      <c r="L59" s="14"/>
      <c r="M59" s="129"/>
      <c r="N59" s="14"/>
      <c r="O59" s="14"/>
      <c r="P59" s="14"/>
      <c r="Q59" s="14">
        <v>121000.0</v>
      </c>
      <c r="R59" s="14">
        <v>172000.0</v>
      </c>
      <c r="S59" s="14"/>
      <c r="T59" s="14"/>
      <c r="U59" s="14"/>
      <c r="V59" s="14">
        <v>4700000.0</v>
      </c>
      <c r="W59" s="14">
        <v>40000.0</v>
      </c>
      <c r="X59" s="14"/>
      <c r="Y59" s="14"/>
      <c r="Z59" s="14"/>
      <c r="AA59" s="130"/>
      <c r="AB59" s="130"/>
      <c r="AC59" s="130"/>
      <c r="AD59" s="126"/>
      <c r="AE59" s="12"/>
      <c r="AF59" s="127">
        <v>1.0</v>
      </c>
      <c r="AG59" s="127">
        <v>1.0</v>
      </c>
      <c r="AH59" s="127">
        <v>1.0</v>
      </c>
      <c r="AI59" s="127"/>
      <c r="AJ59" s="23"/>
      <c r="AK59" s="23"/>
      <c r="AR59" s="1" t="str">
        <f t="shared" si="7"/>
        <v>id14year2017</v>
      </c>
    </row>
    <row r="60">
      <c r="A60" s="12">
        <f t="shared" si="3"/>
        <v>58</v>
      </c>
      <c r="B60" s="12">
        <v>15.0</v>
      </c>
      <c r="C60" s="13" t="str">
        <f>VLOOKUP(B60,companies!$A:$B,2,FALSE)</f>
        <v>AT&amp;T Inc.</v>
      </c>
      <c r="D60" s="15">
        <v>44235.0</v>
      </c>
      <c r="E60" s="14">
        <v>2020.0</v>
      </c>
      <c r="F60" s="14">
        <v>1044751.0</v>
      </c>
      <c r="G60" s="14">
        <v>5635263.0</v>
      </c>
      <c r="H60" s="14">
        <v>4743507.0</v>
      </c>
      <c r="I60" s="14" t="s">
        <v>578</v>
      </c>
      <c r="J60" s="14"/>
      <c r="K60" s="14"/>
      <c r="L60" s="14"/>
      <c r="M60" s="129"/>
      <c r="N60" s="14"/>
      <c r="O60" s="14"/>
      <c r="P60" s="14"/>
      <c r="Q60" s="14"/>
      <c r="R60" s="14"/>
      <c r="S60" s="14"/>
      <c r="T60" s="14"/>
      <c r="U60" s="14"/>
      <c r="V60" s="14"/>
      <c r="W60" s="14"/>
      <c r="X60" s="14"/>
      <c r="Y60" s="14"/>
      <c r="Z60" s="14"/>
      <c r="AA60" s="130"/>
      <c r="AB60" s="130"/>
      <c r="AC60" s="130"/>
      <c r="AD60" s="126"/>
      <c r="AE60" s="12"/>
      <c r="AF60" s="127">
        <v>1.0</v>
      </c>
      <c r="AG60" s="127">
        <v>1.0</v>
      </c>
      <c r="AH60" s="127">
        <v>1.0</v>
      </c>
      <c r="AI60" s="127" t="str">
        <f>AI61</f>
        <v>#N/A</v>
      </c>
      <c r="AJ60" s="23"/>
      <c r="AK60" s="23" t="s">
        <v>759</v>
      </c>
      <c r="AR60" s="1" t="str">
        <f t="shared" si="7"/>
        <v>id15year2020</v>
      </c>
    </row>
    <row r="61">
      <c r="A61" s="12">
        <f t="shared" si="3"/>
        <v>59</v>
      </c>
      <c r="B61" s="12">
        <v>15.0</v>
      </c>
      <c r="C61" s="13" t="str">
        <f>VLOOKUP(B61,companies!$A:$B,2,FALSE)</f>
        <v>AT&amp;T Inc.</v>
      </c>
      <c r="D61" s="15">
        <v>44235.0</v>
      </c>
      <c r="E61" s="14">
        <v>2019.0</v>
      </c>
      <c r="F61" s="14">
        <v>990955.0</v>
      </c>
      <c r="G61" s="14">
        <v>6015122.0</v>
      </c>
      <c r="H61" s="14">
        <v>5534088.0</v>
      </c>
      <c r="I61" s="14" t="s">
        <v>578</v>
      </c>
      <c r="J61" s="129"/>
      <c r="K61" s="14"/>
      <c r="L61" s="14"/>
      <c r="M61" s="129"/>
      <c r="N61" s="14"/>
      <c r="O61" s="14"/>
      <c r="P61" s="14">
        <v>34267.0</v>
      </c>
      <c r="Q61" s="14">
        <v>154670.0</v>
      </c>
      <c r="R61" s="14"/>
      <c r="S61" s="14"/>
      <c r="T61" s="14"/>
      <c r="U61" s="14"/>
      <c r="V61" s="14"/>
      <c r="W61" s="14"/>
      <c r="X61" s="14">
        <v>3705329.0</v>
      </c>
      <c r="Y61" s="14"/>
      <c r="Z61" s="14"/>
      <c r="AA61" s="130"/>
      <c r="AB61" s="130"/>
      <c r="AC61" s="130"/>
      <c r="AD61" s="126"/>
      <c r="AE61" s="12"/>
      <c r="AF61" s="127">
        <v>1.0</v>
      </c>
      <c r="AG61" s="127">
        <v>1.0</v>
      </c>
      <c r="AH61" s="127">
        <v>1.0</v>
      </c>
      <c r="AI61" s="127" t="str">
        <f>SUM(J61:Z61)/AC81</f>
        <v>#N/A</v>
      </c>
      <c r="AJ61" s="23"/>
      <c r="AK61" s="23" t="s">
        <v>760</v>
      </c>
      <c r="AR61" s="1" t="str">
        <f t="shared" si="7"/>
        <v>id15year2019</v>
      </c>
    </row>
    <row r="62">
      <c r="A62" s="12">
        <f t="shared" si="3"/>
        <v>60</v>
      </c>
      <c r="B62" s="12">
        <v>15.0</v>
      </c>
      <c r="C62" s="13" t="str">
        <f>VLOOKUP(B62,companies!$A:$B,2,FALSE)</f>
        <v>AT&amp;T Inc.</v>
      </c>
      <c r="D62" s="15">
        <v>44235.0</v>
      </c>
      <c r="E62" s="14">
        <v>2018.0</v>
      </c>
      <c r="F62" s="14">
        <v>1020000.0</v>
      </c>
      <c r="G62" s="14">
        <v>6660000.0</v>
      </c>
      <c r="H62" s="14">
        <v>6660000.0</v>
      </c>
      <c r="I62" s="14" t="s">
        <v>578</v>
      </c>
      <c r="J62" s="129"/>
      <c r="K62" s="14"/>
      <c r="L62" s="14"/>
      <c r="M62" s="129"/>
      <c r="N62" s="14"/>
      <c r="O62" s="14"/>
      <c r="P62" s="14"/>
      <c r="Q62" s="14"/>
      <c r="R62" s="14"/>
      <c r="S62" s="14"/>
      <c r="T62" s="14"/>
      <c r="U62" s="14"/>
      <c r="V62" s="14"/>
      <c r="W62" s="14"/>
      <c r="X62" s="14"/>
      <c r="Y62" s="14"/>
      <c r="Z62" s="14"/>
      <c r="AA62" s="130"/>
      <c r="AB62" s="130"/>
      <c r="AC62" s="130"/>
      <c r="AD62" s="126"/>
      <c r="AE62" s="12"/>
      <c r="AF62" s="127">
        <v>1.0</v>
      </c>
      <c r="AG62" s="127">
        <v>1.0</v>
      </c>
      <c r="AH62" s="127">
        <v>1.0</v>
      </c>
      <c r="AI62" s="127" t="str">
        <f>AI61</f>
        <v>#N/A</v>
      </c>
      <c r="AJ62" s="23"/>
      <c r="AK62" s="23"/>
      <c r="AR62" s="1" t="str">
        <f t="shared" si="7"/>
        <v>id15year2018</v>
      </c>
    </row>
    <row r="63">
      <c r="A63" s="12">
        <f t="shared" si="3"/>
        <v>61</v>
      </c>
      <c r="B63" s="12">
        <v>15.0</v>
      </c>
      <c r="C63" s="13" t="str">
        <f>VLOOKUP(B63,companies!$A:$B,2,FALSE)</f>
        <v>AT&amp;T Inc.</v>
      </c>
      <c r="D63" s="15">
        <v>44235.0</v>
      </c>
      <c r="E63" s="14">
        <v>2017.0</v>
      </c>
      <c r="F63" s="14">
        <v>1070000.0</v>
      </c>
      <c r="G63" s="14">
        <v>6950000.0</v>
      </c>
      <c r="H63" s="14">
        <v>6950000.0</v>
      </c>
      <c r="I63" s="14" t="s">
        <v>578</v>
      </c>
      <c r="J63" s="129"/>
      <c r="L63" s="14"/>
      <c r="M63" s="129"/>
      <c r="N63" s="14"/>
      <c r="O63" s="14"/>
      <c r="P63" s="14"/>
      <c r="Q63" s="14"/>
      <c r="R63" s="14"/>
      <c r="S63" s="14"/>
      <c r="T63" s="14"/>
      <c r="U63" s="14"/>
      <c r="V63" s="14"/>
      <c r="W63" s="14"/>
      <c r="X63" s="14"/>
      <c r="Y63" s="14"/>
      <c r="Z63" s="14"/>
      <c r="AA63" s="130"/>
      <c r="AB63" s="130"/>
      <c r="AC63" s="130"/>
      <c r="AD63" s="126"/>
      <c r="AE63" s="12"/>
      <c r="AF63" s="127">
        <v>1.0</v>
      </c>
      <c r="AG63" s="127">
        <v>1.0</v>
      </c>
      <c r="AH63" s="127">
        <v>1.0</v>
      </c>
      <c r="AI63" s="127">
        <v>1.0</v>
      </c>
      <c r="AJ63" s="23"/>
      <c r="AK63" s="23"/>
      <c r="AR63" s="1" t="str">
        <f t="shared" si="7"/>
        <v>id15year2017</v>
      </c>
    </row>
    <row r="64">
      <c r="A64" s="12">
        <f t="shared" si="3"/>
        <v>62</v>
      </c>
      <c r="B64" s="12">
        <v>15.0</v>
      </c>
      <c r="C64" s="13" t="str">
        <f>VLOOKUP(B64,companies!$A:$B,2,FALSE)</f>
        <v>AT&amp;T Inc.</v>
      </c>
      <c r="D64" s="15">
        <v>44235.0</v>
      </c>
      <c r="E64" s="14">
        <v>2015.0</v>
      </c>
      <c r="F64" s="14">
        <v>1134340.0</v>
      </c>
      <c r="G64" s="14">
        <v>7694918.0</v>
      </c>
      <c r="H64" s="14"/>
      <c r="I64" s="14" t="s">
        <v>578</v>
      </c>
      <c r="J64" s="129"/>
      <c r="L64" s="14"/>
      <c r="M64" s="129"/>
      <c r="N64" s="14"/>
      <c r="O64" s="14"/>
      <c r="P64" s="14"/>
      <c r="Q64" s="14"/>
      <c r="R64" s="14"/>
      <c r="S64" s="14"/>
      <c r="T64" s="14"/>
      <c r="U64" s="14"/>
      <c r="V64" s="14"/>
      <c r="W64" s="14"/>
      <c r="X64" s="14"/>
      <c r="Y64" s="14"/>
      <c r="Z64" s="14"/>
      <c r="AA64" s="130"/>
      <c r="AB64" s="130"/>
      <c r="AC64" s="130"/>
      <c r="AD64" s="126"/>
      <c r="AE64" s="12"/>
      <c r="AF64" s="127"/>
      <c r="AG64" s="127"/>
      <c r="AH64" s="127"/>
      <c r="AI64" s="127"/>
      <c r="AJ64" s="23"/>
      <c r="AK64" s="23"/>
      <c r="AR64" s="1" t="str">
        <f t="shared" si="7"/>
        <v>id15year2015</v>
      </c>
    </row>
    <row r="65">
      <c r="A65" s="12">
        <f t="shared" si="3"/>
        <v>63</v>
      </c>
      <c r="B65" s="12">
        <v>16.0</v>
      </c>
      <c r="C65" s="13" t="str">
        <f>VLOOKUP(B65,companies!$A:$B,2,FALSE)</f>
        <v>Bank of America</v>
      </c>
      <c r="D65" s="15">
        <v>44235.0</v>
      </c>
      <c r="E65" s="14">
        <v>2020.0</v>
      </c>
      <c r="F65" s="14">
        <v>53390.0</v>
      </c>
      <c r="G65" s="14">
        <v>657635.0</v>
      </c>
      <c r="H65" s="14">
        <v>7685.0</v>
      </c>
      <c r="I65" s="14" t="s">
        <v>578</v>
      </c>
      <c r="J65" s="14"/>
      <c r="K65" s="14">
        <v>1573430.0</v>
      </c>
      <c r="L65" s="14">
        <v>74283.0</v>
      </c>
      <c r="M65" s="14"/>
      <c r="N65" s="14">
        <v>134786.0</v>
      </c>
      <c r="O65" s="14">
        <v>116149.0</v>
      </c>
      <c r="P65" s="14">
        <v>15850.0</v>
      </c>
      <c r="Q65" s="14">
        <v>31482.0</v>
      </c>
      <c r="R65" s="14">
        <v>126415.0</v>
      </c>
      <c r="S65" s="14" t="s">
        <v>683</v>
      </c>
      <c r="T65" s="14">
        <v>1200000.0</v>
      </c>
      <c r="U65" s="14" t="s">
        <v>683</v>
      </c>
      <c r="V65" s="14">
        <v>4000.0</v>
      </c>
      <c r="W65" s="14">
        <v>15000.0</v>
      </c>
      <c r="X65" s="14" t="s">
        <v>683</v>
      </c>
      <c r="Y65" s="14" t="s">
        <v>683</v>
      </c>
      <c r="Z65" s="14" t="s">
        <v>536</v>
      </c>
      <c r="AA65" s="130" t="s">
        <v>683</v>
      </c>
      <c r="AB65" s="130" t="s">
        <v>683</v>
      </c>
      <c r="AC65" s="130"/>
      <c r="AD65" s="126"/>
      <c r="AE65" s="12">
        <v>61075.0</v>
      </c>
      <c r="AF65" s="144"/>
      <c r="AG65" s="144"/>
      <c r="AH65" s="144"/>
      <c r="AI65" s="144"/>
      <c r="AJ65" s="23"/>
      <c r="AK65" s="23"/>
      <c r="AR65" s="1" t="str">
        <f t="shared" si="7"/>
        <v>id16year2020</v>
      </c>
    </row>
    <row r="66">
      <c r="A66" s="12">
        <f t="shared" si="3"/>
        <v>64</v>
      </c>
      <c r="B66" s="12">
        <v>16.0</v>
      </c>
      <c r="C66" s="13" t="str">
        <f>VLOOKUP(B66,companies!$A:$B,2,FALSE)</f>
        <v>Bank of America</v>
      </c>
      <c r="D66" s="15">
        <v>44235.0</v>
      </c>
      <c r="E66" s="14">
        <v>2019.0</v>
      </c>
      <c r="F66" s="14">
        <v>62639.0</v>
      </c>
      <c r="G66" s="14">
        <v>728771.0</v>
      </c>
      <c r="H66" s="14">
        <v>17523.0</v>
      </c>
      <c r="I66" s="14" t="s">
        <v>578</v>
      </c>
      <c r="J66" s="14"/>
      <c r="K66" s="14">
        <v>1831511.0</v>
      </c>
      <c r="L66" s="14">
        <v>102448.0</v>
      </c>
      <c r="M66" s="14"/>
      <c r="N66" s="14">
        <v>161151.0</v>
      </c>
      <c r="O66" s="14">
        <v>140215.0</v>
      </c>
      <c r="P66" s="14">
        <v>22386.0</v>
      </c>
      <c r="Q66" s="14">
        <v>161748.0</v>
      </c>
      <c r="R66" s="14">
        <v>378088.0</v>
      </c>
      <c r="S66" s="14" t="s">
        <v>683</v>
      </c>
      <c r="T66" s="14">
        <v>1400000.0</v>
      </c>
      <c r="U66" s="14" t="s">
        <v>683</v>
      </c>
      <c r="V66" s="14">
        <v>4000.0</v>
      </c>
      <c r="W66" s="14">
        <v>19000.0</v>
      </c>
      <c r="X66" s="14" t="s">
        <v>683</v>
      </c>
      <c r="Y66" s="14" t="s">
        <v>683</v>
      </c>
      <c r="Z66" s="14" t="s">
        <v>536</v>
      </c>
      <c r="AA66" s="130" t="s">
        <v>683</v>
      </c>
      <c r="AB66" s="130" t="s">
        <v>683</v>
      </c>
      <c r="AC66" s="130"/>
      <c r="AD66" s="126"/>
      <c r="AE66" s="12">
        <v>80162.0</v>
      </c>
      <c r="AF66" s="127">
        <v>1.0</v>
      </c>
      <c r="AG66" s="127">
        <v>1.0</v>
      </c>
      <c r="AH66" s="127">
        <v>1.0</v>
      </c>
      <c r="AI66" s="127">
        <v>1.0</v>
      </c>
      <c r="AJ66" s="23"/>
      <c r="AK66" s="23"/>
      <c r="AR66" s="1" t="str">
        <f t="shared" si="7"/>
        <v>id16year2019</v>
      </c>
    </row>
    <row r="67">
      <c r="A67" s="12">
        <f t="shared" si="3"/>
        <v>65</v>
      </c>
      <c r="B67" s="12">
        <v>16.0</v>
      </c>
      <c r="C67" s="13" t="str">
        <f>VLOOKUP(B67,companies!$A:$B,2,FALSE)</f>
        <v>Bank of America</v>
      </c>
      <c r="D67" s="15">
        <v>44235.0</v>
      </c>
      <c r="E67" s="14">
        <v>2018.0</v>
      </c>
      <c r="F67" s="14">
        <v>62258.0</v>
      </c>
      <c r="G67" s="14">
        <v>789565.0</v>
      </c>
      <c r="H67" s="14">
        <v>106406.0</v>
      </c>
      <c r="I67" s="14" t="s">
        <v>578</v>
      </c>
      <c r="J67" s="14"/>
      <c r="K67" s="14">
        <v>1502821.0</v>
      </c>
      <c r="L67" s="14">
        <v>131997.0</v>
      </c>
      <c r="M67" s="14"/>
      <c r="N67" s="14">
        <v>167998.0</v>
      </c>
      <c r="O67" s="14">
        <v>143794.0</v>
      </c>
      <c r="P67" s="14">
        <v>22350.0</v>
      </c>
      <c r="Q67" s="14">
        <v>154569.0</v>
      </c>
      <c r="R67" s="14">
        <v>345402.0</v>
      </c>
      <c r="S67" s="14" t="s">
        <v>683</v>
      </c>
      <c r="T67" s="14">
        <v>1500000.0</v>
      </c>
      <c r="U67" s="14" t="s">
        <v>683</v>
      </c>
      <c r="V67" s="14">
        <v>4000.0</v>
      </c>
      <c r="W67" s="14">
        <v>20000.0</v>
      </c>
      <c r="X67" s="14" t="s">
        <v>683</v>
      </c>
      <c r="Y67" s="14" t="s">
        <v>683</v>
      </c>
      <c r="Z67" s="14" t="s">
        <v>536</v>
      </c>
      <c r="AA67" s="130" t="s">
        <v>683</v>
      </c>
      <c r="AB67" s="130" t="s">
        <v>683</v>
      </c>
      <c r="AC67" s="130"/>
      <c r="AD67" s="126"/>
      <c r="AE67" s="12"/>
      <c r="AF67" s="127"/>
      <c r="AG67" s="127"/>
      <c r="AH67" s="127"/>
      <c r="AI67" s="127"/>
      <c r="AJ67" s="23"/>
      <c r="AK67" s="23"/>
      <c r="AR67" s="1" t="str">
        <f t="shared" si="7"/>
        <v>id16year2018</v>
      </c>
    </row>
    <row r="68">
      <c r="A68" s="12">
        <f t="shared" si="3"/>
        <v>66</v>
      </c>
      <c r="B68" s="12">
        <v>9.0</v>
      </c>
      <c r="C68" s="13" t="str">
        <f>VLOOKUP(B68,companies!$A:$B,2,FALSE)</f>
        <v>Amazon.com Inc.</v>
      </c>
      <c r="D68" s="15">
        <v>44235.0</v>
      </c>
      <c r="E68" s="14">
        <v>2020.0</v>
      </c>
      <c r="F68" s="14">
        <v>9623000.0</v>
      </c>
      <c r="G68" s="14"/>
      <c r="H68" s="14">
        <v>5265000.0</v>
      </c>
      <c r="I68" s="14" t="s">
        <v>581</v>
      </c>
      <c r="J68" s="14">
        <v>4.5754E7</v>
      </c>
      <c r="K68" s="14"/>
      <c r="L68" s="14">
        <v>1.052E7</v>
      </c>
      <c r="M68" s="129"/>
      <c r="N68" s="129"/>
      <c r="O68" s="129"/>
      <c r="P68" s="129"/>
      <c r="Q68" s="129"/>
      <c r="R68" s="129"/>
      <c r="S68" s="129"/>
      <c r="T68" s="129"/>
      <c r="U68" s="129"/>
      <c r="V68" s="129"/>
      <c r="W68" s="129"/>
      <c r="X68" s="129"/>
      <c r="Y68" s="129"/>
      <c r="Z68" s="129"/>
      <c r="AA68" s="129"/>
      <c r="AB68" s="129"/>
      <c r="AC68" s="129"/>
      <c r="AD68" s="129"/>
      <c r="AE68" s="12"/>
      <c r="AF68" s="127">
        <v>1.0</v>
      </c>
      <c r="AG68" s="127">
        <v>1.0</v>
      </c>
      <c r="AH68" s="127">
        <v>1.0</v>
      </c>
      <c r="AI68" s="127">
        <v>1.0</v>
      </c>
      <c r="AJ68" s="23"/>
      <c r="AK68" s="23" t="s">
        <v>761</v>
      </c>
      <c r="AL68" s="35" t="s">
        <v>682</v>
      </c>
      <c r="AR68" s="1" t="str">
        <f t="shared" si="7"/>
        <v>id9year2020</v>
      </c>
    </row>
    <row r="69">
      <c r="A69" s="12">
        <f t="shared" si="3"/>
        <v>67</v>
      </c>
      <c r="B69" s="12">
        <v>9.0</v>
      </c>
      <c r="C69" s="13" t="str">
        <f>VLOOKUP(B69,companies!$A:$B,2,FALSE)</f>
        <v>Amazon.com Inc.</v>
      </c>
      <c r="D69" s="15">
        <v>44235.0</v>
      </c>
      <c r="E69" s="14">
        <v>2019.0</v>
      </c>
      <c r="F69" s="14">
        <v>5760000.0</v>
      </c>
      <c r="G69" s="14"/>
      <c r="H69" s="14">
        <v>5500000.0</v>
      </c>
      <c r="I69" s="14" t="s">
        <v>581</v>
      </c>
      <c r="J69" s="14">
        <v>3.9908E7</v>
      </c>
      <c r="K69" s="14"/>
      <c r="L69" s="14">
        <v>8010000.0</v>
      </c>
      <c r="M69" s="129"/>
      <c r="N69" s="129"/>
      <c r="O69" s="129"/>
      <c r="P69" s="129"/>
      <c r="Q69" s="129"/>
      <c r="R69" s="129"/>
      <c r="S69" s="129"/>
      <c r="T69" s="129"/>
      <c r="U69" s="129"/>
      <c r="V69" s="129"/>
      <c r="W69" s="129"/>
      <c r="X69" s="129"/>
      <c r="Y69" s="129"/>
      <c r="Z69" s="129"/>
      <c r="AA69" s="129"/>
      <c r="AB69" s="129"/>
      <c r="AC69" s="129"/>
      <c r="AD69" s="129"/>
      <c r="AE69" s="12"/>
      <c r="AF69" s="127">
        <v>1.0</v>
      </c>
      <c r="AG69" s="127">
        <v>1.0</v>
      </c>
      <c r="AH69" s="127">
        <v>1.0</v>
      </c>
      <c r="AI69" s="127">
        <v>1.0</v>
      </c>
      <c r="AJ69" s="23"/>
      <c r="AK69" s="23"/>
      <c r="AR69" s="1" t="str">
        <f t="shared" si="7"/>
        <v>id9year2019</v>
      </c>
    </row>
    <row r="70">
      <c r="A70" s="12">
        <f t="shared" si="3"/>
        <v>68</v>
      </c>
      <c r="B70" s="12">
        <v>9.0</v>
      </c>
      <c r="C70" s="13" t="str">
        <f>VLOOKUP(B70,companies!$A:$B,2,FALSE)</f>
        <v>Amazon.com Inc.</v>
      </c>
      <c r="D70" s="15">
        <v>44235.0</v>
      </c>
      <c r="E70" s="14">
        <v>2018.0</v>
      </c>
      <c r="F70" s="14">
        <v>4980000.0</v>
      </c>
      <c r="G70" s="14"/>
      <c r="H70" s="14">
        <v>4710000.0</v>
      </c>
      <c r="I70" s="14" t="s">
        <v>581</v>
      </c>
      <c r="J70" s="14">
        <v>3.471E7</v>
      </c>
      <c r="K70" s="14"/>
      <c r="L70" s="14">
        <v>4640000.0</v>
      </c>
      <c r="M70" s="129"/>
      <c r="N70" s="129"/>
      <c r="O70" s="129"/>
      <c r="P70" s="129"/>
      <c r="Q70" s="129"/>
      <c r="R70" s="129"/>
      <c r="S70" s="129"/>
      <c r="T70" s="129"/>
      <c r="U70" s="129"/>
      <c r="V70" s="129"/>
      <c r="W70" s="129"/>
      <c r="X70" s="129"/>
      <c r="Y70" s="129"/>
      <c r="Z70" s="129"/>
      <c r="AA70" s="129"/>
      <c r="AB70" s="129"/>
      <c r="AC70" s="129"/>
      <c r="AD70" s="129"/>
      <c r="AE70" s="129"/>
      <c r="AF70" s="127">
        <v>1.0</v>
      </c>
      <c r="AG70" s="127">
        <v>1.0</v>
      </c>
      <c r="AH70" s="127">
        <v>1.0</v>
      </c>
      <c r="AI70" s="127">
        <v>1.0</v>
      </c>
      <c r="AJ70" s="23"/>
      <c r="AK70" s="23"/>
      <c r="AR70" s="1" t="str">
        <f t="shared" si="7"/>
        <v>id9year2018</v>
      </c>
    </row>
    <row r="71">
      <c r="A71" s="12">
        <f t="shared" si="3"/>
        <v>69</v>
      </c>
      <c r="B71" s="12">
        <v>18.0</v>
      </c>
      <c r="C71" s="13" t="str">
        <f>VLOOKUP(B71,companies!$A:$B,2,FALSE)</f>
        <v>Biogen Inc.</v>
      </c>
      <c r="D71" s="15">
        <v>44235.0</v>
      </c>
      <c r="E71" s="14">
        <v>2020.0</v>
      </c>
      <c r="F71" s="14">
        <v>57553.0</v>
      </c>
      <c r="G71" s="14">
        <v>36953.0</v>
      </c>
      <c r="H71" s="14">
        <v>183.0</v>
      </c>
      <c r="I71" s="14" t="s">
        <v>578</v>
      </c>
      <c r="J71" s="14">
        <v>348911.0</v>
      </c>
      <c r="K71" s="14">
        <v>254670.0</v>
      </c>
      <c r="L71" s="14">
        <v>41356.0</v>
      </c>
      <c r="M71" s="14" t="s">
        <v>683</v>
      </c>
      <c r="N71" s="14">
        <v>8755.0</v>
      </c>
      <c r="O71" s="14">
        <v>17701.0</v>
      </c>
      <c r="P71" s="14">
        <v>487.0</v>
      </c>
      <c r="Q71" s="14">
        <v>4038.0</v>
      </c>
      <c r="R71" s="14">
        <v>12763.0</v>
      </c>
      <c r="S71" s="14" t="s">
        <v>683</v>
      </c>
      <c r="T71" s="14" t="s">
        <v>683</v>
      </c>
      <c r="U71" s="14" t="s">
        <v>683</v>
      </c>
      <c r="V71" s="14" t="s">
        <v>683</v>
      </c>
      <c r="W71" s="14">
        <v>9141.0</v>
      </c>
      <c r="X71" s="145" t="s">
        <v>683</v>
      </c>
      <c r="Y71" s="145" t="s">
        <v>683</v>
      </c>
      <c r="Z71" s="145" t="s">
        <v>683</v>
      </c>
      <c r="AA71" s="145"/>
      <c r="AB71" s="145"/>
      <c r="AC71" s="129"/>
      <c r="AD71" s="126"/>
      <c r="AE71" s="12">
        <v>29637.0</v>
      </c>
      <c r="AF71" s="127">
        <v>1.0</v>
      </c>
      <c r="AG71" s="127">
        <v>1.0</v>
      </c>
      <c r="AH71" s="127">
        <v>1.0</v>
      </c>
      <c r="AI71" s="127">
        <v>1.0</v>
      </c>
      <c r="AJ71" s="23"/>
      <c r="AK71" s="23"/>
      <c r="AR71" s="1" t="str">
        <f t="shared" si="7"/>
        <v>id18year2020</v>
      </c>
    </row>
    <row r="72">
      <c r="A72" s="12">
        <f t="shared" si="3"/>
        <v>70</v>
      </c>
      <c r="B72" s="12">
        <v>18.0</v>
      </c>
      <c r="C72" s="13" t="str">
        <f>VLOOKUP(B72,companies!$A:$B,2,FALSE)</f>
        <v>Biogen Inc.</v>
      </c>
      <c r="D72" s="15">
        <v>44235.0</v>
      </c>
      <c r="E72" s="14">
        <v>2019.0</v>
      </c>
      <c r="F72" s="14">
        <v>67447.0</v>
      </c>
      <c r="G72" s="14">
        <v>37712.0</v>
      </c>
      <c r="H72" s="14">
        <v>106.0</v>
      </c>
      <c r="I72" s="14" t="s">
        <v>578</v>
      </c>
      <c r="J72" s="14">
        <v>424592.0</v>
      </c>
      <c r="K72" s="14">
        <v>334954.0</v>
      </c>
      <c r="L72" s="14">
        <v>32759.0</v>
      </c>
      <c r="M72" s="14" t="s">
        <v>683</v>
      </c>
      <c r="N72" s="14">
        <v>10570.0</v>
      </c>
      <c r="O72" s="14" t="s">
        <v>683</v>
      </c>
      <c r="P72" s="14">
        <v>645.0</v>
      </c>
      <c r="Q72" s="14">
        <v>24083.0</v>
      </c>
      <c r="R72" s="14">
        <v>9516.0</v>
      </c>
      <c r="S72" s="14" t="s">
        <v>683</v>
      </c>
      <c r="T72" s="14" t="s">
        <v>683</v>
      </c>
      <c r="U72" s="14" t="s">
        <v>683</v>
      </c>
      <c r="V72" s="14" t="s">
        <v>683</v>
      </c>
      <c r="W72" s="14">
        <v>12065.0</v>
      </c>
      <c r="X72" s="145" t="s">
        <v>683</v>
      </c>
      <c r="Y72" s="145" t="s">
        <v>683</v>
      </c>
      <c r="Z72" s="145" t="s">
        <v>683</v>
      </c>
      <c r="AA72" s="145"/>
      <c r="AB72" s="145"/>
      <c r="AC72" s="14"/>
      <c r="AD72" s="126"/>
      <c r="AE72" s="12">
        <v>76667.0</v>
      </c>
      <c r="AF72" s="127">
        <v>1.0</v>
      </c>
      <c r="AG72" s="127">
        <v>1.0</v>
      </c>
      <c r="AH72" s="127">
        <v>1.0</v>
      </c>
      <c r="AI72" s="127">
        <v>1.0</v>
      </c>
      <c r="AJ72" s="23"/>
      <c r="AK72" s="23"/>
      <c r="AR72" s="1" t="str">
        <f t="shared" si="7"/>
        <v>id18year2019</v>
      </c>
    </row>
    <row r="73">
      <c r="A73" s="12">
        <f t="shared" si="3"/>
        <v>71</v>
      </c>
      <c r="B73" s="12">
        <v>18.0</v>
      </c>
      <c r="C73" s="13" t="str">
        <f>VLOOKUP(B73,companies!$A:$B,2,FALSE)</f>
        <v>Biogen Inc.</v>
      </c>
      <c r="D73" s="15">
        <v>44235.0</v>
      </c>
      <c r="E73" s="14">
        <v>2018.0</v>
      </c>
      <c r="F73" s="14">
        <v>68448.0</v>
      </c>
      <c r="G73" s="14">
        <v>37347.0</v>
      </c>
      <c r="H73" s="14">
        <v>61.0</v>
      </c>
      <c r="I73" s="14" t="s">
        <v>578</v>
      </c>
      <c r="J73" s="14">
        <v>436353.0</v>
      </c>
      <c r="K73" s="14">
        <v>325928.0</v>
      </c>
      <c r="L73" s="14">
        <v>51635.0</v>
      </c>
      <c r="M73" s="14" t="s">
        <v>683</v>
      </c>
      <c r="N73" s="14">
        <v>11048.0</v>
      </c>
      <c r="O73" s="14" t="s">
        <v>683</v>
      </c>
      <c r="P73" s="14">
        <v>758.0</v>
      </c>
      <c r="Q73" s="14">
        <v>27277.0</v>
      </c>
      <c r="R73" s="14">
        <v>8133.0</v>
      </c>
      <c r="S73" s="14" t="s">
        <v>683</v>
      </c>
      <c r="T73" s="14" t="s">
        <v>683</v>
      </c>
      <c r="U73" s="14" t="s">
        <v>683</v>
      </c>
      <c r="V73" s="14" t="s">
        <v>683</v>
      </c>
      <c r="W73" s="14">
        <v>11574.0</v>
      </c>
      <c r="X73" s="145" t="s">
        <v>683</v>
      </c>
      <c r="Y73" s="145" t="s">
        <v>683</v>
      </c>
      <c r="Z73" s="145" t="s">
        <v>683</v>
      </c>
      <c r="AA73" s="145"/>
      <c r="AB73" s="145"/>
      <c r="AC73" s="14"/>
      <c r="AD73" s="126"/>
      <c r="AE73" s="12">
        <v>76642.0</v>
      </c>
      <c r="AF73" s="127">
        <v>1.0</v>
      </c>
      <c r="AG73" s="127">
        <v>1.0</v>
      </c>
      <c r="AH73" s="127">
        <v>1.0</v>
      </c>
      <c r="AI73" s="127">
        <v>1.0</v>
      </c>
      <c r="AJ73" s="23"/>
      <c r="AK73" s="23"/>
      <c r="AR73" s="1" t="str">
        <f t="shared" si="7"/>
        <v>id18year2018</v>
      </c>
    </row>
    <row r="74">
      <c r="A74" s="12">
        <f t="shared" si="3"/>
        <v>72</v>
      </c>
      <c r="B74" s="12">
        <v>18.0</v>
      </c>
      <c r="C74" s="13" t="str">
        <f>VLOOKUP(B74,companies!$A:$B,2,FALSE)</f>
        <v>Biogen Inc.</v>
      </c>
      <c r="D74" s="15">
        <v>44235.0</v>
      </c>
      <c r="E74" s="14">
        <v>2017.0</v>
      </c>
      <c r="F74" s="14">
        <v>61577.0</v>
      </c>
      <c r="G74" s="14">
        <v>41134.0</v>
      </c>
      <c r="H74" s="14">
        <v>59.0</v>
      </c>
      <c r="I74" s="14" t="s">
        <v>578</v>
      </c>
      <c r="J74" s="14">
        <v>482465.0</v>
      </c>
      <c r="K74" s="14">
        <v>396280.0</v>
      </c>
      <c r="L74" s="14">
        <v>35424.0</v>
      </c>
      <c r="M74" s="14" t="s">
        <v>683</v>
      </c>
      <c r="N74" s="14">
        <v>10533.0</v>
      </c>
      <c r="O74" s="14" t="s">
        <v>683</v>
      </c>
      <c r="P74" s="14">
        <v>673.0</v>
      </c>
      <c r="Q74" s="14">
        <v>21111.0</v>
      </c>
      <c r="R74" s="14">
        <v>8106.0</v>
      </c>
      <c r="S74" s="14" t="s">
        <v>683</v>
      </c>
      <c r="T74" s="14" t="s">
        <v>683</v>
      </c>
      <c r="U74" s="14" t="s">
        <v>683</v>
      </c>
      <c r="V74" s="14" t="s">
        <v>683</v>
      </c>
      <c r="W74" s="14">
        <v>10438.0</v>
      </c>
      <c r="X74" s="145" t="s">
        <v>683</v>
      </c>
      <c r="Y74" s="145" t="s">
        <v>683</v>
      </c>
      <c r="Z74" s="145" t="s">
        <v>683</v>
      </c>
      <c r="AA74" s="145"/>
      <c r="AB74" s="145"/>
      <c r="AC74" s="14"/>
      <c r="AD74" s="126"/>
      <c r="AE74" s="12">
        <v>69783.0</v>
      </c>
      <c r="AF74" s="127">
        <v>1.0</v>
      </c>
      <c r="AG74" s="127">
        <v>1.0</v>
      </c>
      <c r="AH74" s="127">
        <v>1.0</v>
      </c>
      <c r="AI74" s="127">
        <v>1.0</v>
      </c>
      <c r="AJ74" s="23"/>
      <c r="AK74" s="23"/>
      <c r="AR74" s="1" t="str">
        <f t="shared" si="7"/>
        <v>id18year2017</v>
      </c>
    </row>
    <row r="75">
      <c r="A75" s="12">
        <f t="shared" si="3"/>
        <v>73</v>
      </c>
      <c r="B75" s="12">
        <v>19.0</v>
      </c>
      <c r="C75" s="13" t="str">
        <f>VLOOKUP(B75,companies!$A:$B,2,FALSE)</f>
        <v>BlackRock Inc.</v>
      </c>
      <c r="D75" s="15">
        <v>44235.0</v>
      </c>
      <c r="E75" s="14">
        <v>2020.0</v>
      </c>
      <c r="F75" s="14">
        <v>3278.0</v>
      </c>
      <c r="G75" s="14">
        <v>18352.0</v>
      </c>
      <c r="H75" s="14">
        <v>0.0</v>
      </c>
      <c r="I75" s="14" t="s">
        <v>581</v>
      </c>
      <c r="J75" s="14"/>
      <c r="K75" s="14">
        <v>214957.0</v>
      </c>
      <c r="L75" s="14">
        <v>2337.0</v>
      </c>
      <c r="M75" s="14">
        <v>6825.0</v>
      </c>
      <c r="N75" s="14">
        <v>2465.0</v>
      </c>
      <c r="O75" s="14">
        <v>973.0</v>
      </c>
      <c r="P75" s="14">
        <v>379.0</v>
      </c>
      <c r="Q75" s="14">
        <v>6606.0</v>
      </c>
      <c r="R75" s="14">
        <v>26.0</v>
      </c>
      <c r="S75" s="14">
        <v>928.0</v>
      </c>
      <c r="T75" s="129" t="s">
        <v>683</v>
      </c>
      <c r="U75" s="129" t="s">
        <v>683</v>
      </c>
      <c r="V75" s="129" t="s">
        <v>683</v>
      </c>
      <c r="W75" s="129" t="s">
        <v>683</v>
      </c>
      <c r="X75" s="129" t="s">
        <v>683</v>
      </c>
      <c r="Y75" s="129" t="s">
        <v>683</v>
      </c>
      <c r="Z75" s="129" t="s">
        <v>683</v>
      </c>
      <c r="AA75" s="129" t="s">
        <v>683</v>
      </c>
      <c r="AB75" s="129" t="s">
        <v>683</v>
      </c>
      <c r="AC75" s="23"/>
      <c r="AD75" s="23"/>
      <c r="AE75" s="23"/>
      <c r="AF75" s="127">
        <v>1.0</v>
      </c>
      <c r="AG75" s="127">
        <v>1.0</v>
      </c>
      <c r="AH75" s="127">
        <v>1.0</v>
      </c>
      <c r="AI75" s="146">
        <f>(7865+1162+39116+1161+777)/SUM(K75:AC75)</f>
        <v>0.2126617862</v>
      </c>
      <c r="AJ75" s="23"/>
      <c r="AK75" s="23" t="s">
        <v>762</v>
      </c>
      <c r="AR75" s="1" t="str">
        <f t="shared" si="7"/>
        <v>id19year2020</v>
      </c>
    </row>
    <row r="76">
      <c r="A76" s="12">
        <f t="shared" si="3"/>
        <v>74</v>
      </c>
      <c r="B76" s="12">
        <v>19.0</v>
      </c>
      <c r="C76" s="13" t="str">
        <f>VLOOKUP(B76,companies!$A:$B,2,FALSE)</f>
        <v>BlackRock Inc.</v>
      </c>
      <c r="D76" s="15">
        <v>44235.0</v>
      </c>
      <c r="E76" s="14">
        <v>2019.0</v>
      </c>
      <c r="F76" s="14">
        <v>5589.0</v>
      </c>
      <c r="G76" s="14">
        <v>20369.0</v>
      </c>
      <c r="H76" s="14">
        <v>0.0</v>
      </c>
      <c r="I76" s="14" t="s">
        <v>581</v>
      </c>
      <c r="J76" s="14"/>
      <c r="K76" s="14">
        <v>373032.0</v>
      </c>
      <c r="L76" s="14">
        <v>15521.0</v>
      </c>
      <c r="M76" s="129">
        <v>7865.0</v>
      </c>
      <c r="N76" s="129">
        <v>7865.0</v>
      </c>
      <c r="O76" s="129"/>
      <c r="P76" s="129">
        <v>1162.0</v>
      </c>
      <c r="Q76" s="129">
        <v>39116.0</v>
      </c>
      <c r="R76" s="129">
        <v>1161.0</v>
      </c>
      <c r="S76" s="129">
        <v>777.0</v>
      </c>
      <c r="T76" s="129" t="s">
        <v>683</v>
      </c>
      <c r="U76" s="129" t="s">
        <v>683</v>
      </c>
      <c r="V76" s="129" t="s">
        <v>683</v>
      </c>
      <c r="W76" s="129" t="s">
        <v>683</v>
      </c>
      <c r="X76" s="129" t="s">
        <v>683</v>
      </c>
      <c r="Y76" s="129" t="s">
        <v>683</v>
      </c>
      <c r="Z76" s="129" t="s">
        <v>683</v>
      </c>
      <c r="AA76" s="129" t="s">
        <v>683</v>
      </c>
      <c r="AB76" s="129" t="s">
        <v>683</v>
      </c>
      <c r="AC76" s="23"/>
      <c r="AD76" s="23"/>
      <c r="AE76" s="23"/>
      <c r="AF76" s="127">
        <v>1.0</v>
      </c>
      <c r="AG76" s="127">
        <v>1.0</v>
      </c>
      <c r="AH76" s="127">
        <v>1.0</v>
      </c>
      <c r="AI76" s="127">
        <f>(674+805+45384+837+8100+637)/SUM(K76:AC76)</f>
        <v>0.1263989393</v>
      </c>
      <c r="AJ76" s="23"/>
      <c r="AK76" s="23" t="s">
        <v>763</v>
      </c>
      <c r="AR76" s="1" t="str">
        <f t="shared" si="7"/>
        <v>id19year2019</v>
      </c>
    </row>
    <row r="77">
      <c r="A77" s="12">
        <f t="shared" si="3"/>
        <v>75</v>
      </c>
      <c r="B77" s="12">
        <v>19.0</v>
      </c>
      <c r="C77" s="13" t="str">
        <f>VLOOKUP(B77,companies!$A:$B,2,FALSE)</f>
        <v>BlackRock Inc.</v>
      </c>
      <c r="D77" s="15">
        <v>44235.0</v>
      </c>
      <c r="E77" s="14">
        <v>2018.0</v>
      </c>
      <c r="F77" s="14">
        <v>4805.0</v>
      </c>
      <c r="G77" s="14">
        <v>21392.0</v>
      </c>
      <c r="H77" s="14">
        <v>4750.0</v>
      </c>
      <c r="I77" s="14" t="s">
        <v>581</v>
      </c>
      <c r="J77" s="14"/>
      <c r="K77" s="14"/>
      <c r="L77" s="14"/>
      <c r="M77" s="129">
        <v>8100.0</v>
      </c>
      <c r="N77" s="129">
        <v>8100.0</v>
      </c>
      <c r="O77" s="129"/>
      <c r="P77" s="129">
        <v>637.0</v>
      </c>
      <c r="Q77" s="129">
        <v>45384.0</v>
      </c>
      <c r="R77" s="129">
        <v>837.0</v>
      </c>
      <c r="S77" s="129">
        <v>674.0</v>
      </c>
      <c r="T77" s="129" t="s">
        <v>683</v>
      </c>
      <c r="U77" s="129" t="s">
        <v>683</v>
      </c>
      <c r="V77" s="129" t="s">
        <v>683</v>
      </c>
      <c r="W77" s="129" t="s">
        <v>683</v>
      </c>
      <c r="X77" s="129" t="s">
        <v>683</v>
      </c>
      <c r="Y77" s="129" t="s">
        <v>683</v>
      </c>
      <c r="Z77" s="129" t="s">
        <v>683</v>
      </c>
      <c r="AA77" s="129" t="s">
        <v>683</v>
      </c>
      <c r="AB77" s="129" t="s">
        <v>683</v>
      </c>
      <c r="AC77" s="23"/>
      <c r="AD77" s="23"/>
      <c r="AE77" s="23"/>
      <c r="AF77" s="127">
        <v>1.0</v>
      </c>
      <c r="AG77" s="127">
        <v>1.0</v>
      </c>
      <c r="AH77" s="127">
        <v>1.0</v>
      </c>
      <c r="AI77" s="127">
        <f t="shared" ref="AI77:AI78" si="10">AI76</f>
        <v>0.1263989393</v>
      </c>
      <c r="AJ77" s="23"/>
      <c r="AK77" s="23"/>
      <c r="AR77" s="1" t="str">
        <f t="shared" si="7"/>
        <v>id19year2018</v>
      </c>
    </row>
    <row r="78">
      <c r="A78" s="12">
        <f t="shared" si="3"/>
        <v>76</v>
      </c>
      <c r="B78" s="12">
        <v>19.0</v>
      </c>
      <c r="C78" s="13" t="str">
        <f>VLOOKUP(B78,companies!$A:$B,2,FALSE)</f>
        <v>BlackRock Inc.</v>
      </c>
      <c r="D78" s="15">
        <v>44235.0</v>
      </c>
      <c r="E78" s="14">
        <v>2017.0</v>
      </c>
      <c r="F78" s="14">
        <v>5050.0</v>
      </c>
      <c r="G78" s="14">
        <v>21539.0</v>
      </c>
      <c r="H78" s="14">
        <v>5404.0</v>
      </c>
      <c r="I78" s="14" t="s">
        <v>581</v>
      </c>
      <c r="J78" s="14"/>
      <c r="K78" s="14"/>
      <c r="L78" s="14"/>
      <c r="M78" s="129">
        <v>5809.0</v>
      </c>
      <c r="N78" s="129">
        <v>5809.0</v>
      </c>
      <c r="O78" s="129"/>
      <c r="P78" s="129">
        <v>818.0</v>
      </c>
      <c r="Q78" s="129">
        <v>39238.0</v>
      </c>
      <c r="R78" s="129">
        <v>611.0</v>
      </c>
      <c r="S78" s="129">
        <v>596.0</v>
      </c>
      <c r="T78" s="129" t="s">
        <v>683</v>
      </c>
      <c r="U78" s="129" t="s">
        <v>683</v>
      </c>
      <c r="V78" s="129" t="s">
        <v>683</v>
      </c>
      <c r="W78" s="129" t="s">
        <v>683</v>
      </c>
      <c r="X78" s="129" t="s">
        <v>683</v>
      </c>
      <c r="Y78" s="129" t="s">
        <v>683</v>
      </c>
      <c r="Z78" s="129" t="s">
        <v>683</v>
      </c>
      <c r="AA78" s="129" t="s">
        <v>683</v>
      </c>
      <c r="AB78" s="129" t="s">
        <v>683</v>
      </c>
      <c r="AC78" s="23"/>
      <c r="AD78" s="23"/>
      <c r="AE78" s="23"/>
      <c r="AF78" s="127">
        <v>1.0</v>
      </c>
      <c r="AG78" s="127">
        <v>1.0</v>
      </c>
      <c r="AH78" s="127">
        <v>1.0</v>
      </c>
      <c r="AI78" s="127">
        <f t="shared" si="10"/>
        <v>0.1263989393</v>
      </c>
      <c r="AJ78" s="23"/>
      <c r="AK78" s="23"/>
      <c r="AR78" s="1" t="str">
        <f t="shared" si="7"/>
        <v>id19year2017</v>
      </c>
    </row>
    <row r="79">
      <c r="A79" s="147"/>
      <c r="B79" s="147"/>
      <c r="C79" s="147"/>
      <c r="D79" s="147"/>
      <c r="E79" s="147"/>
      <c r="F79" s="147"/>
      <c r="G79" s="147"/>
      <c r="H79" s="147"/>
      <c r="I79" s="148"/>
      <c r="J79" s="148"/>
      <c r="K79" s="147"/>
      <c r="L79" s="147"/>
      <c r="M79" s="148"/>
      <c r="N79" s="147"/>
      <c r="O79" s="147"/>
      <c r="P79" s="147"/>
      <c r="Q79" s="147"/>
      <c r="R79" s="147"/>
      <c r="S79" s="147"/>
      <c r="T79" s="147"/>
      <c r="U79" s="147"/>
      <c r="V79" s="147"/>
      <c r="W79" s="147"/>
      <c r="X79" s="147"/>
      <c r="Y79" s="147"/>
      <c r="Z79" s="149"/>
      <c r="AA79" s="149"/>
      <c r="AB79" s="149"/>
      <c r="AR79" s="1" t="str">
        <f t="shared" si="7"/>
        <v>idyear</v>
      </c>
    </row>
    <row r="80">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AC80" s="150"/>
      <c r="AR80" s="1" t="str">
        <f t="shared" si="7"/>
        <v>idyear</v>
      </c>
    </row>
    <row r="81">
      <c r="A81" s="151" t="s">
        <v>764</v>
      </c>
      <c r="B81" s="152"/>
      <c r="C81" s="153"/>
      <c r="D81" s="14"/>
      <c r="E81" s="14">
        <v>2019.0</v>
      </c>
      <c r="F81" s="14" t="str">
        <f>VLOOKUP($B81,'GHG19'!$A:$Y,COLUMN('GHG19'!C$1),FALSE)</f>
        <v>#N/A</v>
      </c>
      <c r="G81" s="14" t="str">
        <f>VLOOKUP($B81,'GHG19'!$A:$Y,COLUMN('GHG19'!D$1),FALSE)</f>
        <v>#N/A</v>
      </c>
      <c r="H81" s="14" t="str">
        <f>VLOOKUP($B81,'GHG19'!$A:$Y,COLUMN('GHG19'!E$1),FALSE)</f>
        <v>#N/A</v>
      </c>
      <c r="I81" s="142"/>
      <c r="J81" s="142"/>
      <c r="K81" s="141" t="str">
        <f>VLOOKUP($B81,'GHG19'!$A:$Y,COLUMN('GHG19'!F$1),FALSE)</f>
        <v>#N/A</v>
      </c>
      <c r="L81" s="14" t="str">
        <f>VLOOKUP($B81,'GHG19'!$A:$Y,COLUMN('GHG19'!G$1),FALSE)</f>
        <v>#N/A</v>
      </c>
      <c r="M81" s="142"/>
      <c r="N81" s="14" t="str">
        <f>VLOOKUP($B81,'GHG19'!$A:$Y,COLUMN('GHG19'!H$1),FALSE)</f>
        <v>#N/A</v>
      </c>
      <c r="O81" s="14" t="str">
        <f>VLOOKUP($B81,'GHG19'!$A:$Y,COLUMN('GHG19'!I$1),FALSE)</f>
        <v>#N/A</v>
      </c>
      <c r="P81" s="14" t="str">
        <f>VLOOKUP($B81,'GHG19'!$A:$Y,COLUMN('GHG19'!J$1),FALSE)</f>
        <v>#N/A</v>
      </c>
      <c r="Q81" s="14" t="str">
        <f>VLOOKUP($B81,'GHG19'!$A:$Y,COLUMN('GHG19'!K$1),FALSE)</f>
        <v>#N/A</v>
      </c>
      <c r="R81" s="14" t="str">
        <f>VLOOKUP($B81,'GHG19'!$A:$Y,COLUMN('GHG19'!L$1),FALSE)</f>
        <v>#N/A</v>
      </c>
      <c r="S81" s="143" t="str">
        <f>VLOOKUP($B81,'GHG19'!$A:$Y,COLUMN('GHG19'!M$1),FALSE)</f>
        <v>#N/A</v>
      </c>
      <c r="T81" s="143" t="str">
        <f>VLOOKUP($B81,'GHG19'!$A:$Y,COLUMN('GHG19'!N$1),FALSE)</f>
        <v>#N/A</v>
      </c>
      <c r="U81" s="143" t="str">
        <f>VLOOKUP($B81,'GHG19'!$A:$Y,COLUMN('GHG19'!O$1),FALSE)</f>
        <v>#N/A</v>
      </c>
      <c r="V81" s="143" t="str">
        <f>VLOOKUP($B81,'GHG19'!$A:$Y,COLUMN('GHG19'!P$1),FALSE)</f>
        <v>#N/A</v>
      </c>
      <c r="W81" s="143" t="str">
        <f>VLOOKUP($B81,'GHG19'!$A:$Y,COLUMN('GHG19'!Q$1),FALSE)</f>
        <v>#N/A</v>
      </c>
      <c r="X81" s="14" t="str">
        <f>VLOOKUP($B81,'GHG19'!$A:$Y,COLUMN('GHG19'!R$1),FALSE)</f>
        <v>#N/A</v>
      </c>
      <c r="Y81" s="143" t="str">
        <f>VLOOKUP($B81,'GHG19'!$A:$Y,COLUMN('GHG19'!S$1),FALSE)</f>
        <v>#N/A</v>
      </c>
      <c r="Z81" s="143" t="str">
        <f>VLOOKUP($B81,'GHG19'!$A:$Y,COLUMN('GHG19'!T$1),FALSE)</f>
        <v>#N/A</v>
      </c>
      <c r="AA81" s="143" t="str">
        <f>VLOOKUP($B81,'GHG19'!$A:$Y,COLUMN('GHG19'!U$1),FALSE)</f>
        <v>#N/A</v>
      </c>
      <c r="AB81" s="143" t="str">
        <f>VLOOKUP($B81,'GHG19'!$A:$Y,COLUMN('GHG19'!V$1),FALSE)</f>
        <v>#N/A</v>
      </c>
      <c r="AC81" s="14" t="str">
        <f>VLOOKUP($B81,'GHG19'!$A:$Y,COLUMN('GHG19'!W$1),FALSE)</f>
        <v>#N/A</v>
      </c>
      <c r="AD81" s="126" t="str">
        <f>SUM(K81:AB81,H81,F81)</f>
        <v>#N/A</v>
      </c>
      <c r="AR81" s="1" t="str">
        <f t="shared" si="7"/>
        <v>idyear2019</v>
      </c>
    </row>
    <row r="82">
      <c r="A82" s="148"/>
      <c r="B82" s="12"/>
      <c r="C82" s="153"/>
      <c r="D82" s="14"/>
      <c r="E82" s="14">
        <v>2018.0</v>
      </c>
      <c r="F82" s="14" t="str">
        <f>VLOOKUP($B82,'GHG18'!$A:$Y,COLUMN('GHG18'!C$1),FALSE)</f>
        <v>#N/A</v>
      </c>
      <c r="G82" s="14" t="str">
        <f>VLOOKUP($B82,'GHG18'!$A:$Y,COLUMN('GHG18'!D$1),FALSE)</f>
        <v>#N/A</v>
      </c>
      <c r="H82" s="14" t="str">
        <f>VLOOKUP($B82,'GHG18'!$A:$Y,COLUMN('GHG18'!E$1),FALSE)</f>
        <v>#N/A</v>
      </c>
      <c r="I82" s="142"/>
      <c r="J82" s="142"/>
      <c r="K82" s="141" t="str">
        <f>VLOOKUP($B82,'GHG18'!$A:$Y,COLUMN('GHG18'!F$1),FALSE)</f>
        <v>#N/A</v>
      </c>
      <c r="L82" s="14" t="str">
        <f>VLOOKUP($B82,'GHG18'!$A:$Y,COLUMN('GHG18'!G$1),FALSE)</f>
        <v>#N/A</v>
      </c>
      <c r="M82" s="142"/>
      <c r="N82" s="14" t="str">
        <f>VLOOKUP($B82,'GHG18'!$A:$Y,COLUMN('GHG18'!H$1),FALSE)</f>
        <v>#N/A</v>
      </c>
      <c r="O82" s="14" t="str">
        <f>VLOOKUP($B82,'GHG18'!$A:$Y,COLUMN('GHG18'!I$1),FALSE)</f>
        <v>#N/A</v>
      </c>
      <c r="P82" s="14" t="str">
        <f>VLOOKUP($B82,'GHG18'!$A:$Y,COLUMN('GHG18'!J$1),FALSE)</f>
        <v>#N/A</v>
      </c>
      <c r="Q82" s="14" t="str">
        <f>VLOOKUP($B82,'GHG18'!$A:$Y,COLUMN('GHG18'!K$1),FALSE)</f>
        <v>#N/A</v>
      </c>
      <c r="R82" s="14" t="str">
        <f>VLOOKUP($B82,'GHG18'!$A:$Y,COLUMN('GHG18'!L$1),FALSE)</f>
        <v>#N/A</v>
      </c>
      <c r="S82" s="143" t="str">
        <f>VLOOKUP($B82,'GHG18'!$A:$Y,COLUMN('GHG18'!M$1),FALSE)</f>
        <v>#N/A</v>
      </c>
      <c r="T82" s="143" t="str">
        <f>VLOOKUP($B82,'GHG18'!$A:$Y,COLUMN('GHG18'!N$1),FALSE)</f>
        <v>#N/A</v>
      </c>
      <c r="U82" s="143" t="str">
        <f>VLOOKUP($B82,'GHG18'!$A:$Y,COLUMN('GHG18'!O$1),FALSE)</f>
        <v>#N/A</v>
      </c>
      <c r="V82" s="143" t="str">
        <f>VLOOKUP($B82,'GHG18'!$A:$Y,COLUMN('GHG18'!P$1),FALSE)</f>
        <v>#N/A</v>
      </c>
      <c r="W82" s="143" t="str">
        <f>VLOOKUP($B82,'GHG18'!$A:$Y,COLUMN('GHG18'!Q$1),FALSE)</f>
        <v>#N/A</v>
      </c>
      <c r="X82" s="14" t="str">
        <f>VLOOKUP($B82,'GHG18'!$A:$Y,COLUMN('GHG18'!R$1),FALSE)</f>
        <v>#N/A</v>
      </c>
      <c r="Y82" s="143" t="str">
        <f>VLOOKUP($B82,'GHG18'!$A:$Y,COLUMN('GHG18'!S$1),FALSE)</f>
        <v>#N/A</v>
      </c>
      <c r="Z82" s="143" t="str">
        <f>VLOOKUP($B82,'GHG18'!$A:$Y,COLUMN('GHG18'!T$1),FALSE)</f>
        <v>#N/A</v>
      </c>
      <c r="AA82" s="143" t="str">
        <f>VLOOKUP($B82,'GHG18'!$A:$Y,COLUMN('GHG18'!U$1),FALSE)</f>
        <v>#N/A</v>
      </c>
      <c r="AB82" s="143" t="str">
        <f>VLOOKUP($B82,'GHG18'!$A:$Y,COLUMN('GHG18'!V$1),FALSE)</f>
        <v>#N/A</v>
      </c>
      <c r="AC82" s="14" t="str">
        <f>VLOOKUP($B82,'GHG18'!$A:$Y,COLUMN('GHG18'!W$1),FALSE)</f>
        <v>#N/A</v>
      </c>
      <c r="AD82" s="126"/>
      <c r="AR82" s="1" t="str">
        <f t="shared" si="7"/>
        <v>idyear2018</v>
      </c>
    </row>
    <row r="83">
      <c r="A83" s="148"/>
      <c r="B83" s="12"/>
      <c r="C83" s="153"/>
      <c r="D83" s="14"/>
      <c r="E83" s="14">
        <v>2017.0</v>
      </c>
      <c r="F83" s="14" t="str">
        <f>VLOOKUP($B83,'GHG17'!$A:$Y,COLUMN('GHG17'!C$1),FALSE)</f>
        <v>#N/A</v>
      </c>
      <c r="G83" s="14" t="str">
        <f>VLOOKUP($B83,'GHG17'!$A:$Y,COLUMN('GHG17'!D$1),FALSE)</f>
        <v>#N/A</v>
      </c>
      <c r="H83" s="14" t="str">
        <f>VLOOKUP($B83,'GHG17'!$A:$Y,COLUMN('GHG17'!E$1),FALSE)</f>
        <v>#N/A</v>
      </c>
      <c r="I83" s="142"/>
      <c r="J83" s="142"/>
      <c r="K83" s="141" t="str">
        <f>VLOOKUP($B83,'GHG17'!$A:$Y,COLUMN('GHG17'!F$1),FALSE)</f>
        <v>#N/A</v>
      </c>
      <c r="L83" s="14" t="str">
        <f>VLOOKUP($B83,'GHG17'!$A:$Y,COLUMN('GHG17'!G$1),FALSE)</f>
        <v>#N/A</v>
      </c>
      <c r="M83" s="142"/>
      <c r="N83" s="14" t="str">
        <f>VLOOKUP($B83,'GHG17'!$A:$Y,COLUMN('GHG17'!H$1),FALSE)</f>
        <v>#N/A</v>
      </c>
      <c r="O83" s="14" t="str">
        <f>VLOOKUP($B83,'GHG17'!$A:$Y,COLUMN('GHG17'!I$1),FALSE)</f>
        <v>#N/A</v>
      </c>
      <c r="P83" s="14" t="str">
        <f>VLOOKUP($B83,'GHG17'!$A:$Y,COLUMN('GHG17'!J$1),FALSE)</f>
        <v>#N/A</v>
      </c>
      <c r="Q83" s="14" t="str">
        <f>VLOOKUP($B83,'GHG17'!$A:$Y,COLUMN('GHG17'!K$1),FALSE)</f>
        <v>#N/A</v>
      </c>
      <c r="R83" s="14" t="str">
        <f>VLOOKUP($B83,'GHG17'!$A:$Y,COLUMN('GHG17'!L$1),FALSE)</f>
        <v>#N/A</v>
      </c>
      <c r="S83" s="143" t="str">
        <f>VLOOKUP($B83,'GHG17'!$A:$Y,COLUMN('GHG17'!M$1),FALSE)</f>
        <v>#N/A</v>
      </c>
      <c r="T83" s="143" t="str">
        <f>VLOOKUP($B83,'GHG17'!$A:$Y,COLUMN('GHG17'!N$1),FALSE)</f>
        <v>#N/A</v>
      </c>
      <c r="U83" s="143" t="str">
        <f>VLOOKUP($B83,'GHG17'!$A:$Y,COLUMN('GHG17'!O$1),FALSE)</f>
        <v>#N/A</v>
      </c>
      <c r="V83" s="143" t="str">
        <f>VLOOKUP($B83,'GHG17'!$A:$Y,COLUMN('GHG17'!P$1),FALSE)</f>
        <v>#N/A</v>
      </c>
      <c r="W83" s="143" t="str">
        <f>VLOOKUP($B83,'GHG17'!$A:$Y,COLUMN('GHG17'!Q$1),FALSE)</f>
        <v>#N/A</v>
      </c>
      <c r="X83" s="14" t="str">
        <f>VLOOKUP($B83,'GHG17'!$A:$Y,COLUMN('GHG17'!R$1),FALSE)</f>
        <v>#N/A</v>
      </c>
      <c r="Y83" s="143" t="str">
        <f>VLOOKUP($B83,'GHG17'!$A:$Y,COLUMN('GHG17'!S$1),FALSE)</f>
        <v>#N/A</v>
      </c>
      <c r="Z83" s="143" t="str">
        <f>VLOOKUP($B83,'GHG17'!$A:$Y,COLUMN('GHG17'!T$1),FALSE)</f>
        <v>#N/A</v>
      </c>
      <c r="AA83" s="143" t="str">
        <f>VLOOKUP($B83,'GHG17'!$A:$Y,COLUMN('GHG17'!U$1),FALSE)</f>
        <v>#N/A</v>
      </c>
      <c r="AB83" s="143" t="str">
        <f>VLOOKUP($B83,'GHG17'!$A:$Y,COLUMN('GHG17'!V$1),FALSE)</f>
        <v>#N/A</v>
      </c>
      <c r="AC83" s="14" t="str">
        <f>VLOOKUP($B83,'GHG17'!$A:$Y,COLUMN('GHG17'!W$1),FALSE)</f>
        <v>#N/A</v>
      </c>
      <c r="AR83" s="1" t="str">
        <f t="shared" si="7"/>
        <v>idyear2017</v>
      </c>
    </row>
    <row r="84">
      <c r="A84" s="148"/>
      <c r="H84" s="1">
        <f t="shared" ref="H84:H89" si="11">H5+F5</f>
        <v>4850000</v>
      </c>
      <c r="AC84" s="126"/>
      <c r="AD84" s="126"/>
      <c r="AE84" s="127"/>
      <c r="AF84" s="127"/>
      <c r="AG84" s="127"/>
      <c r="AH84" s="127"/>
      <c r="AI84" s="127"/>
      <c r="AJ84" s="127"/>
      <c r="AR84" s="1" t="str">
        <f t="shared" si="7"/>
        <v>idyear</v>
      </c>
    </row>
    <row r="85">
      <c r="A85" s="148"/>
      <c r="H85" s="1">
        <f t="shared" si="11"/>
        <v>5370000</v>
      </c>
      <c r="J85" s="1">
        <f>H84/H85-1</f>
        <v>-0.09683426443</v>
      </c>
      <c r="AC85" s="126"/>
      <c r="AD85" s="126"/>
      <c r="AE85" s="127"/>
      <c r="AF85" s="127"/>
      <c r="AG85" s="127"/>
      <c r="AH85" s="127"/>
      <c r="AI85" s="127"/>
      <c r="AJ85" s="127"/>
      <c r="AR85" s="1" t="str">
        <f t="shared" si="7"/>
        <v>idyear</v>
      </c>
    </row>
    <row r="86">
      <c r="A86" s="154">
        <v>2.0</v>
      </c>
      <c r="B86" s="155"/>
      <c r="C86" s="155" t="s">
        <v>15</v>
      </c>
      <c r="D86" s="148"/>
      <c r="E86" s="148"/>
      <c r="F86" s="148"/>
      <c r="G86" s="148"/>
      <c r="H86" s="1">
        <f t="shared" si="11"/>
        <v>6270000</v>
      </c>
      <c r="I86" s="148"/>
      <c r="J86" s="148">
        <f>H84/H86-1</f>
        <v>-0.2264752791</v>
      </c>
      <c r="K86" s="148"/>
      <c r="L86" s="148"/>
      <c r="M86" s="148"/>
      <c r="N86" s="148"/>
      <c r="O86" s="148"/>
      <c r="P86" s="148"/>
      <c r="Q86" s="148"/>
      <c r="R86" s="148"/>
      <c r="S86" s="148"/>
      <c r="T86" s="148"/>
      <c r="U86" s="148"/>
      <c r="V86" s="148"/>
      <c r="W86" s="148"/>
      <c r="X86" s="148"/>
      <c r="Y86" s="148"/>
    </row>
    <row r="87">
      <c r="A87" s="156">
        <f t="shared" ref="A87:A184" si="12">A86+1</f>
        <v>3</v>
      </c>
      <c r="B87" s="155"/>
      <c r="C87" s="155" t="s">
        <v>20</v>
      </c>
      <c r="D87" s="148"/>
      <c r="E87" s="148"/>
      <c r="F87" s="148"/>
      <c r="G87" s="148"/>
      <c r="H87" s="1">
        <f t="shared" si="11"/>
        <v>906000</v>
      </c>
      <c r="K87" s="148"/>
      <c r="L87" s="148"/>
      <c r="M87" s="148"/>
      <c r="N87" s="148"/>
      <c r="O87" s="148"/>
      <c r="P87" s="148"/>
      <c r="Q87" s="148"/>
      <c r="R87" s="148"/>
      <c r="S87" s="148"/>
      <c r="T87" s="148"/>
      <c r="U87" s="148"/>
      <c r="V87" s="148"/>
      <c r="W87" s="148"/>
      <c r="X87" s="148"/>
      <c r="Y87" s="148"/>
      <c r="AJ87" s="157" t="s">
        <v>765</v>
      </c>
    </row>
    <row r="88">
      <c r="A88" s="156">
        <f t="shared" si="12"/>
        <v>4</v>
      </c>
      <c r="B88" s="155"/>
      <c r="C88" s="155" t="s">
        <v>26</v>
      </c>
      <c r="D88" s="148"/>
      <c r="E88" s="148"/>
      <c r="F88" s="148"/>
      <c r="G88" s="148"/>
      <c r="H88" s="1">
        <f t="shared" si="11"/>
        <v>962000</v>
      </c>
      <c r="J88" s="1">
        <f>H87/H88-1</f>
        <v>-0.05821205821</v>
      </c>
      <c r="K88" s="148"/>
      <c r="L88" s="148"/>
      <c r="M88" s="148"/>
      <c r="N88" s="148"/>
      <c r="O88" s="148"/>
      <c r="P88" s="148"/>
      <c r="Q88" s="148"/>
      <c r="R88" s="148"/>
      <c r="S88" s="148"/>
      <c r="T88" s="148"/>
      <c r="U88" s="148"/>
      <c r="V88" s="148"/>
      <c r="W88" s="148"/>
      <c r="X88" s="148"/>
      <c r="Y88" s="148"/>
    </row>
    <row r="89">
      <c r="A89" s="156">
        <f t="shared" si="12"/>
        <v>5</v>
      </c>
      <c r="B89" s="155"/>
      <c r="C89" s="155" t="s">
        <v>31</v>
      </c>
      <c r="D89" s="148"/>
      <c r="E89" s="148"/>
      <c r="F89" s="148"/>
      <c r="G89" s="148"/>
      <c r="H89" s="1">
        <f t="shared" si="11"/>
        <v>980000</v>
      </c>
      <c r="I89" s="148"/>
      <c r="J89" s="148">
        <f>H87/H89-1</f>
        <v>-0.07551020408</v>
      </c>
      <c r="K89" s="148"/>
      <c r="L89" s="148"/>
      <c r="M89" s="148"/>
      <c r="N89" s="148"/>
      <c r="O89" s="148"/>
      <c r="P89" s="148"/>
      <c r="Q89" s="148"/>
      <c r="R89" s="148"/>
      <c r="S89" s="148"/>
      <c r="T89" s="148"/>
      <c r="U89" s="148"/>
      <c r="V89" s="148"/>
      <c r="W89" s="148"/>
      <c r="X89" s="148"/>
      <c r="Y89" s="148"/>
    </row>
    <row r="90">
      <c r="A90" s="156">
        <f t="shared" si="12"/>
        <v>6</v>
      </c>
      <c r="B90" s="155"/>
      <c r="C90" s="155" t="s">
        <v>38</v>
      </c>
      <c r="D90" s="148"/>
      <c r="E90" s="148"/>
      <c r="F90" s="148"/>
      <c r="G90" s="148"/>
      <c r="H90" s="148"/>
      <c r="I90" s="148"/>
      <c r="J90" s="148">
        <f>J89/2</f>
        <v>-0.03775510204</v>
      </c>
      <c r="K90" s="148"/>
      <c r="L90" s="148"/>
      <c r="M90" s="148"/>
      <c r="N90" s="148"/>
      <c r="O90" s="148"/>
      <c r="P90" s="148"/>
      <c r="Q90" s="148"/>
      <c r="R90" s="148"/>
      <c r="S90" s="148"/>
      <c r="T90" s="148"/>
      <c r="U90" s="148"/>
      <c r="V90" s="148"/>
      <c r="W90" s="148"/>
      <c r="X90" s="148"/>
      <c r="Y90" s="148"/>
    </row>
    <row r="91">
      <c r="A91" s="156">
        <f t="shared" si="12"/>
        <v>7</v>
      </c>
      <c r="B91" s="155"/>
      <c r="C91" s="155" t="s">
        <v>44</v>
      </c>
      <c r="D91" s="148"/>
      <c r="E91" s="148"/>
      <c r="F91" s="148"/>
      <c r="G91" s="148"/>
      <c r="H91" s="148"/>
      <c r="I91" s="148"/>
      <c r="J91" s="148">
        <f>30%/12</f>
        <v>0.025</v>
      </c>
      <c r="K91" s="148"/>
      <c r="L91" s="148"/>
      <c r="M91" s="148"/>
      <c r="N91" s="148"/>
      <c r="O91" s="148"/>
      <c r="P91" s="148"/>
      <c r="Q91" s="148"/>
      <c r="R91" s="148"/>
      <c r="S91" s="148"/>
      <c r="T91" s="148"/>
      <c r="U91" s="148"/>
      <c r="V91" s="148"/>
      <c r="W91" s="148"/>
      <c r="X91" s="148"/>
      <c r="Y91" s="148"/>
    </row>
    <row r="92">
      <c r="A92" s="156">
        <f t="shared" si="12"/>
        <v>8</v>
      </c>
      <c r="B92" s="155"/>
      <c r="C92" s="155" t="s">
        <v>51</v>
      </c>
      <c r="D92" s="148"/>
      <c r="E92" s="148"/>
      <c r="F92" s="148"/>
      <c r="G92" s="148"/>
      <c r="H92" s="148"/>
      <c r="I92" s="148"/>
      <c r="J92" s="148"/>
      <c r="K92" s="148"/>
      <c r="L92" s="148"/>
      <c r="M92" s="148"/>
      <c r="N92" s="148"/>
      <c r="O92" s="148"/>
      <c r="P92" s="148"/>
      <c r="Q92" s="148"/>
      <c r="R92" s="148"/>
      <c r="S92" s="148"/>
      <c r="T92" s="148"/>
      <c r="U92" s="148"/>
      <c r="V92" s="148"/>
      <c r="W92" s="148"/>
      <c r="X92" s="148"/>
      <c r="Y92" s="148"/>
    </row>
    <row r="93">
      <c r="A93" s="156">
        <f t="shared" si="12"/>
        <v>9</v>
      </c>
      <c r="B93" s="155"/>
      <c r="C93" s="155" t="s">
        <v>58</v>
      </c>
      <c r="D93" s="148"/>
      <c r="E93" s="148"/>
      <c r="F93" s="148"/>
      <c r="G93" s="148"/>
      <c r="H93" s="148"/>
      <c r="I93" s="148"/>
      <c r="J93" s="148"/>
      <c r="K93" s="148"/>
      <c r="L93" s="148"/>
      <c r="M93" s="148"/>
      <c r="N93" s="148"/>
      <c r="O93" s="148"/>
      <c r="P93" s="148"/>
      <c r="Q93" s="148"/>
      <c r="R93" s="148"/>
      <c r="S93" s="148"/>
      <c r="T93" s="148"/>
      <c r="U93" s="148"/>
      <c r="V93" s="148"/>
      <c r="W93" s="148"/>
      <c r="X93" s="148"/>
      <c r="Y93" s="148"/>
    </row>
    <row r="94">
      <c r="A94" s="156">
        <f t="shared" si="12"/>
        <v>10</v>
      </c>
      <c r="B94" s="155"/>
      <c r="C94" s="155" t="s">
        <v>62</v>
      </c>
      <c r="D94" s="148"/>
      <c r="E94" s="148"/>
      <c r="F94" s="148"/>
      <c r="G94" s="148"/>
      <c r="H94" s="158">
        <v>20.849</v>
      </c>
      <c r="I94" s="158"/>
      <c r="J94" s="158">
        <v>39.2</v>
      </c>
      <c r="K94" s="158">
        <v>45.966</v>
      </c>
      <c r="L94" s="159">
        <v>53.818</v>
      </c>
      <c r="M94" s="148"/>
      <c r="N94" s="148"/>
      <c r="O94" s="148"/>
      <c r="P94" s="148"/>
      <c r="Q94" s="148"/>
      <c r="R94" s="148"/>
      <c r="S94" s="148"/>
      <c r="T94" s="148"/>
      <c r="U94" s="148"/>
      <c r="V94" s="148"/>
      <c r="W94" s="148"/>
      <c r="X94" s="148"/>
      <c r="Y94" s="148"/>
    </row>
    <row r="95">
      <c r="A95" s="156">
        <f t="shared" si="12"/>
        <v>11</v>
      </c>
      <c r="B95" s="155"/>
      <c r="C95" s="155" t="s">
        <v>67</v>
      </c>
      <c r="D95" s="148"/>
      <c r="E95" s="148"/>
      <c r="F95" s="148"/>
      <c r="G95" s="148"/>
      <c r="H95" s="158">
        <v>75.63</v>
      </c>
      <c r="I95" s="158"/>
      <c r="J95" s="158">
        <v>86.9</v>
      </c>
      <c r="K95" s="158">
        <v>82.887</v>
      </c>
      <c r="L95" s="158">
        <v>91.209</v>
      </c>
      <c r="M95" s="148"/>
      <c r="N95" s="148"/>
      <c r="O95" s="148"/>
      <c r="P95" s="148"/>
      <c r="Q95" s="148"/>
      <c r="R95" s="148"/>
      <c r="S95" s="148"/>
      <c r="T95" s="148"/>
      <c r="U95" s="148"/>
      <c r="V95" s="148"/>
      <c r="W95" s="148"/>
      <c r="X95" s="148"/>
      <c r="Y95" s="148"/>
    </row>
    <row r="96">
      <c r="A96" s="156">
        <f t="shared" si="12"/>
        <v>12</v>
      </c>
      <c r="B96" s="155"/>
      <c r="C96" s="155" t="s">
        <v>73</v>
      </c>
      <c r="D96" s="148"/>
      <c r="E96" s="148"/>
      <c r="F96" s="148"/>
      <c r="G96" s="148"/>
      <c r="H96" s="158">
        <v>58.97</v>
      </c>
      <c r="I96" s="158"/>
      <c r="J96" s="158">
        <v>74.2</v>
      </c>
      <c r="K96" s="158" t="s">
        <v>766</v>
      </c>
      <c r="L96" s="158" t="s">
        <v>766</v>
      </c>
      <c r="M96" s="148"/>
      <c r="N96" s="148"/>
      <c r="O96" s="148"/>
      <c r="P96" s="148"/>
      <c r="Q96" s="148"/>
      <c r="R96" s="148"/>
      <c r="S96" s="148"/>
      <c r="T96" s="148"/>
      <c r="U96" s="148"/>
      <c r="V96" s="148"/>
      <c r="W96" s="148"/>
      <c r="X96" s="148"/>
      <c r="Y96" s="148"/>
    </row>
    <row r="97">
      <c r="A97" s="156">
        <f t="shared" si="12"/>
        <v>13</v>
      </c>
      <c r="B97" s="155"/>
      <c r="C97" s="155" t="s">
        <v>78</v>
      </c>
      <c r="D97" s="148"/>
      <c r="E97" s="148"/>
      <c r="F97" s="148"/>
      <c r="G97" s="148"/>
      <c r="H97" s="158">
        <v>7.8</v>
      </c>
      <c r="I97" s="158"/>
      <c r="J97" s="158">
        <v>8.9</v>
      </c>
      <c r="K97" s="158">
        <v>13.264</v>
      </c>
      <c r="L97" s="158">
        <v>20.119</v>
      </c>
      <c r="M97" s="148"/>
      <c r="N97" s="148"/>
      <c r="O97" s="148"/>
      <c r="P97" s="148"/>
      <c r="Q97" s="148"/>
      <c r="R97" s="148"/>
      <c r="S97" s="148"/>
      <c r="T97" s="148"/>
      <c r="U97" s="148"/>
      <c r="V97" s="148"/>
      <c r="W97" s="148"/>
      <c r="X97" s="148"/>
      <c r="Y97" s="148"/>
    </row>
    <row r="98">
      <c r="A98" s="156">
        <f t="shared" si="12"/>
        <v>14</v>
      </c>
      <c r="B98" s="155"/>
      <c r="C98" s="155" t="s">
        <v>84</v>
      </c>
      <c r="D98" s="148"/>
      <c r="E98" s="148"/>
      <c r="F98" s="148"/>
      <c r="G98" s="151">
        <v>2020.0</v>
      </c>
      <c r="H98" s="158">
        <v>20.849</v>
      </c>
      <c r="I98" s="158"/>
      <c r="J98" s="158">
        <v>75.63</v>
      </c>
      <c r="K98" s="158">
        <v>58.97</v>
      </c>
      <c r="L98" s="158">
        <v>7.8</v>
      </c>
      <c r="M98" s="148"/>
      <c r="N98" s="148"/>
      <c r="O98" s="148"/>
      <c r="P98" s="148"/>
      <c r="Q98" s="148"/>
      <c r="R98" s="148"/>
      <c r="S98" s="148"/>
      <c r="T98" s="148"/>
      <c r="U98" s="148"/>
      <c r="V98" s="148"/>
      <c r="W98" s="148"/>
      <c r="X98" s="148"/>
      <c r="Y98" s="148"/>
    </row>
    <row r="99">
      <c r="A99" s="156">
        <f t="shared" si="12"/>
        <v>15</v>
      </c>
      <c r="B99" s="155"/>
      <c r="C99" s="155" t="s">
        <v>90</v>
      </c>
      <c r="D99" s="148"/>
      <c r="E99" s="148"/>
      <c r="F99" s="148"/>
      <c r="G99" s="151">
        <v>2019.0</v>
      </c>
      <c r="H99" s="158">
        <v>39.2</v>
      </c>
      <c r="I99" s="158"/>
      <c r="J99" s="158">
        <v>86.9</v>
      </c>
      <c r="K99" s="158">
        <v>74.2</v>
      </c>
      <c r="L99" s="158">
        <v>8.9</v>
      </c>
      <c r="M99" s="148"/>
      <c r="N99" s="148"/>
      <c r="O99" s="148"/>
      <c r="P99" s="148"/>
      <c r="Q99" s="148"/>
      <c r="R99" s="148"/>
      <c r="S99" s="148"/>
      <c r="T99" s="148"/>
      <c r="U99" s="148"/>
      <c r="V99" s="148"/>
      <c r="W99" s="148"/>
      <c r="X99" s="148"/>
      <c r="Y99" s="148"/>
    </row>
    <row r="100">
      <c r="A100" s="156">
        <f t="shared" si="12"/>
        <v>16</v>
      </c>
      <c r="B100" s="155"/>
      <c r="C100" s="155" t="s">
        <v>96</v>
      </c>
      <c r="D100" s="148"/>
      <c r="E100" s="148"/>
      <c r="F100" s="148"/>
      <c r="G100" s="151">
        <v>2018.0</v>
      </c>
      <c r="H100" s="158">
        <v>45.966</v>
      </c>
      <c r="I100" s="158"/>
      <c r="J100" s="158">
        <v>82.887</v>
      </c>
      <c r="K100" s="158" t="s">
        <v>766</v>
      </c>
      <c r="L100" s="158">
        <v>13.264</v>
      </c>
      <c r="M100" s="148"/>
      <c r="N100" s="148"/>
      <c r="O100" s="148"/>
      <c r="P100" s="148"/>
      <c r="Q100" s="148"/>
      <c r="R100" s="148"/>
      <c r="S100" s="148"/>
      <c r="T100" s="148"/>
      <c r="U100" s="148"/>
      <c r="V100" s="148"/>
      <c r="W100" s="148"/>
      <c r="X100" s="148"/>
      <c r="Y100" s="148"/>
    </row>
    <row r="101">
      <c r="A101" s="156">
        <f t="shared" si="12"/>
        <v>17</v>
      </c>
      <c r="B101" s="155"/>
      <c r="C101" s="155" t="s">
        <v>101</v>
      </c>
      <c r="D101" s="148"/>
      <c r="E101" s="148"/>
      <c r="F101" s="148"/>
      <c r="G101" s="151">
        <v>2017.0</v>
      </c>
      <c r="H101" s="159">
        <v>53.818</v>
      </c>
      <c r="I101" s="158"/>
      <c r="J101" s="158">
        <v>91.209</v>
      </c>
      <c r="K101" s="158" t="s">
        <v>766</v>
      </c>
      <c r="L101" s="158">
        <v>20.119</v>
      </c>
      <c r="M101" s="148"/>
      <c r="N101" s="148"/>
      <c r="O101" s="148"/>
      <c r="P101" s="148"/>
      <c r="Q101" s="148"/>
      <c r="R101" s="148"/>
      <c r="S101" s="148"/>
      <c r="T101" s="148"/>
      <c r="U101" s="148"/>
      <c r="V101" s="148"/>
      <c r="W101" s="148"/>
      <c r="X101" s="148"/>
      <c r="Y101" s="148"/>
    </row>
    <row r="102">
      <c r="A102" s="156">
        <f t="shared" si="12"/>
        <v>18</v>
      </c>
      <c r="B102" s="155"/>
      <c r="C102" s="155" t="s">
        <v>105</v>
      </c>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c r="A103" s="156">
        <f t="shared" si="12"/>
        <v>19</v>
      </c>
      <c r="B103" s="155"/>
      <c r="C103" s="155" t="s">
        <v>111</v>
      </c>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row r="104">
      <c r="A104" s="156">
        <f t="shared" si="12"/>
        <v>20</v>
      </c>
      <c r="B104" s="155"/>
      <c r="C104" s="155" t="s">
        <v>117</v>
      </c>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row>
    <row r="105">
      <c r="A105" s="156">
        <f t="shared" si="12"/>
        <v>21</v>
      </c>
      <c r="B105" s="155"/>
      <c r="C105" s="155" t="s">
        <v>122</v>
      </c>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row>
    <row r="106">
      <c r="A106" s="156">
        <f t="shared" si="12"/>
        <v>22</v>
      </c>
      <c r="B106" s="155"/>
      <c r="C106" s="155" t="s">
        <v>125</v>
      </c>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row>
    <row r="107">
      <c r="A107" s="156">
        <f t="shared" si="12"/>
        <v>23</v>
      </c>
      <c r="B107" s="155"/>
      <c r="C107" s="155" t="s">
        <v>130</v>
      </c>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row>
    <row r="108">
      <c r="A108" s="156">
        <f t="shared" si="12"/>
        <v>24</v>
      </c>
      <c r="B108" s="155"/>
      <c r="C108" s="155" t="s">
        <v>136</v>
      </c>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row>
    <row r="109">
      <c r="A109" s="156">
        <f t="shared" si="12"/>
        <v>25</v>
      </c>
      <c r="B109" s="155"/>
      <c r="C109" s="155" t="s">
        <v>139</v>
      </c>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row>
    <row r="110">
      <c r="A110" s="156">
        <f t="shared" si="12"/>
        <v>26</v>
      </c>
      <c r="B110" s="155"/>
      <c r="C110" s="155" t="s">
        <v>142</v>
      </c>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row>
    <row r="111">
      <c r="A111" s="156">
        <f t="shared" si="12"/>
        <v>27</v>
      </c>
      <c r="B111" s="155"/>
      <c r="C111" s="155" t="s">
        <v>144</v>
      </c>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row>
    <row r="112">
      <c r="A112" s="156">
        <f t="shared" si="12"/>
        <v>28</v>
      </c>
      <c r="B112" s="155"/>
      <c r="C112" s="155" t="s">
        <v>150</v>
      </c>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row>
    <row r="113">
      <c r="A113" s="156">
        <f t="shared" si="12"/>
        <v>29</v>
      </c>
      <c r="B113" s="155"/>
      <c r="C113" s="155" t="s">
        <v>156</v>
      </c>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row>
    <row r="114">
      <c r="A114" s="156">
        <f t="shared" si="12"/>
        <v>30</v>
      </c>
      <c r="B114" s="155"/>
      <c r="C114" s="155" t="s">
        <v>162</v>
      </c>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row>
    <row r="115">
      <c r="A115" s="156">
        <f t="shared" si="12"/>
        <v>31</v>
      </c>
      <c r="B115" s="155"/>
      <c r="C115" s="155" t="s">
        <v>167</v>
      </c>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row>
    <row r="116">
      <c r="A116" s="156">
        <f t="shared" si="12"/>
        <v>32</v>
      </c>
      <c r="B116" s="155"/>
      <c r="C116" s="155" t="s">
        <v>172</v>
      </c>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row>
    <row r="117">
      <c r="A117" s="156">
        <f t="shared" si="12"/>
        <v>33</v>
      </c>
      <c r="B117" s="155"/>
      <c r="C117" s="155" t="s">
        <v>177</v>
      </c>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row>
    <row r="118">
      <c r="A118" s="156">
        <f t="shared" si="12"/>
        <v>34</v>
      </c>
      <c r="B118" s="155"/>
      <c r="C118" s="155" t="s">
        <v>182</v>
      </c>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row>
    <row r="119">
      <c r="A119" s="156">
        <f t="shared" si="12"/>
        <v>35</v>
      </c>
      <c r="B119" s="155"/>
      <c r="C119" s="155" t="s">
        <v>188</v>
      </c>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row>
    <row r="120">
      <c r="A120" s="156">
        <f t="shared" si="12"/>
        <v>36</v>
      </c>
      <c r="B120" s="155"/>
      <c r="C120" s="155" t="s">
        <v>190</v>
      </c>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row>
    <row r="121">
      <c r="A121" s="156">
        <f t="shared" si="12"/>
        <v>37</v>
      </c>
      <c r="B121" s="155"/>
      <c r="C121" s="155" t="s">
        <v>193</v>
      </c>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row>
    <row r="122">
      <c r="A122" s="156">
        <f t="shared" si="12"/>
        <v>38</v>
      </c>
      <c r="B122" s="155"/>
      <c r="C122" s="155" t="s">
        <v>198</v>
      </c>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row>
    <row r="123">
      <c r="A123" s="156">
        <f t="shared" si="12"/>
        <v>39</v>
      </c>
      <c r="B123" s="155"/>
      <c r="C123" s="155" t="s">
        <v>203</v>
      </c>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row>
    <row r="124">
      <c r="A124" s="156">
        <f t="shared" si="12"/>
        <v>40</v>
      </c>
      <c r="B124" s="155"/>
      <c r="C124" s="155" t="s">
        <v>208</v>
      </c>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row>
    <row r="125">
      <c r="A125" s="156">
        <f t="shared" si="12"/>
        <v>41</v>
      </c>
      <c r="B125" s="155"/>
      <c r="C125" s="155" t="s">
        <v>210</v>
      </c>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row>
    <row r="126">
      <c r="A126" s="156">
        <f t="shared" si="12"/>
        <v>42</v>
      </c>
      <c r="B126" s="155"/>
      <c r="C126" s="155" t="s">
        <v>215</v>
      </c>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row>
    <row r="127">
      <c r="A127" s="156">
        <f t="shared" si="12"/>
        <v>43</v>
      </c>
      <c r="B127" s="155"/>
      <c r="C127" s="155" t="s">
        <v>217</v>
      </c>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row>
    <row r="128">
      <c r="A128" s="156">
        <f t="shared" si="12"/>
        <v>44</v>
      </c>
      <c r="B128" s="155"/>
      <c r="C128" s="155" t="s">
        <v>220</v>
      </c>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row>
    <row r="129">
      <c r="A129" s="156">
        <f t="shared" si="12"/>
        <v>45</v>
      </c>
      <c r="B129" s="155"/>
      <c r="C129" s="155" t="s">
        <v>225</v>
      </c>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row>
    <row r="130">
      <c r="A130" s="156">
        <f t="shared" si="12"/>
        <v>46</v>
      </c>
      <c r="B130" s="155"/>
      <c r="C130" s="155" t="s">
        <v>231</v>
      </c>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row>
    <row r="131">
      <c r="A131" s="156">
        <f t="shared" si="12"/>
        <v>47</v>
      </c>
      <c r="B131" s="155"/>
      <c r="C131" s="155" t="s">
        <v>236</v>
      </c>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row>
    <row r="132">
      <c r="A132" s="156">
        <f t="shared" si="12"/>
        <v>48</v>
      </c>
      <c r="B132" s="155"/>
      <c r="C132" s="155" t="s">
        <v>242</v>
      </c>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row>
    <row r="133">
      <c r="A133" s="156">
        <f t="shared" si="12"/>
        <v>49</v>
      </c>
      <c r="B133" s="155"/>
      <c r="C133" s="155" t="s">
        <v>248</v>
      </c>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row>
    <row r="134">
      <c r="A134" s="156">
        <f t="shared" si="12"/>
        <v>50</v>
      </c>
      <c r="B134" s="155"/>
      <c r="C134" s="155" t="s">
        <v>254</v>
      </c>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row>
    <row r="135">
      <c r="A135" s="156">
        <f t="shared" si="12"/>
        <v>51</v>
      </c>
      <c r="B135" s="155"/>
      <c r="C135" s="155" t="s">
        <v>260</v>
      </c>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row>
    <row r="136">
      <c r="A136" s="156">
        <f t="shared" si="12"/>
        <v>52</v>
      </c>
      <c r="B136" s="155"/>
      <c r="C136" s="155" t="s">
        <v>265</v>
      </c>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row>
    <row r="137">
      <c r="A137" s="156">
        <f t="shared" si="12"/>
        <v>53</v>
      </c>
      <c r="B137" s="155"/>
      <c r="C137" s="155" t="s">
        <v>271</v>
      </c>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row>
    <row r="138">
      <c r="A138" s="156">
        <f t="shared" si="12"/>
        <v>54</v>
      </c>
      <c r="B138" s="155"/>
      <c r="C138" s="155" t="s">
        <v>277</v>
      </c>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row>
    <row r="139">
      <c r="A139" s="156">
        <f t="shared" si="12"/>
        <v>55</v>
      </c>
      <c r="B139" s="155"/>
      <c r="C139" s="155" t="s">
        <v>283</v>
      </c>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row>
    <row r="140">
      <c r="A140" s="156">
        <f t="shared" si="12"/>
        <v>56</v>
      </c>
      <c r="B140" s="155"/>
      <c r="C140" s="155" t="s">
        <v>289</v>
      </c>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row>
    <row r="141">
      <c r="A141" s="156">
        <f t="shared" si="12"/>
        <v>57</v>
      </c>
      <c r="B141" s="155"/>
      <c r="C141" s="155" t="s">
        <v>295</v>
      </c>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row>
    <row r="142">
      <c r="A142" s="156">
        <f t="shared" si="12"/>
        <v>58</v>
      </c>
      <c r="B142" s="155"/>
      <c r="C142" s="155" t="s">
        <v>298</v>
      </c>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row>
    <row r="143">
      <c r="A143" s="156">
        <f t="shared" si="12"/>
        <v>59</v>
      </c>
      <c r="B143" s="155"/>
      <c r="C143" s="155" t="s">
        <v>304</v>
      </c>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row>
    <row r="144">
      <c r="A144" s="156">
        <f t="shared" si="12"/>
        <v>60</v>
      </c>
      <c r="B144" s="155"/>
      <c r="C144" s="155" t="s">
        <v>310</v>
      </c>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row>
    <row r="145">
      <c r="A145" s="156">
        <f t="shared" si="12"/>
        <v>61</v>
      </c>
      <c r="B145" s="155"/>
      <c r="C145" s="155" t="s">
        <v>316</v>
      </c>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row>
    <row r="146">
      <c r="A146" s="156">
        <f t="shared" si="12"/>
        <v>62</v>
      </c>
      <c r="B146" s="155"/>
      <c r="C146" s="155" t="s">
        <v>322</v>
      </c>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row>
    <row r="147">
      <c r="A147" s="156">
        <f t="shared" si="12"/>
        <v>63</v>
      </c>
      <c r="B147" s="155"/>
      <c r="C147" s="155" t="s">
        <v>328</v>
      </c>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row>
    <row r="148">
      <c r="A148" s="156">
        <f t="shared" si="12"/>
        <v>64</v>
      </c>
      <c r="B148" s="155"/>
      <c r="C148" s="155" t="s">
        <v>333</v>
      </c>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row>
    <row r="149">
      <c r="A149" s="156">
        <f t="shared" si="12"/>
        <v>65</v>
      </c>
      <c r="B149" s="155"/>
      <c r="C149" s="155" t="s">
        <v>339</v>
      </c>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row>
    <row r="150">
      <c r="A150" s="156">
        <f t="shared" si="12"/>
        <v>66</v>
      </c>
      <c r="B150" s="155"/>
      <c r="C150" s="155" t="s">
        <v>345</v>
      </c>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row>
    <row r="151">
      <c r="A151" s="156">
        <f t="shared" si="12"/>
        <v>67</v>
      </c>
      <c r="B151" s="155"/>
      <c r="C151" s="155" t="s">
        <v>351</v>
      </c>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row>
    <row r="152">
      <c r="A152" s="156">
        <f t="shared" si="12"/>
        <v>68</v>
      </c>
      <c r="B152" s="155"/>
      <c r="C152" s="155" t="s">
        <v>357</v>
      </c>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row>
    <row r="153">
      <c r="A153" s="156">
        <f t="shared" si="12"/>
        <v>69</v>
      </c>
      <c r="B153" s="155"/>
      <c r="C153" s="155" t="s">
        <v>362</v>
      </c>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row>
    <row r="154">
      <c r="A154" s="156">
        <f t="shared" si="12"/>
        <v>70</v>
      </c>
      <c r="B154" s="155"/>
      <c r="C154" s="155" t="s">
        <v>365</v>
      </c>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row>
    <row r="155">
      <c r="A155" s="156">
        <f t="shared" si="12"/>
        <v>71</v>
      </c>
      <c r="B155" s="155"/>
      <c r="C155" s="155" t="s">
        <v>368</v>
      </c>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row>
    <row r="156">
      <c r="A156" s="156">
        <f t="shared" si="12"/>
        <v>72</v>
      </c>
      <c r="B156" s="155"/>
      <c r="C156" s="155" t="s">
        <v>374</v>
      </c>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row>
    <row r="157">
      <c r="A157" s="156">
        <f t="shared" si="12"/>
        <v>73</v>
      </c>
      <c r="B157" s="155"/>
      <c r="C157" s="155" t="s">
        <v>379</v>
      </c>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row>
    <row r="158">
      <c r="A158" s="156">
        <f t="shared" si="12"/>
        <v>74</v>
      </c>
      <c r="B158" s="155"/>
      <c r="C158" s="155" t="s">
        <v>384</v>
      </c>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row>
    <row r="159">
      <c r="A159" s="156">
        <f t="shared" si="12"/>
        <v>75</v>
      </c>
      <c r="B159" s="155"/>
      <c r="C159" s="155" t="s">
        <v>389</v>
      </c>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row>
    <row r="160">
      <c r="A160" s="156">
        <f t="shared" si="12"/>
        <v>76</v>
      </c>
      <c r="B160" s="155"/>
      <c r="C160" s="155" t="s">
        <v>394</v>
      </c>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row>
    <row r="161">
      <c r="A161" s="156">
        <f t="shared" si="12"/>
        <v>77</v>
      </c>
      <c r="B161" s="155"/>
      <c r="C161" s="155" t="s">
        <v>400</v>
      </c>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row>
    <row r="162">
      <c r="A162" s="156">
        <f t="shared" si="12"/>
        <v>78</v>
      </c>
      <c r="B162" s="155"/>
      <c r="C162" s="155" t="s">
        <v>406</v>
      </c>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row>
    <row r="163">
      <c r="A163" s="156">
        <f t="shared" si="12"/>
        <v>79</v>
      </c>
      <c r="B163" s="155"/>
      <c r="C163" s="155" t="s">
        <v>412</v>
      </c>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row>
    <row r="164">
      <c r="A164" s="156">
        <f t="shared" si="12"/>
        <v>80</v>
      </c>
      <c r="B164" s="155"/>
      <c r="C164" s="155" t="s">
        <v>418</v>
      </c>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row>
    <row r="165">
      <c r="A165" s="156">
        <f t="shared" si="12"/>
        <v>81</v>
      </c>
      <c r="B165" s="155"/>
      <c r="C165" s="155" t="s">
        <v>424</v>
      </c>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row>
    <row r="166">
      <c r="A166" s="156">
        <f t="shared" si="12"/>
        <v>82</v>
      </c>
      <c r="B166" s="155"/>
      <c r="C166" s="155" t="s">
        <v>427</v>
      </c>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row>
    <row r="167">
      <c r="A167" s="156">
        <f t="shared" si="12"/>
        <v>83</v>
      </c>
      <c r="B167" s="155"/>
      <c r="C167" s="155" t="s">
        <v>432</v>
      </c>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row>
    <row r="168">
      <c r="A168" s="156">
        <f t="shared" si="12"/>
        <v>84</v>
      </c>
      <c r="B168" s="155"/>
      <c r="C168" s="155" t="s">
        <v>435</v>
      </c>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row>
    <row r="169">
      <c r="A169" s="156">
        <f t="shared" si="12"/>
        <v>85</v>
      </c>
      <c r="B169" s="155"/>
      <c r="C169" s="155" t="s">
        <v>441</v>
      </c>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row>
    <row r="170">
      <c r="A170" s="156">
        <f t="shared" si="12"/>
        <v>86</v>
      </c>
      <c r="B170" s="155"/>
      <c r="C170" s="155" t="s">
        <v>446</v>
      </c>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row>
    <row r="171">
      <c r="A171" s="156">
        <f t="shared" si="12"/>
        <v>87</v>
      </c>
      <c r="B171" s="155"/>
      <c r="C171" s="155" t="s">
        <v>452</v>
      </c>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row>
    <row r="172">
      <c r="A172" s="156">
        <f t="shared" si="12"/>
        <v>88</v>
      </c>
      <c r="B172" s="155"/>
      <c r="C172" s="155" t="s">
        <v>458</v>
      </c>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row>
    <row r="173">
      <c r="A173" s="156">
        <f t="shared" si="12"/>
        <v>89</v>
      </c>
      <c r="B173" s="155"/>
      <c r="C173" s="155" t="s">
        <v>463</v>
      </c>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row>
    <row r="174">
      <c r="A174" s="156">
        <f t="shared" si="12"/>
        <v>90</v>
      </c>
      <c r="B174" s="155"/>
      <c r="C174" s="155" t="s">
        <v>469</v>
      </c>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row>
    <row r="175">
      <c r="A175" s="156">
        <f t="shared" si="12"/>
        <v>91</v>
      </c>
      <c r="B175" s="155"/>
      <c r="C175" s="155" t="s">
        <v>475</v>
      </c>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row>
    <row r="176">
      <c r="A176" s="156">
        <f t="shared" si="12"/>
        <v>92</v>
      </c>
      <c r="B176" s="155"/>
      <c r="C176" s="155" t="s">
        <v>478</v>
      </c>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row>
    <row r="177">
      <c r="A177" s="156">
        <f t="shared" si="12"/>
        <v>93</v>
      </c>
      <c r="B177" s="155"/>
      <c r="C177" s="155" t="s">
        <v>484</v>
      </c>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row>
    <row r="178">
      <c r="A178" s="156">
        <f t="shared" si="12"/>
        <v>94</v>
      </c>
      <c r="B178" s="155"/>
      <c r="C178" s="155" t="s">
        <v>489</v>
      </c>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row>
    <row r="179">
      <c r="A179" s="156">
        <f t="shared" si="12"/>
        <v>95</v>
      </c>
      <c r="B179" s="155"/>
      <c r="C179" s="155" t="s">
        <v>495</v>
      </c>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row>
    <row r="180">
      <c r="A180" s="156">
        <f t="shared" si="12"/>
        <v>96</v>
      </c>
      <c r="B180" s="155"/>
      <c r="C180" s="155" t="s">
        <v>500</v>
      </c>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row>
    <row r="181">
      <c r="A181" s="156">
        <f t="shared" si="12"/>
        <v>97</v>
      </c>
      <c r="B181" s="155"/>
      <c r="C181" s="155" t="s">
        <v>506</v>
      </c>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row>
    <row r="182">
      <c r="A182" s="156">
        <f t="shared" si="12"/>
        <v>98</v>
      </c>
      <c r="B182" s="155"/>
      <c r="C182" s="155" t="s">
        <v>512</v>
      </c>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row>
    <row r="183">
      <c r="A183" s="156">
        <f t="shared" si="12"/>
        <v>99</v>
      </c>
      <c r="B183" s="155"/>
      <c r="C183" s="155" t="s">
        <v>518</v>
      </c>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row>
    <row r="184">
      <c r="A184" s="156">
        <f t="shared" si="12"/>
        <v>100</v>
      </c>
      <c r="B184" s="155"/>
      <c r="C184" s="155" t="s">
        <v>523</v>
      </c>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row>
    <row r="18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row>
    <row r="186">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row>
    <row r="187">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row>
    <row r="188">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row>
    <row r="189">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row>
    <row r="190">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row>
    <row r="19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row>
    <row r="19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row>
    <row r="193">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row>
    <row r="194">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row>
    <row r="19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row>
    <row r="196">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row>
    <row r="197">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row>
    <row r="198">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row>
    <row r="199">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row>
    <row r="200">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row>
    <row r="20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row>
    <row r="2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5" t="s">
        <v>672</v>
      </c>
      <c r="B1" s="9" t="s">
        <v>2</v>
      </c>
      <c r="C1" s="10" t="s">
        <v>3</v>
      </c>
      <c r="D1" s="11" t="s">
        <v>533</v>
      </c>
      <c r="E1" s="11" t="s">
        <v>599</v>
      </c>
      <c r="F1" s="11" t="s">
        <v>767</v>
      </c>
      <c r="G1" s="11" t="s">
        <v>768</v>
      </c>
      <c r="H1" s="11" t="s">
        <v>769</v>
      </c>
      <c r="I1" s="11" t="s">
        <v>770</v>
      </c>
      <c r="J1" s="11" t="s">
        <v>771</v>
      </c>
      <c r="K1" s="11" t="s">
        <v>772</v>
      </c>
      <c r="L1" s="11" t="s">
        <v>773</v>
      </c>
      <c r="M1" s="160" t="s">
        <v>774</v>
      </c>
      <c r="N1" s="160" t="s">
        <v>775</v>
      </c>
      <c r="O1" s="160" t="s">
        <v>776</v>
      </c>
      <c r="P1" s="160" t="s">
        <v>777</v>
      </c>
      <c r="Q1" s="11" t="s">
        <v>680</v>
      </c>
      <c r="R1" s="11" t="s">
        <v>681</v>
      </c>
      <c r="Y1" s="11" t="s">
        <v>778</v>
      </c>
    </row>
    <row r="2" ht="36.0" customHeight="1">
      <c r="A2" s="12">
        <v>0.0</v>
      </c>
      <c r="B2" s="12">
        <v>66.0</v>
      </c>
      <c r="C2" s="13" t="str">
        <f>VLOOKUP(B2,companies!$A:$B,2,FALSE)</f>
        <v>Microsoft Corp.</v>
      </c>
      <c r="D2" s="14" t="s">
        <v>535</v>
      </c>
      <c r="E2" s="14" t="s">
        <v>581</v>
      </c>
      <c r="F2" s="23" t="s">
        <v>779</v>
      </c>
      <c r="G2" s="23" t="s">
        <v>780</v>
      </c>
      <c r="H2" s="23" t="s">
        <v>682</v>
      </c>
      <c r="I2" s="23" t="s">
        <v>781</v>
      </c>
      <c r="J2" s="23" t="s">
        <v>683</v>
      </c>
      <c r="K2" s="23" t="s">
        <v>682</v>
      </c>
      <c r="L2" s="23" t="s">
        <v>682</v>
      </c>
      <c r="M2" s="23" t="s">
        <v>682</v>
      </c>
      <c r="N2" s="23" t="s">
        <v>682</v>
      </c>
      <c r="O2" s="23" t="s">
        <v>782</v>
      </c>
      <c r="P2" s="12" t="s">
        <v>783</v>
      </c>
      <c r="Q2" s="23"/>
      <c r="R2" s="23"/>
      <c r="Y2" s="1" t="str">
        <f t="shared" ref="Y2:Y25" si="1">"id"&amp;B2&amp;"target"&amp;E2</f>
        <v>id66targetpublic</v>
      </c>
    </row>
    <row r="3">
      <c r="A3" s="12">
        <f t="shared" ref="A3:A35" si="2">A2+1</f>
        <v>1</v>
      </c>
      <c r="B3" s="12">
        <v>66.0</v>
      </c>
      <c r="C3" s="13" t="str">
        <f>VLOOKUP(B3,companies!$A:$B,2,FALSE)</f>
        <v>Microsoft Corp.</v>
      </c>
      <c r="D3" s="14" t="s">
        <v>535</v>
      </c>
      <c r="E3" s="14" t="s">
        <v>687</v>
      </c>
      <c r="F3" s="23" t="s">
        <v>784</v>
      </c>
      <c r="G3" s="161">
        <v>43474.0</v>
      </c>
      <c r="H3" s="23" t="s">
        <v>683</v>
      </c>
      <c r="I3" s="23" t="s">
        <v>785</v>
      </c>
      <c r="J3" s="23" t="s">
        <v>786</v>
      </c>
      <c r="K3" s="23" t="s">
        <v>683</v>
      </c>
      <c r="L3" s="23" t="s">
        <v>682</v>
      </c>
      <c r="M3" s="23" t="s">
        <v>683</v>
      </c>
      <c r="N3" s="23" t="s">
        <v>683</v>
      </c>
      <c r="O3" s="23" t="s">
        <v>683</v>
      </c>
      <c r="P3" s="12" t="s">
        <v>683</v>
      </c>
      <c r="Q3" s="23"/>
      <c r="R3" s="23"/>
      <c r="Y3" s="1" t="str">
        <f t="shared" si="1"/>
        <v>id66targetsbti</v>
      </c>
    </row>
    <row r="4">
      <c r="A4" s="12">
        <f t="shared" si="2"/>
        <v>2</v>
      </c>
      <c r="B4" s="12">
        <v>1.0</v>
      </c>
      <c r="C4" s="13" t="str">
        <f>VLOOKUP(B4,companies!$A:$B,2,FALSE)</f>
        <v>3M</v>
      </c>
      <c r="D4" s="14" t="s">
        <v>535</v>
      </c>
      <c r="E4" s="14" t="s">
        <v>581</v>
      </c>
      <c r="F4" s="23" t="s">
        <v>787</v>
      </c>
      <c r="G4" s="23" t="s">
        <v>788</v>
      </c>
      <c r="H4" s="23" t="s">
        <v>682</v>
      </c>
      <c r="I4" s="23" t="s">
        <v>781</v>
      </c>
      <c r="J4" s="23" t="s">
        <v>683</v>
      </c>
      <c r="K4" s="23" t="s">
        <v>683</v>
      </c>
      <c r="L4" s="23" t="s">
        <v>682</v>
      </c>
      <c r="M4" s="23" t="s">
        <v>582</v>
      </c>
      <c r="N4" s="23" t="s">
        <v>582</v>
      </c>
      <c r="O4" s="23" t="s">
        <v>582</v>
      </c>
      <c r="P4" s="12" t="s">
        <v>783</v>
      </c>
      <c r="Q4" s="23" t="s">
        <v>789</v>
      </c>
      <c r="R4" s="23" t="s">
        <v>682</v>
      </c>
      <c r="Y4" s="1" t="str">
        <f t="shared" si="1"/>
        <v>id1targetpublic</v>
      </c>
    </row>
    <row r="5">
      <c r="A5" s="12">
        <f t="shared" si="2"/>
        <v>3</v>
      </c>
      <c r="B5" s="12">
        <v>2.0</v>
      </c>
      <c r="C5" s="13" t="str">
        <f>VLOOKUP(B5,companies!$A:$B,2,FALSE)</f>
        <v>Abbott Laboratories</v>
      </c>
      <c r="D5" s="14" t="s">
        <v>535</v>
      </c>
      <c r="E5" s="14" t="s">
        <v>581</v>
      </c>
      <c r="F5" s="23" t="s">
        <v>790</v>
      </c>
      <c r="G5" s="23" t="s">
        <v>791</v>
      </c>
      <c r="H5" s="23" t="s">
        <v>582</v>
      </c>
      <c r="I5" s="23" t="s">
        <v>781</v>
      </c>
      <c r="J5" s="23" t="s">
        <v>683</v>
      </c>
      <c r="K5" s="23" t="s">
        <v>683</v>
      </c>
      <c r="L5" s="23" t="s">
        <v>682</v>
      </c>
      <c r="M5" s="23" t="s">
        <v>582</v>
      </c>
      <c r="N5" s="23" t="s">
        <v>582</v>
      </c>
      <c r="O5" s="23" t="s">
        <v>582</v>
      </c>
      <c r="P5" s="12" t="s">
        <v>783</v>
      </c>
      <c r="Q5" s="23"/>
      <c r="R5" s="23"/>
      <c r="Y5" s="1" t="str">
        <f t="shared" si="1"/>
        <v>id2targetpublic</v>
      </c>
    </row>
    <row r="6">
      <c r="A6" s="12">
        <f t="shared" si="2"/>
        <v>4</v>
      </c>
      <c r="B6" s="12">
        <v>3.0</v>
      </c>
      <c r="C6" s="13" t="str">
        <f>VLOOKUP(B6,companies!$A:$B,2,FALSE)</f>
        <v>AbbVie Inc.</v>
      </c>
      <c r="D6" s="14" t="s">
        <v>535</v>
      </c>
      <c r="E6" s="14" t="s">
        <v>581</v>
      </c>
      <c r="F6" s="23" t="s">
        <v>792</v>
      </c>
      <c r="G6" s="15">
        <v>42370.0</v>
      </c>
      <c r="H6" s="23" t="s">
        <v>582</v>
      </c>
      <c r="I6" s="23" t="s">
        <v>781</v>
      </c>
      <c r="J6" s="23" t="s">
        <v>683</v>
      </c>
      <c r="K6" s="23" t="s">
        <v>683</v>
      </c>
      <c r="L6" s="23" t="s">
        <v>682</v>
      </c>
      <c r="M6" s="23" t="s">
        <v>582</v>
      </c>
      <c r="N6" s="23" t="s">
        <v>582</v>
      </c>
      <c r="O6" s="23" t="s">
        <v>582</v>
      </c>
      <c r="P6" s="12" t="s">
        <v>783</v>
      </c>
      <c r="Q6" s="23" t="s">
        <v>793</v>
      </c>
      <c r="R6" s="23"/>
      <c r="Y6" s="1" t="str">
        <f t="shared" si="1"/>
        <v>id3targetpublic</v>
      </c>
    </row>
    <row r="7">
      <c r="A7" s="12">
        <f t="shared" si="2"/>
        <v>5</v>
      </c>
      <c r="B7" s="12">
        <v>3.0</v>
      </c>
      <c r="C7" s="13" t="str">
        <f>VLOOKUP(B7,companies!$A:$B,2,FALSE)</f>
        <v>AbbVie Inc.</v>
      </c>
      <c r="D7" s="14" t="s">
        <v>535</v>
      </c>
      <c r="E7" s="14" t="s">
        <v>687</v>
      </c>
      <c r="F7" s="23"/>
      <c r="G7" s="15">
        <v>44202.0</v>
      </c>
      <c r="H7" s="23" t="s">
        <v>683</v>
      </c>
      <c r="I7" s="23" t="s">
        <v>794</v>
      </c>
      <c r="J7" s="23" t="s">
        <v>795</v>
      </c>
      <c r="K7" s="23" t="s">
        <v>683</v>
      </c>
      <c r="L7" s="23" t="s">
        <v>682</v>
      </c>
      <c r="M7" s="23" t="s">
        <v>683</v>
      </c>
      <c r="N7" s="23" t="s">
        <v>683</v>
      </c>
      <c r="O7" s="23" t="s">
        <v>683</v>
      </c>
      <c r="P7" s="12" t="s">
        <v>683</v>
      </c>
      <c r="Q7" s="23"/>
      <c r="R7" s="23"/>
      <c r="Y7" s="1" t="str">
        <f t="shared" si="1"/>
        <v>id3targetsbti</v>
      </c>
    </row>
    <row r="8">
      <c r="A8" s="12">
        <f t="shared" si="2"/>
        <v>6</v>
      </c>
      <c r="B8" s="12">
        <v>4.0</v>
      </c>
      <c r="C8" s="13" t="str">
        <f>VLOOKUP(B8,companies!$A:$B,2,FALSE)</f>
        <v>Accenture</v>
      </c>
      <c r="D8" s="14" t="s">
        <v>535</v>
      </c>
      <c r="E8" s="14" t="s">
        <v>687</v>
      </c>
      <c r="F8" s="23" t="s">
        <v>796</v>
      </c>
      <c r="G8" s="15">
        <v>43112.0</v>
      </c>
      <c r="H8" s="23" t="s">
        <v>683</v>
      </c>
      <c r="I8" s="23" t="s">
        <v>785</v>
      </c>
      <c r="J8" s="23" t="s">
        <v>786</v>
      </c>
      <c r="K8" s="23" t="s">
        <v>683</v>
      </c>
      <c r="L8" s="23" t="s">
        <v>682</v>
      </c>
      <c r="M8" s="23" t="s">
        <v>683</v>
      </c>
      <c r="N8" s="23" t="s">
        <v>683</v>
      </c>
      <c r="O8" s="23" t="s">
        <v>683</v>
      </c>
      <c r="P8" s="23" t="s">
        <v>683</v>
      </c>
      <c r="Q8" s="23"/>
      <c r="R8" s="23"/>
      <c r="Y8" s="1" t="str">
        <f t="shared" si="1"/>
        <v>id4targetsbti</v>
      </c>
    </row>
    <row r="9">
      <c r="A9" s="12">
        <f t="shared" si="2"/>
        <v>7</v>
      </c>
      <c r="B9" s="12">
        <v>4.0</v>
      </c>
      <c r="C9" s="13" t="str">
        <f>VLOOKUP(B9,companies!$A:$B,2,FALSE)</f>
        <v>Accenture</v>
      </c>
      <c r="D9" s="14" t="s">
        <v>535</v>
      </c>
      <c r="E9" s="14" t="s">
        <v>581</v>
      </c>
      <c r="F9" s="23" t="s">
        <v>797</v>
      </c>
      <c r="G9" s="15">
        <v>44053.0</v>
      </c>
      <c r="H9" s="23" t="s">
        <v>682</v>
      </c>
      <c r="I9" s="23" t="s">
        <v>781</v>
      </c>
      <c r="J9" s="23" t="s">
        <v>683</v>
      </c>
      <c r="K9" s="23" t="s">
        <v>683</v>
      </c>
      <c r="L9" s="23" t="s">
        <v>682</v>
      </c>
      <c r="M9" s="23" t="s">
        <v>582</v>
      </c>
      <c r="N9" s="23" t="s">
        <v>582</v>
      </c>
      <c r="O9" s="23" t="s">
        <v>798</v>
      </c>
      <c r="P9" s="12" t="s">
        <v>783</v>
      </c>
      <c r="Q9" s="23" t="s">
        <v>799</v>
      </c>
      <c r="R9" s="35" t="s">
        <v>682</v>
      </c>
      <c r="Y9" s="1" t="str">
        <f t="shared" si="1"/>
        <v>id4targetpublic</v>
      </c>
    </row>
    <row r="10">
      <c r="A10" s="12">
        <f t="shared" si="2"/>
        <v>8</v>
      </c>
      <c r="B10" s="12">
        <v>5.0</v>
      </c>
      <c r="C10" s="13" t="str">
        <f>VLOOKUP(B10,companies!$A:$B,2,FALSE)</f>
        <v>Adobe Inc.</v>
      </c>
      <c r="D10" s="14" t="s">
        <v>535</v>
      </c>
      <c r="E10" s="14" t="s">
        <v>687</v>
      </c>
      <c r="F10" s="23" t="s">
        <v>800</v>
      </c>
      <c r="G10" s="15">
        <v>44288.0</v>
      </c>
      <c r="H10" s="23" t="s">
        <v>683</v>
      </c>
      <c r="I10" s="23" t="s">
        <v>785</v>
      </c>
      <c r="J10" s="23" t="s">
        <v>786</v>
      </c>
      <c r="K10" s="23" t="s">
        <v>683</v>
      </c>
      <c r="L10" s="23" t="s">
        <v>682</v>
      </c>
      <c r="M10" s="23"/>
      <c r="N10" s="23"/>
      <c r="O10" s="23" t="s">
        <v>801</v>
      </c>
      <c r="P10" s="12"/>
      <c r="Q10" s="23" t="s">
        <v>802</v>
      </c>
      <c r="R10" s="23" t="s">
        <v>682</v>
      </c>
      <c r="Y10" s="1" t="str">
        <f t="shared" si="1"/>
        <v>id5targetsbti</v>
      </c>
    </row>
    <row r="11">
      <c r="A11" s="12">
        <f t="shared" si="2"/>
        <v>9</v>
      </c>
      <c r="B11" s="12">
        <v>6.0</v>
      </c>
      <c r="C11" s="13" t="str">
        <f>VLOOKUP(B11,companies!$A:$B,2,FALSE)</f>
        <v>Allstate Corp</v>
      </c>
      <c r="D11" s="14" t="s">
        <v>535</v>
      </c>
      <c r="E11" s="14" t="s">
        <v>581</v>
      </c>
      <c r="F11" s="23" t="s">
        <v>803</v>
      </c>
      <c r="G11" s="14" t="s">
        <v>804</v>
      </c>
      <c r="H11" s="23" t="s">
        <v>582</v>
      </c>
      <c r="I11" s="23" t="s">
        <v>805</v>
      </c>
      <c r="J11" s="23" t="s">
        <v>683</v>
      </c>
      <c r="K11" s="23" t="s">
        <v>683</v>
      </c>
      <c r="L11" s="23" t="s">
        <v>682</v>
      </c>
      <c r="M11" s="23" t="s">
        <v>582</v>
      </c>
      <c r="N11" s="23" t="s">
        <v>582</v>
      </c>
      <c r="O11" s="23" t="s">
        <v>582</v>
      </c>
      <c r="P11" s="12" t="s">
        <v>582</v>
      </c>
      <c r="Q11" s="23" t="s">
        <v>806</v>
      </c>
      <c r="R11" s="23"/>
      <c r="Y11" s="1" t="str">
        <f t="shared" si="1"/>
        <v>id6targetpublic</v>
      </c>
    </row>
    <row r="12" ht="25.5" customHeight="1">
      <c r="A12" s="12">
        <f t="shared" si="2"/>
        <v>10</v>
      </c>
      <c r="B12" s="12">
        <v>7.0</v>
      </c>
      <c r="C12" s="13" t="str">
        <f>VLOOKUP(B12,companies!$A:$B,2,FALSE)</f>
        <v>Alphabet Inc. Google</v>
      </c>
      <c r="D12" s="15">
        <v>44204.0</v>
      </c>
      <c r="E12" s="14" t="s">
        <v>581</v>
      </c>
      <c r="F12" s="23" t="s">
        <v>807</v>
      </c>
      <c r="G12" s="14" t="s">
        <v>808</v>
      </c>
      <c r="H12" s="162" t="s">
        <v>682</v>
      </c>
      <c r="I12" s="23" t="s">
        <v>781</v>
      </c>
      <c r="J12" s="23" t="s">
        <v>683</v>
      </c>
      <c r="K12" s="23" t="s">
        <v>683</v>
      </c>
      <c r="L12" s="23" t="s">
        <v>682</v>
      </c>
      <c r="M12" s="23" t="s">
        <v>682</v>
      </c>
      <c r="N12" s="23" t="s">
        <v>582</v>
      </c>
      <c r="O12" s="23" t="s">
        <v>809</v>
      </c>
      <c r="P12" s="12" t="s">
        <v>783</v>
      </c>
      <c r="Q12" s="23" t="s">
        <v>810</v>
      </c>
      <c r="R12" s="23"/>
      <c r="Y12" s="1" t="str">
        <f t="shared" si="1"/>
        <v>id7targetpublic</v>
      </c>
    </row>
    <row r="13">
      <c r="A13" s="12">
        <f t="shared" si="2"/>
        <v>11</v>
      </c>
      <c r="B13" s="12">
        <v>8.0</v>
      </c>
      <c r="C13" s="13" t="str">
        <f>VLOOKUP(B13,companies!$A:$B,2,FALSE)</f>
        <v>Altria Group Inc</v>
      </c>
      <c r="D13" s="15">
        <v>44204.0</v>
      </c>
      <c r="E13" s="14" t="s">
        <v>687</v>
      </c>
      <c r="F13" s="23" t="s">
        <v>811</v>
      </c>
      <c r="G13" s="161">
        <v>44081.0</v>
      </c>
      <c r="H13" s="23" t="s">
        <v>683</v>
      </c>
      <c r="I13" s="23" t="s">
        <v>785</v>
      </c>
      <c r="J13" s="23" t="s">
        <v>786</v>
      </c>
      <c r="K13" s="23" t="s">
        <v>683</v>
      </c>
      <c r="L13" s="23" t="s">
        <v>682</v>
      </c>
      <c r="M13" s="23" t="s">
        <v>582</v>
      </c>
      <c r="N13" s="23" t="s">
        <v>582</v>
      </c>
      <c r="O13" s="23" t="s">
        <v>582</v>
      </c>
      <c r="P13" s="12" t="s">
        <v>783</v>
      </c>
      <c r="Q13" s="23"/>
      <c r="R13" s="23"/>
      <c r="Y13" s="1" t="str">
        <f t="shared" si="1"/>
        <v>id8targetsbti</v>
      </c>
    </row>
    <row r="14">
      <c r="A14" s="12">
        <f t="shared" si="2"/>
        <v>12</v>
      </c>
      <c r="B14" s="12">
        <v>10.0</v>
      </c>
      <c r="C14" s="13" t="str">
        <f>VLOOKUP(B14,companies!$A:$B,2,FALSE)</f>
        <v>American Express</v>
      </c>
      <c r="D14" s="15">
        <v>44204.0</v>
      </c>
      <c r="E14" s="14" t="s">
        <v>581</v>
      </c>
      <c r="F14" s="23" t="s">
        <v>812</v>
      </c>
      <c r="G14" s="23" t="s">
        <v>813</v>
      </c>
      <c r="H14" s="23" t="s">
        <v>582</v>
      </c>
      <c r="I14" s="23" t="s">
        <v>781</v>
      </c>
      <c r="J14" s="23" t="s">
        <v>683</v>
      </c>
      <c r="K14" s="23" t="s">
        <v>683</v>
      </c>
      <c r="L14" s="23" t="s">
        <v>682</v>
      </c>
      <c r="M14" s="23" t="s">
        <v>682</v>
      </c>
      <c r="N14" s="23" t="s">
        <v>582</v>
      </c>
      <c r="O14" s="23" t="s">
        <v>582</v>
      </c>
      <c r="P14" s="23" t="s">
        <v>582</v>
      </c>
      <c r="Q14" s="23" t="s">
        <v>814</v>
      </c>
      <c r="R14" s="23"/>
      <c r="Y14" s="1" t="str">
        <f t="shared" si="1"/>
        <v>id10targetpublic</v>
      </c>
    </row>
    <row r="15">
      <c r="A15" s="12">
        <f t="shared" si="2"/>
        <v>13</v>
      </c>
      <c r="B15" s="12">
        <v>11.0</v>
      </c>
      <c r="C15" s="13" t="str">
        <f>VLOOKUP(B15,companies!$A:$B,2,FALSE)</f>
        <v>American International Group (AIG)</v>
      </c>
      <c r="D15" s="15">
        <v>44204.0</v>
      </c>
      <c r="E15" s="14" t="s">
        <v>581</v>
      </c>
      <c r="F15" s="23" t="s">
        <v>815</v>
      </c>
      <c r="G15" s="15">
        <v>44202.0</v>
      </c>
      <c r="H15" s="23" t="s">
        <v>682</v>
      </c>
      <c r="I15" s="23" t="s">
        <v>781</v>
      </c>
      <c r="J15" s="23" t="s">
        <v>683</v>
      </c>
      <c r="K15" s="23" t="s">
        <v>683</v>
      </c>
      <c r="L15" s="23" t="s">
        <v>682</v>
      </c>
      <c r="M15" s="23" t="s">
        <v>582</v>
      </c>
      <c r="N15" s="23" t="s">
        <v>582</v>
      </c>
      <c r="O15" s="23" t="s">
        <v>582</v>
      </c>
      <c r="P15" s="23" t="s">
        <v>582</v>
      </c>
      <c r="Q15" s="23" t="s">
        <v>816</v>
      </c>
      <c r="R15" s="23"/>
      <c r="Y15" s="1" t="str">
        <f t="shared" si="1"/>
        <v>id11targetpublic</v>
      </c>
    </row>
    <row r="16">
      <c r="A16" s="12">
        <f t="shared" si="2"/>
        <v>14</v>
      </c>
      <c r="B16" s="12">
        <v>12.0</v>
      </c>
      <c r="C16" s="13" t="str">
        <f>VLOOKUP(B16,companies!$A:$B,2,FALSE)</f>
        <v>American Tower</v>
      </c>
      <c r="D16" s="15">
        <v>44204.0</v>
      </c>
      <c r="E16" s="14" t="s">
        <v>581</v>
      </c>
      <c r="F16" s="23" t="s">
        <v>683</v>
      </c>
      <c r="G16" s="23" t="s">
        <v>683</v>
      </c>
      <c r="H16" s="23" t="s">
        <v>683</v>
      </c>
      <c r="I16" s="23" t="s">
        <v>817</v>
      </c>
      <c r="J16" s="23" t="s">
        <v>683</v>
      </c>
      <c r="K16" s="23" t="s">
        <v>683</v>
      </c>
      <c r="L16" s="23" t="s">
        <v>683</v>
      </c>
      <c r="M16" s="23" t="s">
        <v>683</v>
      </c>
      <c r="N16" s="23" t="s">
        <v>683</v>
      </c>
      <c r="O16" s="23" t="s">
        <v>683</v>
      </c>
      <c r="P16" s="23" t="s">
        <v>683</v>
      </c>
      <c r="Q16" s="23" t="s">
        <v>818</v>
      </c>
      <c r="R16" s="23"/>
      <c r="Y16" s="1" t="str">
        <f t="shared" si="1"/>
        <v>id12targetpublic</v>
      </c>
    </row>
    <row r="17">
      <c r="A17" s="12">
        <f t="shared" si="2"/>
        <v>15</v>
      </c>
      <c r="B17" s="12">
        <v>13.0</v>
      </c>
      <c r="C17" s="13" t="str">
        <f>VLOOKUP(B17,companies!$A:$B,2,FALSE)</f>
        <v>Amgen Inc.</v>
      </c>
      <c r="D17" s="15">
        <v>44235.0</v>
      </c>
      <c r="E17" s="14" t="s">
        <v>581</v>
      </c>
      <c r="F17" s="23" t="s">
        <v>819</v>
      </c>
      <c r="G17" s="163">
        <v>44501.0</v>
      </c>
      <c r="H17" s="23" t="s">
        <v>682</v>
      </c>
      <c r="I17" s="23" t="s">
        <v>781</v>
      </c>
      <c r="J17" s="23" t="s">
        <v>683</v>
      </c>
      <c r="K17" s="23" t="s">
        <v>683</v>
      </c>
      <c r="L17" s="23" t="s">
        <v>682</v>
      </c>
      <c r="M17" s="23" t="s">
        <v>582</v>
      </c>
      <c r="N17" s="23" t="s">
        <v>582</v>
      </c>
      <c r="O17" s="23" t="s">
        <v>820</v>
      </c>
      <c r="P17" s="23" t="s">
        <v>783</v>
      </c>
      <c r="Q17" s="23" t="s">
        <v>821</v>
      </c>
      <c r="R17" s="23"/>
      <c r="Y17" s="1" t="str">
        <f t="shared" si="1"/>
        <v>id13targetpublic</v>
      </c>
    </row>
    <row r="18">
      <c r="A18" s="12">
        <f t="shared" si="2"/>
        <v>16</v>
      </c>
      <c r="B18" s="12">
        <v>14.0</v>
      </c>
      <c r="C18" s="13" t="str">
        <f>VLOOKUP(B18,companies!$A:$B,2,FALSE)</f>
        <v>Apple Inc.</v>
      </c>
      <c r="D18" s="15">
        <v>44235.0</v>
      </c>
      <c r="E18" s="14" t="s">
        <v>581</v>
      </c>
      <c r="F18" s="23" t="s">
        <v>822</v>
      </c>
      <c r="G18" s="23" t="s">
        <v>823</v>
      </c>
      <c r="H18" s="23" t="s">
        <v>682</v>
      </c>
      <c r="I18" s="23" t="s">
        <v>781</v>
      </c>
      <c r="J18" s="23" t="s">
        <v>683</v>
      </c>
      <c r="K18" s="23" t="s">
        <v>683</v>
      </c>
      <c r="L18" s="23" t="s">
        <v>682</v>
      </c>
      <c r="M18" s="23" t="s">
        <v>682</v>
      </c>
      <c r="N18" s="23" t="s">
        <v>682</v>
      </c>
      <c r="O18" s="23" t="s">
        <v>824</v>
      </c>
      <c r="P18" s="12" t="s">
        <v>825</v>
      </c>
      <c r="Q18" s="12"/>
      <c r="R18" s="12"/>
      <c r="Y18" s="1" t="str">
        <f t="shared" si="1"/>
        <v>id14targetpublic</v>
      </c>
    </row>
    <row r="19">
      <c r="A19" s="12">
        <f t="shared" si="2"/>
        <v>17</v>
      </c>
      <c r="B19" s="12">
        <v>14.0</v>
      </c>
      <c r="C19" s="13" t="str">
        <f>VLOOKUP(B19,companies!$A:$B,2,FALSE)</f>
        <v>Apple Inc.</v>
      </c>
      <c r="D19" s="15">
        <v>44235.0</v>
      </c>
      <c r="E19" s="14" t="s">
        <v>687</v>
      </c>
      <c r="F19" s="23" t="s">
        <v>826</v>
      </c>
      <c r="G19" s="163">
        <v>44201.0</v>
      </c>
      <c r="H19" s="23" t="s">
        <v>683</v>
      </c>
      <c r="I19" s="23" t="s">
        <v>785</v>
      </c>
      <c r="J19" s="23" t="s">
        <v>786</v>
      </c>
      <c r="K19" s="23" t="s">
        <v>683</v>
      </c>
      <c r="L19" s="23" t="s">
        <v>682</v>
      </c>
      <c r="M19" s="23" t="s">
        <v>683</v>
      </c>
      <c r="N19" s="23" t="s">
        <v>683</v>
      </c>
      <c r="O19" s="23" t="s">
        <v>683</v>
      </c>
      <c r="P19" s="23" t="s">
        <v>683</v>
      </c>
      <c r="Q19" s="23" t="s">
        <v>827</v>
      </c>
      <c r="R19" s="12"/>
      <c r="Y19" s="1" t="str">
        <f t="shared" si="1"/>
        <v>id14targetsbti</v>
      </c>
    </row>
    <row r="20">
      <c r="A20" s="12">
        <f t="shared" si="2"/>
        <v>18</v>
      </c>
      <c r="B20" s="12">
        <v>15.0</v>
      </c>
      <c r="C20" s="13" t="str">
        <f>VLOOKUP(B20,companies!$A:$B,2,FALSE)</f>
        <v>AT&amp;T Inc.</v>
      </c>
      <c r="D20" s="15">
        <v>44235.0</v>
      </c>
      <c r="E20" s="14" t="s">
        <v>687</v>
      </c>
      <c r="F20" s="23" t="s">
        <v>828</v>
      </c>
      <c r="G20" s="163">
        <v>43833.0</v>
      </c>
      <c r="H20" s="23" t="s">
        <v>683</v>
      </c>
      <c r="I20" s="23" t="s">
        <v>785</v>
      </c>
      <c r="J20" s="23" t="s">
        <v>786</v>
      </c>
      <c r="K20" s="23" t="s">
        <v>683</v>
      </c>
      <c r="L20" s="23" t="s">
        <v>682</v>
      </c>
      <c r="M20" s="23" t="s">
        <v>683</v>
      </c>
      <c r="N20" s="23" t="s">
        <v>683</v>
      </c>
      <c r="O20" s="23" t="s">
        <v>683</v>
      </c>
      <c r="P20" s="23" t="s">
        <v>683</v>
      </c>
      <c r="Q20" s="164"/>
      <c r="R20" s="12"/>
      <c r="Y20" s="1" t="str">
        <f t="shared" si="1"/>
        <v>id15targetsbti</v>
      </c>
    </row>
    <row r="21">
      <c r="A21" s="12">
        <f t="shared" si="2"/>
        <v>19</v>
      </c>
      <c r="B21" s="12">
        <v>15.0</v>
      </c>
      <c r="C21" s="13" t="str">
        <f>VLOOKUP(B21,companies!$A:$B,2,FALSE)</f>
        <v>AT&amp;T Inc.</v>
      </c>
      <c r="D21" s="15">
        <v>44235.0</v>
      </c>
      <c r="E21" s="14" t="s">
        <v>581</v>
      </c>
      <c r="F21" s="23" t="s">
        <v>829</v>
      </c>
      <c r="G21" s="23" t="s">
        <v>830</v>
      </c>
      <c r="H21" s="23" t="s">
        <v>682</v>
      </c>
      <c r="I21" s="23" t="s">
        <v>781</v>
      </c>
      <c r="J21" s="23" t="s">
        <v>683</v>
      </c>
      <c r="K21" s="23" t="s">
        <v>683</v>
      </c>
      <c r="L21" s="23" t="s">
        <v>682</v>
      </c>
      <c r="M21" s="23" t="s">
        <v>582</v>
      </c>
      <c r="N21" s="23" t="s">
        <v>582</v>
      </c>
      <c r="O21" s="23" t="s">
        <v>831</v>
      </c>
      <c r="P21" s="23" t="s">
        <v>832</v>
      </c>
      <c r="Q21" s="12"/>
      <c r="R21" s="12"/>
      <c r="Y21" s="1" t="str">
        <f t="shared" si="1"/>
        <v>id15targetpublic</v>
      </c>
    </row>
    <row r="22">
      <c r="A22" s="12">
        <f t="shared" si="2"/>
        <v>20</v>
      </c>
      <c r="B22" s="12">
        <v>16.0</v>
      </c>
      <c r="C22" s="13" t="str">
        <f>VLOOKUP(B22,companies!$A:$B,2,FALSE)</f>
        <v>Bank of America</v>
      </c>
      <c r="D22" s="15">
        <v>44235.0</v>
      </c>
      <c r="E22" s="14" t="s">
        <v>581</v>
      </c>
      <c r="F22" s="149" t="s">
        <v>833</v>
      </c>
      <c r="G22" s="163">
        <v>44502.0</v>
      </c>
      <c r="H22" s="23" t="s">
        <v>682</v>
      </c>
      <c r="I22" s="23" t="s">
        <v>781</v>
      </c>
      <c r="J22" s="23" t="s">
        <v>683</v>
      </c>
      <c r="K22" s="23" t="s">
        <v>683</v>
      </c>
      <c r="L22" s="23" t="s">
        <v>682</v>
      </c>
      <c r="M22" s="23" t="s">
        <v>582</v>
      </c>
      <c r="N22" s="23" t="s">
        <v>582</v>
      </c>
      <c r="O22" s="23"/>
      <c r="P22" s="12"/>
      <c r="Q22" s="12"/>
      <c r="R22" s="12"/>
      <c r="Y22" s="1" t="str">
        <f t="shared" si="1"/>
        <v>id16targetpublic</v>
      </c>
    </row>
    <row r="23">
      <c r="A23" s="12">
        <f t="shared" si="2"/>
        <v>21</v>
      </c>
      <c r="B23" s="12">
        <v>9.0</v>
      </c>
      <c r="C23" s="13" t="str">
        <f>VLOOKUP(B23,companies!$A:$B,2,FALSE)</f>
        <v>Amazon.com Inc.</v>
      </c>
      <c r="D23" s="15">
        <v>44235.0</v>
      </c>
      <c r="E23" s="14" t="s">
        <v>581</v>
      </c>
      <c r="F23" s="149" t="s">
        <v>834</v>
      </c>
      <c r="G23" s="23" t="s">
        <v>835</v>
      </c>
      <c r="H23" s="23" t="s">
        <v>682</v>
      </c>
      <c r="I23" s="23" t="s">
        <v>781</v>
      </c>
      <c r="J23" s="23" t="s">
        <v>683</v>
      </c>
      <c r="K23" s="23" t="s">
        <v>683</v>
      </c>
      <c r="L23" s="23" t="s">
        <v>682</v>
      </c>
      <c r="M23" s="23" t="s">
        <v>582</v>
      </c>
      <c r="N23" s="23" t="s">
        <v>582</v>
      </c>
      <c r="O23" s="23"/>
      <c r="P23" s="23" t="s">
        <v>836</v>
      </c>
      <c r="Q23" s="23" t="s">
        <v>837</v>
      </c>
      <c r="R23" s="12"/>
      <c r="Y23" s="1" t="str">
        <f t="shared" si="1"/>
        <v>id9targetpublic</v>
      </c>
    </row>
    <row r="24">
      <c r="A24" s="12">
        <f t="shared" si="2"/>
        <v>22</v>
      </c>
      <c r="B24" s="12">
        <v>18.0</v>
      </c>
      <c r="C24" s="13" t="str">
        <f>VLOOKUP(B24,companies!$A:$B,2,FALSE)</f>
        <v>Biogen Inc.</v>
      </c>
      <c r="D24" s="15">
        <v>44235.0</v>
      </c>
      <c r="E24" s="14" t="s">
        <v>687</v>
      </c>
      <c r="F24" s="23" t="s">
        <v>838</v>
      </c>
      <c r="G24" s="163">
        <v>43839.0</v>
      </c>
      <c r="H24" s="23" t="s">
        <v>682</v>
      </c>
      <c r="I24" s="23" t="s">
        <v>781</v>
      </c>
      <c r="J24" s="23" t="s">
        <v>786</v>
      </c>
      <c r="K24" s="23" t="s">
        <v>683</v>
      </c>
      <c r="L24" s="23" t="s">
        <v>682</v>
      </c>
      <c r="M24" s="23" t="s">
        <v>582</v>
      </c>
      <c r="N24" s="23" t="s">
        <v>582</v>
      </c>
      <c r="O24" s="23" t="s">
        <v>582</v>
      </c>
      <c r="P24" s="23" t="s">
        <v>582</v>
      </c>
      <c r="Q24" s="23"/>
      <c r="R24" s="23"/>
      <c r="Y24" s="1" t="str">
        <f t="shared" si="1"/>
        <v>id18targetsbti</v>
      </c>
    </row>
    <row r="25">
      <c r="A25" s="12">
        <f t="shared" si="2"/>
        <v>23</v>
      </c>
      <c r="B25" s="12">
        <v>19.0</v>
      </c>
      <c r="C25" s="13" t="str">
        <f>VLOOKUP(B25,companies!$A:$B,2,FALSE)</f>
        <v>BlackRock Inc.</v>
      </c>
      <c r="D25" s="15">
        <v>44235.0</v>
      </c>
      <c r="E25" s="14" t="s">
        <v>581</v>
      </c>
      <c r="F25" s="23" t="s">
        <v>839</v>
      </c>
      <c r="G25" s="23" t="s">
        <v>840</v>
      </c>
      <c r="H25" s="23" t="s">
        <v>682</v>
      </c>
      <c r="I25" s="23" t="s">
        <v>781</v>
      </c>
      <c r="J25" s="23" t="s">
        <v>683</v>
      </c>
      <c r="K25" s="23" t="s">
        <v>683</v>
      </c>
      <c r="L25" s="23" t="s">
        <v>682</v>
      </c>
      <c r="M25" s="23" t="s">
        <v>582</v>
      </c>
      <c r="N25" s="23" t="s">
        <v>582</v>
      </c>
      <c r="O25" s="23" t="s">
        <v>841</v>
      </c>
      <c r="P25" s="23" t="s">
        <v>783</v>
      </c>
      <c r="Q25" s="23"/>
      <c r="R25" s="23"/>
      <c r="Y25" s="1" t="str">
        <f t="shared" si="1"/>
        <v>id19targetpublic</v>
      </c>
    </row>
    <row r="26">
      <c r="A26" s="12">
        <f t="shared" si="2"/>
        <v>24</v>
      </c>
      <c r="B26" s="12"/>
      <c r="C26" s="13"/>
      <c r="D26" s="15"/>
      <c r="E26" s="14"/>
      <c r="F26" s="23"/>
      <c r="G26" s="23"/>
      <c r="H26" s="23"/>
      <c r="I26" s="23"/>
      <c r="J26" s="23"/>
      <c r="K26" s="23"/>
      <c r="L26" s="23"/>
      <c r="M26" s="23"/>
      <c r="N26" s="23"/>
      <c r="O26" s="23"/>
      <c r="P26" s="23"/>
      <c r="Q26" s="23"/>
      <c r="R26" s="23"/>
    </row>
    <row r="27">
      <c r="A27" s="12">
        <f t="shared" si="2"/>
        <v>25</v>
      </c>
      <c r="B27" s="12"/>
      <c r="C27" s="13"/>
      <c r="D27" s="15"/>
      <c r="E27" s="14"/>
      <c r="F27" s="23"/>
      <c r="G27" s="23"/>
      <c r="H27" s="23"/>
      <c r="I27" s="23"/>
      <c r="J27" s="23"/>
      <c r="K27" s="23"/>
      <c r="L27" s="23"/>
      <c r="M27" s="23"/>
      <c r="N27" s="23"/>
      <c r="O27" s="23"/>
      <c r="P27" s="23"/>
      <c r="Q27" s="23"/>
      <c r="R27" s="23"/>
    </row>
    <row r="28">
      <c r="A28" s="12">
        <f t="shared" si="2"/>
        <v>26</v>
      </c>
      <c r="B28" s="12"/>
      <c r="C28" s="13"/>
      <c r="D28" s="15"/>
      <c r="E28" s="14"/>
      <c r="F28" s="23"/>
      <c r="G28" s="23"/>
      <c r="H28" s="23"/>
      <c r="I28" s="23"/>
      <c r="J28" s="23"/>
      <c r="K28" s="23"/>
      <c r="L28" s="23"/>
      <c r="M28" s="23"/>
      <c r="N28" s="23"/>
      <c r="O28" s="23"/>
      <c r="P28" s="23"/>
      <c r="Q28" s="23"/>
      <c r="R28" s="23"/>
    </row>
    <row r="29">
      <c r="A29" s="12">
        <f t="shared" si="2"/>
        <v>27</v>
      </c>
      <c r="B29" s="12"/>
      <c r="C29" s="13"/>
      <c r="D29" s="15"/>
      <c r="E29" s="14"/>
      <c r="F29" s="23"/>
      <c r="G29" s="23"/>
      <c r="H29" s="23"/>
      <c r="I29" s="23"/>
      <c r="J29" s="23"/>
      <c r="K29" s="23"/>
      <c r="L29" s="23"/>
      <c r="M29" s="23"/>
      <c r="N29" s="23"/>
      <c r="O29" s="23"/>
      <c r="P29" s="23"/>
      <c r="Q29" s="23"/>
      <c r="R29" s="23"/>
    </row>
    <row r="30">
      <c r="A30" s="12">
        <f t="shared" si="2"/>
        <v>28</v>
      </c>
      <c r="B30" s="12"/>
      <c r="C30" s="13"/>
      <c r="D30" s="15"/>
      <c r="E30" s="14"/>
      <c r="F30" s="23"/>
      <c r="G30" s="23"/>
      <c r="H30" s="23"/>
      <c r="I30" s="23"/>
      <c r="J30" s="23"/>
      <c r="K30" s="23"/>
      <c r="L30" s="23"/>
      <c r="M30" s="23"/>
      <c r="N30" s="23"/>
      <c r="O30" s="23"/>
      <c r="P30" s="12"/>
      <c r="Q30" s="23"/>
      <c r="R30" s="23"/>
    </row>
    <row r="31">
      <c r="A31" s="12">
        <f t="shared" si="2"/>
        <v>29</v>
      </c>
      <c r="B31" s="12"/>
      <c r="C31" s="13"/>
      <c r="D31" s="15"/>
      <c r="E31" s="14"/>
      <c r="F31" s="23"/>
      <c r="G31" s="23"/>
      <c r="H31" s="23"/>
      <c r="I31" s="23"/>
      <c r="J31" s="23"/>
      <c r="K31" s="23"/>
      <c r="L31" s="23"/>
      <c r="M31" s="23"/>
      <c r="N31" s="23"/>
      <c r="O31" s="23"/>
      <c r="P31" s="12"/>
      <c r="Q31" s="23"/>
      <c r="R31" s="23"/>
    </row>
    <row r="32">
      <c r="A32" s="12">
        <f t="shared" si="2"/>
        <v>30</v>
      </c>
      <c r="B32" s="12"/>
      <c r="C32" s="13"/>
      <c r="D32" s="15"/>
      <c r="E32" s="14"/>
      <c r="F32" s="23"/>
      <c r="G32" s="23"/>
      <c r="H32" s="23"/>
      <c r="I32" s="23"/>
      <c r="J32" s="23"/>
      <c r="K32" s="23"/>
      <c r="L32" s="23"/>
      <c r="M32" s="23"/>
      <c r="N32" s="23"/>
      <c r="O32" s="23"/>
      <c r="P32" s="12"/>
      <c r="Q32" s="23"/>
      <c r="R32" s="23"/>
    </row>
    <row r="33">
      <c r="A33" s="12">
        <f t="shared" si="2"/>
        <v>31</v>
      </c>
      <c r="B33" s="12"/>
      <c r="C33" s="13"/>
      <c r="D33" s="15"/>
      <c r="E33" s="14"/>
      <c r="F33" s="23"/>
      <c r="G33" s="23"/>
      <c r="H33" s="23"/>
      <c r="I33" s="23"/>
      <c r="J33" s="23"/>
      <c r="K33" s="23"/>
      <c r="L33" s="23"/>
      <c r="M33" s="23"/>
      <c r="N33" s="23"/>
      <c r="O33" s="23"/>
      <c r="P33" s="12"/>
      <c r="Q33" s="23"/>
      <c r="R33" s="23"/>
    </row>
    <row r="34">
      <c r="A34" s="12">
        <f t="shared" si="2"/>
        <v>32</v>
      </c>
      <c r="B34" s="12"/>
      <c r="C34" s="13"/>
      <c r="D34" s="15"/>
      <c r="E34" s="14"/>
      <c r="F34" s="23"/>
      <c r="G34" s="23"/>
      <c r="H34" s="23"/>
      <c r="I34" s="23"/>
      <c r="J34" s="23"/>
      <c r="K34" s="23"/>
      <c r="L34" s="23"/>
      <c r="M34" s="23"/>
      <c r="N34" s="23"/>
      <c r="O34" s="23"/>
      <c r="P34" s="12"/>
      <c r="Q34" s="23"/>
      <c r="R34" s="23"/>
    </row>
    <row r="35">
      <c r="A35" s="12">
        <f t="shared" si="2"/>
        <v>33</v>
      </c>
      <c r="B35" s="12"/>
      <c r="C35" s="13"/>
      <c r="D35" s="15"/>
      <c r="E35" s="14"/>
      <c r="F35" s="23"/>
      <c r="G35" s="23"/>
      <c r="H35" s="23"/>
      <c r="I35" s="23"/>
      <c r="J35" s="23"/>
      <c r="K35" s="23"/>
      <c r="L35" s="23"/>
      <c r="M35" s="23"/>
      <c r="N35" s="23"/>
      <c r="O35" s="23"/>
      <c r="P35" s="12"/>
      <c r="Q35" s="23"/>
      <c r="R35" s="23"/>
    </row>
    <row r="36">
      <c r="A36" s="12"/>
      <c r="B36" s="12"/>
      <c r="C36" s="13"/>
      <c r="D36" s="15"/>
      <c r="E36" s="14"/>
      <c r="F36" s="23"/>
      <c r="G36" s="23"/>
      <c r="H36" s="23"/>
      <c r="I36" s="23"/>
      <c r="J36" s="23"/>
      <c r="K36" s="23"/>
      <c r="L36" s="23"/>
      <c r="M36" s="23"/>
      <c r="N36" s="23"/>
      <c r="O36" s="23"/>
      <c r="P36" s="12"/>
      <c r="Q36" s="23"/>
      <c r="R36" s="23"/>
    </row>
    <row r="37">
      <c r="A37" s="12"/>
      <c r="B37" s="12"/>
      <c r="C37" s="13"/>
      <c r="D37" s="15"/>
      <c r="E37" s="14"/>
      <c r="F37" s="23"/>
      <c r="G37" s="23"/>
      <c r="H37" s="23"/>
      <c r="I37" s="23"/>
      <c r="J37" s="23"/>
      <c r="K37" s="23"/>
      <c r="L37" s="23"/>
      <c r="M37" s="23"/>
      <c r="N37" s="23"/>
      <c r="O37" s="23"/>
      <c r="P37" s="12"/>
      <c r="Q37" s="23"/>
      <c r="R37" s="23"/>
    </row>
    <row r="38">
      <c r="A38" s="12"/>
      <c r="B38" s="12"/>
      <c r="C38" s="13"/>
      <c r="D38" s="15"/>
      <c r="E38" s="14"/>
      <c r="F38" s="23"/>
      <c r="G38" s="23"/>
      <c r="H38" s="23"/>
      <c r="I38" s="23"/>
      <c r="J38" s="23"/>
      <c r="K38" s="23"/>
      <c r="L38" s="23"/>
      <c r="M38" s="23"/>
      <c r="N38" s="23"/>
      <c r="O38" s="23"/>
      <c r="P38" s="12"/>
      <c r="Q38" s="23"/>
      <c r="R38" s="23"/>
    </row>
    <row r="39">
      <c r="A39" s="12"/>
      <c r="B39" s="12"/>
      <c r="C39" s="13"/>
      <c r="D39" s="15"/>
      <c r="E39" s="14"/>
      <c r="F39" s="23"/>
      <c r="G39" s="23"/>
      <c r="H39" s="23"/>
      <c r="I39" s="23"/>
      <c r="J39" s="23"/>
      <c r="K39" s="23"/>
      <c r="L39" s="23"/>
      <c r="M39" s="23"/>
      <c r="N39" s="23"/>
      <c r="O39" s="23"/>
      <c r="P39" s="12"/>
      <c r="Q39" s="23"/>
      <c r="R39" s="23"/>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5" t="s">
        <v>671</v>
      </c>
      <c r="B1" s="9" t="s">
        <v>2</v>
      </c>
      <c r="C1" s="10" t="s">
        <v>3</v>
      </c>
      <c r="D1" s="11" t="s">
        <v>533</v>
      </c>
      <c r="E1" s="11" t="s">
        <v>672</v>
      </c>
      <c r="F1" s="11" t="s">
        <v>599</v>
      </c>
      <c r="G1" s="11" t="s">
        <v>674</v>
      </c>
      <c r="H1" s="11" t="s">
        <v>675</v>
      </c>
      <c r="I1" s="11" t="s">
        <v>594</v>
      </c>
      <c r="J1" s="11" t="s">
        <v>676</v>
      </c>
      <c r="K1" s="11" t="s">
        <v>677</v>
      </c>
      <c r="L1" s="11" t="s">
        <v>678</v>
      </c>
      <c r="M1" s="11" t="s">
        <v>611</v>
      </c>
      <c r="N1" s="11" t="s">
        <v>606</v>
      </c>
      <c r="O1" s="11" t="s">
        <v>601</v>
      </c>
      <c r="P1" s="11" t="s">
        <v>679</v>
      </c>
      <c r="Q1" s="165"/>
      <c r="R1" s="165"/>
      <c r="S1" s="165"/>
      <c r="T1" s="165"/>
      <c r="U1" s="165"/>
      <c r="V1" s="165"/>
      <c r="W1" s="165"/>
      <c r="X1" s="165">
        <v>10.0</v>
      </c>
      <c r="Y1" s="165">
        <f t="shared" ref="Y1:AG1" si="1">X1-1</f>
        <v>9</v>
      </c>
      <c r="Z1" s="165">
        <f t="shared" si="1"/>
        <v>8</v>
      </c>
      <c r="AA1" s="165">
        <f t="shared" si="1"/>
        <v>7</v>
      </c>
      <c r="AB1" s="165">
        <f t="shared" si="1"/>
        <v>6</v>
      </c>
      <c r="AC1" s="165">
        <f t="shared" si="1"/>
        <v>5</v>
      </c>
      <c r="AD1" s="165">
        <f t="shared" si="1"/>
        <v>4</v>
      </c>
      <c r="AE1" s="165">
        <f t="shared" si="1"/>
        <v>3</v>
      </c>
      <c r="AF1" s="165">
        <f t="shared" si="1"/>
        <v>2</v>
      </c>
      <c r="AG1" s="165">
        <f t="shared" si="1"/>
        <v>1</v>
      </c>
      <c r="AH1" s="165"/>
      <c r="AI1" s="165">
        <v>10.0</v>
      </c>
      <c r="AJ1" s="165">
        <f t="shared" ref="AJ1:AR1" si="2">AI1-1</f>
        <v>9</v>
      </c>
      <c r="AK1" s="165">
        <f t="shared" si="2"/>
        <v>8</v>
      </c>
      <c r="AL1" s="165">
        <f t="shared" si="2"/>
        <v>7</v>
      </c>
      <c r="AM1" s="165">
        <f t="shared" si="2"/>
        <v>6</v>
      </c>
      <c r="AN1" s="165">
        <f t="shared" si="2"/>
        <v>5</v>
      </c>
      <c r="AO1" s="165">
        <f t="shared" si="2"/>
        <v>4</v>
      </c>
      <c r="AP1" s="165">
        <f t="shared" si="2"/>
        <v>3</v>
      </c>
      <c r="AQ1" s="165">
        <f t="shared" si="2"/>
        <v>2</v>
      </c>
      <c r="AR1" s="165">
        <f t="shared" si="2"/>
        <v>1</v>
      </c>
      <c r="AS1" s="165"/>
      <c r="AT1" s="165"/>
      <c r="AU1" s="165"/>
      <c r="AV1" s="165"/>
      <c r="AW1" s="165"/>
      <c r="AX1" s="165"/>
      <c r="AY1" s="165"/>
      <c r="AZ1" s="165"/>
      <c r="BA1" s="165"/>
      <c r="BB1" s="165"/>
    </row>
    <row r="2">
      <c r="A2" s="12">
        <v>0.0</v>
      </c>
      <c r="B2" s="12">
        <v>66.0</v>
      </c>
      <c r="C2" s="13" t="str">
        <f>VLOOKUP(B2,companies!$A:$B,2,FALSE)</f>
        <v>Microsoft Corp.</v>
      </c>
      <c r="D2" s="14" t="s">
        <v>535</v>
      </c>
      <c r="E2" s="14">
        <v>0.0</v>
      </c>
      <c r="F2" s="14" t="s">
        <v>603</v>
      </c>
      <c r="G2" s="87" t="s">
        <v>683</v>
      </c>
      <c r="H2" s="87" t="s">
        <v>683</v>
      </c>
      <c r="I2" s="87" t="s">
        <v>593</v>
      </c>
      <c r="J2" s="88">
        <v>1.0</v>
      </c>
      <c r="K2" s="88">
        <v>1.0</v>
      </c>
      <c r="L2" s="88">
        <v>1.0</v>
      </c>
      <c r="M2" s="88">
        <v>1.0</v>
      </c>
      <c r="N2" s="87">
        <v>2019.0</v>
      </c>
      <c r="O2" s="87">
        <v>2030.0</v>
      </c>
      <c r="P2" s="87">
        <v>2020.0</v>
      </c>
      <c r="Q2" s="166"/>
      <c r="R2" s="166">
        <v>2015.0</v>
      </c>
      <c r="S2" s="166">
        <f t="shared" ref="S2:BB2" si="3">R2+1</f>
        <v>2016</v>
      </c>
      <c r="T2" s="166">
        <f t="shared" si="3"/>
        <v>2017</v>
      </c>
      <c r="U2" s="166">
        <f t="shared" si="3"/>
        <v>2018</v>
      </c>
      <c r="V2" s="166">
        <f t="shared" si="3"/>
        <v>2019</v>
      </c>
      <c r="W2" s="166">
        <f t="shared" si="3"/>
        <v>2020</v>
      </c>
      <c r="X2" s="166">
        <f t="shared" si="3"/>
        <v>2021</v>
      </c>
      <c r="Y2" s="166">
        <f t="shared" si="3"/>
        <v>2022</v>
      </c>
      <c r="Z2" s="166">
        <f t="shared" si="3"/>
        <v>2023</v>
      </c>
      <c r="AA2" s="166">
        <f t="shared" si="3"/>
        <v>2024</v>
      </c>
      <c r="AB2" s="166">
        <f t="shared" si="3"/>
        <v>2025</v>
      </c>
      <c r="AC2" s="166">
        <f t="shared" si="3"/>
        <v>2026</v>
      </c>
      <c r="AD2" s="166">
        <f t="shared" si="3"/>
        <v>2027</v>
      </c>
      <c r="AE2" s="166">
        <f t="shared" si="3"/>
        <v>2028</v>
      </c>
      <c r="AF2" s="166">
        <f t="shared" si="3"/>
        <v>2029</v>
      </c>
      <c r="AG2" s="166">
        <f t="shared" si="3"/>
        <v>2030</v>
      </c>
      <c r="AH2" s="166">
        <f t="shared" si="3"/>
        <v>2031</v>
      </c>
      <c r="AI2" s="166">
        <f t="shared" si="3"/>
        <v>2032</v>
      </c>
      <c r="AJ2" s="166">
        <f t="shared" si="3"/>
        <v>2033</v>
      </c>
      <c r="AK2" s="166">
        <f t="shared" si="3"/>
        <v>2034</v>
      </c>
      <c r="AL2" s="166">
        <f t="shared" si="3"/>
        <v>2035</v>
      </c>
      <c r="AM2" s="166">
        <f t="shared" si="3"/>
        <v>2036</v>
      </c>
      <c r="AN2" s="166">
        <f t="shared" si="3"/>
        <v>2037</v>
      </c>
      <c r="AO2" s="166">
        <f t="shared" si="3"/>
        <v>2038</v>
      </c>
      <c r="AP2" s="166">
        <f t="shared" si="3"/>
        <v>2039</v>
      </c>
      <c r="AQ2" s="166">
        <f t="shared" si="3"/>
        <v>2040</v>
      </c>
      <c r="AR2" s="166">
        <f t="shared" si="3"/>
        <v>2041</v>
      </c>
      <c r="AS2" s="166">
        <f t="shared" si="3"/>
        <v>2042</v>
      </c>
      <c r="AT2" s="166">
        <f t="shared" si="3"/>
        <v>2043</v>
      </c>
      <c r="AU2" s="166">
        <f t="shared" si="3"/>
        <v>2044</v>
      </c>
      <c r="AV2" s="166">
        <f t="shared" si="3"/>
        <v>2045</v>
      </c>
      <c r="AW2" s="166">
        <f t="shared" si="3"/>
        <v>2046</v>
      </c>
      <c r="AX2" s="166">
        <f t="shared" si="3"/>
        <v>2047</v>
      </c>
      <c r="AY2" s="166">
        <f t="shared" si="3"/>
        <v>2048</v>
      </c>
      <c r="AZ2" s="166">
        <f t="shared" si="3"/>
        <v>2049</v>
      </c>
      <c r="BA2" s="166">
        <f t="shared" si="3"/>
        <v>2050</v>
      </c>
      <c r="BB2" s="166">
        <f t="shared" si="3"/>
        <v>2051</v>
      </c>
    </row>
    <row r="3">
      <c r="A3" s="90"/>
      <c r="B3" s="90"/>
      <c r="C3" s="167"/>
      <c r="D3" s="92"/>
      <c r="E3" s="92"/>
      <c r="F3" s="92"/>
      <c r="G3" s="93"/>
      <c r="H3" s="93"/>
      <c r="I3" s="93"/>
      <c r="J3" s="94"/>
      <c r="K3" s="94"/>
      <c r="L3" s="93"/>
      <c r="M3" s="94"/>
      <c r="N3" s="93"/>
      <c r="O3" s="93"/>
      <c r="P3" s="93"/>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row>
    <row r="4">
      <c r="A4" s="12">
        <f t="shared" ref="A4:A36" si="5">A3+1</f>
        <v>1</v>
      </c>
      <c r="B4" s="12">
        <v>66.0</v>
      </c>
      <c r="C4" s="13" t="str">
        <f>VLOOKUP(B4,companies!$A:$B,2,FALSE)</f>
        <v>Microsoft Corp.</v>
      </c>
      <c r="D4" s="14" t="s">
        <v>535</v>
      </c>
      <c r="E4" s="14">
        <v>1.0</v>
      </c>
      <c r="F4" s="14" t="s">
        <v>686</v>
      </c>
      <c r="G4" s="87" t="s">
        <v>687</v>
      </c>
      <c r="H4" s="87" t="s">
        <v>688</v>
      </c>
      <c r="I4" s="87" t="s">
        <v>689</v>
      </c>
      <c r="J4" s="87" t="s">
        <v>683</v>
      </c>
      <c r="K4" s="87" t="s">
        <v>683</v>
      </c>
      <c r="L4" s="88">
        <v>1.0</v>
      </c>
      <c r="M4" s="88">
        <v>0.3</v>
      </c>
      <c r="N4" s="87">
        <v>2017.0</v>
      </c>
      <c r="O4" s="87">
        <v>2030.0</v>
      </c>
      <c r="P4" s="87">
        <v>2020.0</v>
      </c>
      <c r="Q4" s="166"/>
      <c r="R4" s="166"/>
      <c r="S4" s="166"/>
      <c r="T4" s="166"/>
      <c r="U4" s="166"/>
      <c r="V4" s="166"/>
      <c r="W4" s="166">
        <f t="shared" ref="W4:BA4" si="4">W5/V6</f>
        <v>-0.09683426443</v>
      </c>
      <c r="X4" s="166">
        <f t="shared" si="4"/>
        <v>-0.04463917526</v>
      </c>
      <c r="Y4" s="166">
        <f t="shared" si="4"/>
        <v>-0.04672493795</v>
      </c>
      <c r="Z4" s="166">
        <f t="shared" si="4"/>
        <v>-0.04901516867</v>
      </c>
      <c r="AA4" s="166">
        <f t="shared" si="4"/>
        <v>-0.05154148316</v>
      </c>
      <c r="AB4" s="166">
        <f t="shared" si="4"/>
        <v>-0.05434236948</v>
      </c>
      <c r="AC4" s="166">
        <f t="shared" si="4"/>
        <v>-0.05746516257</v>
      </c>
      <c r="AD4" s="166">
        <f t="shared" si="4"/>
        <v>-0.0609687412</v>
      </c>
      <c r="AE4" s="166">
        <f t="shared" si="4"/>
        <v>-0.06492727545</v>
      </c>
      <c r="AF4" s="166">
        <f t="shared" si="4"/>
        <v>-0.0694355356</v>
      </c>
      <c r="AG4" s="166">
        <f t="shared" si="4"/>
        <v>-0.07461657763</v>
      </c>
      <c r="AH4" s="166">
        <f t="shared" si="4"/>
        <v>-0.06</v>
      </c>
      <c r="AI4" s="166">
        <f t="shared" si="4"/>
        <v>-0.06382978723</v>
      </c>
      <c r="AJ4" s="166">
        <f t="shared" si="4"/>
        <v>-0.06818181818</v>
      </c>
      <c r="AK4" s="166">
        <f t="shared" si="4"/>
        <v>-0.07317073171</v>
      </c>
      <c r="AL4" s="166">
        <f t="shared" si="4"/>
        <v>-0.07894736842</v>
      </c>
      <c r="AM4" s="166">
        <f t="shared" si="4"/>
        <v>-0.08571428571</v>
      </c>
      <c r="AN4" s="166">
        <f t="shared" si="4"/>
        <v>-0.09375</v>
      </c>
      <c r="AO4" s="166">
        <f t="shared" si="4"/>
        <v>-0.1034482759</v>
      </c>
      <c r="AP4" s="166">
        <f t="shared" si="4"/>
        <v>-0.1153846154</v>
      </c>
      <c r="AQ4" s="166">
        <f t="shared" si="4"/>
        <v>-0.1304347826</v>
      </c>
      <c r="AR4" s="166">
        <f t="shared" si="4"/>
        <v>-0.1</v>
      </c>
      <c r="AS4" s="166">
        <f t="shared" si="4"/>
        <v>-0.1111111111</v>
      </c>
      <c r="AT4" s="166">
        <f t="shared" si="4"/>
        <v>-0.125</v>
      </c>
      <c r="AU4" s="166">
        <f t="shared" si="4"/>
        <v>-0.1428571429</v>
      </c>
      <c r="AV4" s="166">
        <f t="shared" si="4"/>
        <v>-0.1666666667</v>
      </c>
      <c r="AW4" s="166">
        <f t="shared" si="4"/>
        <v>-0.2</v>
      </c>
      <c r="AX4" s="166">
        <f t="shared" si="4"/>
        <v>-0.25</v>
      </c>
      <c r="AY4" s="166">
        <f t="shared" si="4"/>
        <v>-0.3333333333</v>
      </c>
      <c r="AZ4" s="166">
        <f t="shared" si="4"/>
        <v>-0.5</v>
      </c>
      <c r="BA4" s="166">
        <f t="shared" si="4"/>
        <v>-1</v>
      </c>
      <c r="BB4" s="166"/>
    </row>
    <row r="5">
      <c r="A5" s="12">
        <f t="shared" si="5"/>
        <v>2</v>
      </c>
      <c r="B5" s="12">
        <v>66.0</v>
      </c>
      <c r="C5" s="13" t="str">
        <f>VLOOKUP(B5,companies!$A:$B,2,FALSE)</f>
        <v>Microsoft Corp.</v>
      </c>
      <c r="D5" s="14" t="s">
        <v>535</v>
      </c>
      <c r="E5" s="14">
        <v>1.0</v>
      </c>
      <c r="F5" s="14" t="s">
        <v>603</v>
      </c>
      <c r="G5" s="87" t="s">
        <v>687</v>
      </c>
      <c r="H5" s="87" t="s">
        <v>683</v>
      </c>
      <c r="I5" s="87" t="s">
        <v>689</v>
      </c>
      <c r="J5" s="87" t="s">
        <v>683</v>
      </c>
      <c r="K5" s="87" t="s">
        <v>683</v>
      </c>
      <c r="L5" s="88">
        <v>1.0</v>
      </c>
      <c r="M5" s="88">
        <v>0.0</v>
      </c>
      <c r="N5" s="87">
        <v>2017.0</v>
      </c>
      <c r="O5" s="87">
        <v>2030.0</v>
      </c>
      <c r="P5" s="87">
        <v>2020.0</v>
      </c>
      <c r="Q5" s="166"/>
      <c r="R5" s="166"/>
      <c r="S5" s="166"/>
      <c r="T5" s="166"/>
      <c r="U5" s="166"/>
      <c r="V5" s="166">
        <f t="shared" ref="V5:BA5" si="6">V6-U6</f>
        <v>-1130000</v>
      </c>
      <c r="W5" s="166">
        <f t="shared" si="6"/>
        <v>-520000</v>
      </c>
      <c r="X5" s="166">
        <f t="shared" si="6"/>
        <v>-216500</v>
      </c>
      <c r="Y5" s="166">
        <f t="shared" si="6"/>
        <v>-216500</v>
      </c>
      <c r="Z5" s="166">
        <f t="shared" si="6"/>
        <v>-216500</v>
      </c>
      <c r="AA5" s="166">
        <f t="shared" si="6"/>
        <v>-216500</v>
      </c>
      <c r="AB5" s="166">
        <f t="shared" si="6"/>
        <v>-216500</v>
      </c>
      <c r="AC5" s="166">
        <f t="shared" si="6"/>
        <v>-216500</v>
      </c>
      <c r="AD5" s="166">
        <f t="shared" si="6"/>
        <v>-216500</v>
      </c>
      <c r="AE5" s="166">
        <f t="shared" si="6"/>
        <v>-216500</v>
      </c>
      <c r="AF5" s="166">
        <f t="shared" si="6"/>
        <v>-216500</v>
      </c>
      <c r="AG5" s="166">
        <f t="shared" si="6"/>
        <v>-216500</v>
      </c>
      <c r="AH5" s="166">
        <f t="shared" si="6"/>
        <v>-161100</v>
      </c>
      <c r="AI5" s="166">
        <f t="shared" si="6"/>
        <v>-161100</v>
      </c>
      <c r="AJ5" s="166">
        <f t="shared" si="6"/>
        <v>-161100</v>
      </c>
      <c r="AK5" s="166">
        <f t="shared" si="6"/>
        <v>-161100</v>
      </c>
      <c r="AL5" s="166">
        <f t="shared" si="6"/>
        <v>-161100</v>
      </c>
      <c r="AM5" s="166">
        <f t="shared" si="6"/>
        <v>-161100</v>
      </c>
      <c r="AN5" s="166">
        <f t="shared" si="6"/>
        <v>-161100</v>
      </c>
      <c r="AO5" s="166">
        <f t="shared" si="6"/>
        <v>-161100</v>
      </c>
      <c r="AP5" s="166">
        <f t="shared" si="6"/>
        <v>-161100</v>
      </c>
      <c r="AQ5" s="166">
        <f t="shared" si="6"/>
        <v>-161100</v>
      </c>
      <c r="AR5" s="166">
        <f t="shared" si="6"/>
        <v>-107400</v>
      </c>
      <c r="AS5" s="166">
        <f t="shared" si="6"/>
        <v>-107400</v>
      </c>
      <c r="AT5" s="166">
        <f t="shared" si="6"/>
        <v>-107400</v>
      </c>
      <c r="AU5" s="166">
        <f t="shared" si="6"/>
        <v>-107400</v>
      </c>
      <c r="AV5" s="166">
        <f t="shared" si="6"/>
        <v>-107400</v>
      </c>
      <c r="AW5" s="166">
        <f t="shared" si="6"/>
        <v>-107400</v>
      </c>
      <c r="AX5" s="166">
        <f t="shared" si="6"/>
        <v>-107400</v>
      </c>
      <c r="AY5" s="166">
        <f t="shared" si="6"/>
        <v>-107400</v>
      </c>
      <c r="AZ5" s="166">
        <f t="shared" si="6"/>
        <v>-107400</v>
      </c>
      <c r="BA5" s="166">
        <f t="shared" si="6"/>
        <v>-107400</v>
      </c>
      <c r="BB5" s="166"/>
    </row>
    <row r="6">
      <c r="A6" s="12">
        <f t="shared" si="5"/>
        <v>3</v>
      </c>
      <c r="B6" s="12">
        <v>1.0</v>
      </c>
      <c r="C6" s="13" t="str">
        <f>VLOOKUP(B6,companies!$A:$B,2,FALSE)</f>
        <v>3M</v>
      </c>
      <c r="D6" s="14" t="s">
        <v>535</v>
      </c>
      <c r="E6" s="14">
        <v>2.0</v>
      </c>
      <c r="F6" s="14" t="s">
        <v>603</v>
      </c>
      <c r="G6" s="87" t="s">
        <v>683</v>
      </c>
      <c r="H6" s="87" t="s">
        <v>683</v>
      </c>
      <c r="I6" s="87" t="s">
        <v>598</v>
      </c>
      <c r="J6" s="88">
        <v>1.0</v>
      </c>
      <c r="K6" s="88">
        <v>1.0</v>
      </c>
      <c r="L6" s="88">
        <v>0.0</v>
      </c>
      <c r="M6" s="88">
        <v>0.5</v>
      </c>
      <c r="N6" s="87">
        <v>2019.0</v>
      </c>
      <c r="O6" s="87">
        <v>2030.0</v>
      </c>
      <c r="P6" s="87">
        <v>2021.0</v>
      </c>
      <c r="Q6" s="166" t="s">
        <v>598</v>
      </c>
      <c r="R6" s="166"/>
      <c r="S6" s="166"/>
      <c r="T6" s="166">
        <v>7000000.0</v>
      </c>
      <c r="U6" s="166">
        <v>6500000.0</v>
      </c>
      <c r="V6" s="166">
        <f>ghg!F6+ghg!H6</f>
        <v>5370000</v>
      </c>
      <c r="W6" s="166">
        <f>ghg!F5+ghg!H5</f>
        <v>4850000</v>
      </c>
      <c r="X6" s="166">
        <f>W6+($AG6-$W6)/10</f>
        <v>4633500</v>
      </c>
      <c r="Y6" s="166">
        <f t="shared" ref="Y6:AF6" si="7">X6+($AG6-X6)/Y1</f>
        <v>4417000</v>
      </c>
      <c r="Z6" s="166">
        <f t="shared" si="7"/>
        <v>4200500</v>
      </c>
      <c r="AA6" s="166">
        <f t="shared" si="7"/>
        <v>3984000</v>
      </c>
      <c r="AB6" s="166">
        <f t="shared" si="7"/>
        <v>3767500</v>
      </c>
      <c r="AC6" s="166">
        <f t="shared" si="7"/>
        <v>3551000</v>
      </c>
      <c r="AD6" s="166">
        <f t="shared" si="7"/>
        <v>3334500</v>
      </c>
      <c r="AE6" s="166">
        <f t="shared" si="7"/>
        <v>3118000</v>
      </c>
      <c r="AF6" s="166">
        <f t="shared" si="7"/>
        <v>2901500</v>
      </c>
      <c r="AG6" s="166">
        <f>(+1-50%)*V6</f>
        <v>2685000</v>
      </c>
      <c r="AH6" s="166">
        <f t="shared" ref="AH6:AP6" si="8">AG6+($AQ6-$AG6)/10</f>
        <v>2523900</v>
      </c>
      <c r="AI6" s="166">
        <f t="shared" si="8"/>
        <v>2362800</v>
      </c>
      <c r="AJ6" s="166">
        <f t="shared" si="8"/>
        <v>2201700</v>
      </c>
      <c r="AK6" s="166">
        <f t="shared" si="8"/>
        <v>2040600</v>
      </c>
      <c r="AL6" s="166">
        <f t="shared" si="8"/>
        <v>1879500</v>
      </c>
      <c r="AM6" s="166">
        <f t="shared" si="8"/>
        <v>1718400</v>
      </c>
      <c r="AN6" s="166">
        <f t="shared" si="8"/>
        <v>1557300</v>
      </c>
      <c r="AO6" s="166">
        <f t="shared" si="8"/>
        <v>1396200</v>
      </c>
      <c r="AP6" s="166">
        <f t="shared" si="8"/>
        <v>1235100</v>
      </c>
      <c r="AQ6" s="166">
        <f>(1-80%)*V6</f>
        <v>1074000</v>
      </c>
      <c r="AR6" s="166">
        <f t="shared" ref="AR6:AZ6" si="9">AQ6+($BA6 - $AQ6)/10</f>
        <v>966600</v>
      </c>
      <c r="AS6" s="166">
        <f t="shared" si="9"/>
        <v>859200</v>
      </c>
      <c r="AT6" s="166">
        <f t="shared" si="9"/>
        <v>751800</v>
      </c>
      <c r="AU6" s="166">
        <f t="shared" si="9"/>
        <v>644400</v>
      </c>
      <c r="AV6" s="166">
        <f t="shared" si="9"/>
        <v>537000</v>
      </c>
      <c r="AW6" s="166">
        <f t="shared" si="9"/>
        <v>429600</v>
      </c>
      <c r="AX6" s="166">
        <f t="shared" si="9"/>
        <v>322200</v>
      </c>
      <c r="AY6" s="166">
        <f t="shared" si="9"/>
        <v>214800</v>
      </c>
      <c r="AZ6" s="166">
        <f t="shared" si="9"/>
        <v>107400</v>
      </c>
      <c r="BA6" s="166">
        <v>0.0</v>
      </c>
      <c r="BB6" s="166"/>
    </row>
    <row r="7">
      <c r="A7" s="12">
        <f t="shared" si="5"/>
        <v>4</v>
      </c>
      <c r="B7" s="12">
        <v>1.0</v>
      </c>
      <c r="C7" s="13" t="str">
        <f>VLOOKUP(B7,companies!$A:$B,2,FALSE)</f>
        <v>3M</v>
      </c>
      <c r="D7" s="14" t="s">
        <v>535</v>
      </c>
      <c r="E7" s="14">
        <v>2.0</v>
      </c>
      <c r="F7" s="14" t="s">
        <v>603</v>
      </c>
      <c r="G7" s="87" t="s">
        <v>683</v>
      </c>
      <c r="H7" s="87" t="s">
        <v>683</v>
      </c>
      <c r="I7" s="87" t="s">
        <v>598</v>
      </c>
      <c r="J7" s="88">
        <v>1.0</v>
      </c>
      <c r="K7" s="88">
        <v>1.0</v>
      </c>
      <c r="L7" s="88">
        <v>0.0</v>
      </c>
      <c r="M7" s="88">
        <v>0.8</v>
      </c>
      <c r="N7" s="87">
        <v>2019.0</v>
      </c>
      <c r="O7" s="87">
        <v>2040.0</v>
      </c>
      <c r="P7" s="87">
        <v>2021.0</v>
      </c>
      <c r="Q7" s="166" t="s">
        <v>689</v>
      </c>
      <c r="R7" s="166"/>
      <c r="S7" s="166"/>
      <c r="T7" s="166"/>
      <c r="U7" s="166"/>
      <c r="V7" s="166"/>
      <c r="W7" s="166">
        <v>1.5E7</v>
      </c>
      <c r="X7" s="166">
        <v>1.5E7</v>
      </c>
      <c r="Y7" s="166">
        <v>1.5E7</v>
      </c>
      <c r="Z7" s="166">
        <v>1.5E7</v>
      </c>
      <c r="AA7" s="166">
        <v>1.5E7</v>
      </c>
      <c r="AB7" s="166">
        <v>1.5E7</v>
      </c>
      <c r="AC7" s="166">
        <v>1.5E7</v>
      </c>
      <c r="AD7" s="166">
        <v>1.5E7</v>
      </c>
      <c r="AE7" s="166">
        <v>1.5E7</v>
      </c>
      <c r="AF7" s="166">
        <v>1.5E7</v>
      </c>
      <c r="AG7" s="166">
        <v>1.5E7</v>
      </c>
      <c r="AH7" s="166">
        <v>1.5E7</v>
      </c>
      <c r="AI7" s="166">
        <v>1.5E7</v>
      </c>
      <c r="AJ7" s="166">
        <v>1.5E7</v>
      </c>
      <c r="AK7" s="166">
        <v>1.5E7</v>
      </c>
      <c r="AL7" s="166">
        <v>1.5E7</v>
      </c>
      <c r="AM7" s="166">
        <v>1.5E7</v>
      </c>
      <c r="AN7" s="166">
        <v>1.5E7</v>
      </c>
      <c r="AO7" s="166">
        <v>1.5E7</v>
      </c>
      <c r="AP7" s="166">
        <v>1.5E7</v>
      </c>
      <c r="AQ7" s="166">
        <v>1.5E7</v>
      </c>
      <c r="AR7" s="166">
        <v>1.5E7</v>
      </c>
      <c r="AS7" s="166">
        <v>1.5E7</v>
      </c>
      <c r="AT7" s="166">
        <v>1.5E7</v>
      </c>
      <c r="AU7" s="166">
        <v>1.5E7</v>
      </c>
      <c r="AV7" s="166">
        <v>1.5E7</v>
      </c>
      <c r="AW7" s="166">
        <v>1.5E7</v>
      </c>
      <c r="AX7" s="166">
        <v>1.5E7</v>
      </c>
      <c r="AY7" s="166">
        <v>1.5E7</v>
      </c>
      <c r="AZ7" s="166">
        <v>1.5E7</v>
      </c>
      <c r="BA7" s="166">
        <v>1.5E7</v>
      </c>
      <c r="BB7" s="166"/>
    </row>
    <row r="8">
      <c r="A8" s="12">
        <f t="shared" si="5"/>
        <v>5</v>
      </c>
      <c r="B8" s="99">
        <v>1.0</v>
      </c>
      <c r="C8" s="13" t="str">
        <f>VLOOKUP(B8,companies!$A:$B,2,FALSE)</f>
        <v>3M</v>
      </c>
      <c r="D8" s="14" t="s">
        <v>535</v>
      </c>
      <c r="E8" s="100">
        <v>2.0</v>
      </c>
      <c r="F8" s="100" t="s">
        <v>603</v>
      </c>
      <c r="G8" s="101" t="s">
        <v>683</v>
      </c>
      <c r="H8" s="101" t="s">
        <v>683</v>
      </c>
      <c r="I8" s="101" t="s">
        <v>598</v>
      </c>
      <c r="J8" s="102">
        <v>1.0</v>
      </c>
      <c r="K8" s="102">
        <v>1.0</v>
      </c>
      <c r="L8" s="102">
        <v>0.0</v>
      </c>
      <c r="M8" s="88">
        <v>1.0</v>
      </c>
      <c r="N8" s="87">
        <v>2019.0</v>
      </c>
      <c r="O8" s="87">
        <v>2050.0</v>
      </c>
      <c r="P8" s="87">
        <v>2021.0</v>
      </c>
      <c r="Q8" s="166" t="s">
        <v>842</v>
      </c>
      <c r="R8" s="166"/>
      <c r="S8" s="166"/>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row>
    <row r="9">
      <c r="A9" s="12">
        <f t="shared" si="5"/>
        <v>6</v>
      </c>
      <c r="B9" s="12">
        <v>2.0</v>
      </c>
      <c r="C9" s="13" t="str">
        <f>VLOOKUP(B9,companies!$A:$B,2,FALSE)</f>
        <v>Abbott Laboratories</v>
      </c>
      <c r="D9" s="14" t="s">
        <v>535</v>
      </c>
      <c r="E9" s="14">
        <v>3.0</v>
      </c>
      <c r="F9" s="14" t="s">
        <v>603</v>
      </c>
      <c r="G9" s="103" t="s">
        <v>683</v>
      </c>
      <c r="H9" s="103" t="s">
        <v>683</v>
      </c>
      <c r="I9" s="103" t="s">
        <v>598</v>
      </c>
      <c r="J9" s="88">
        <v>1.0</v>
      </c>
      <c r="K9" s="88">
        <v>1.0</v>
      </c>
      <c r="L9" s="88">
        <v>0.0</v>
      </c>
      <c r="M9" s="88">
        <v>0.3</v>
      </c>
      <c r="N9" s="87">
        <v>2018.0</v>
      </c>
      <c r="O9" s="87">
        <v>2030.0</v>
      </c>
      <c r="P9" s="87">
        <v>2021.0</v>
      </c>
      <c r="Q9" s="166"/>
      <c r="R9" s="166"/>
      <c r="S9" s="166"/>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row>
    <row r="10">
      <c r="A10" s="12">
        <f t="shared" si="5"/>
        <v>7</v>
      </c>
      <c r="B10" s="12">
        <v>3.0</v>
      </c>
      <c r="C10" s="13" t="str">
        <f>VLOOKUP(B10,companies!$A:$B,2,FALSE)</f>
        <v>AbbVie Inc.</v>
      </c>
      <c r="D10" s="14" t="s">
        <v>535</v>
      </c>
      <c r="E10" s="14">
        <v>4.0</v>
      </c>
      <c r="F10" s="14" t="s">
        <v>603</v>
      </c>
      <c r="G10" s="103" t="s">
        <v>683</v>
      </c>
      <c r="H10" s="103" t="s">
        <v>683</v>
      </c>
      <c r="I10" s="103" t="s">
        <v>598</v>
      </c>
      <c r="J10" s="88">
        <v>1.0</v>
      </c>
      <c r="K10" s="88">
        <v>1.0</v>
      </c>
      <c r="L10" s="88">
        <v>0.0</v>
      </c>
      <c r="M10" s="88">
        <v>0.25</v>
      </c>
      <c r="N10" s="87">
        <v>2015.0</v>
      </c>
      <c r="O10" s="87">
        <v>2025.0</v>
      </c>
      <c r="P10" s="87">
        <v>2016.0</v>
      </c>
      <c r="Q10" s="166"/>
      <c r="R10" s="166"/>
      <c r="S10" s="166"/>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row>
    <row r="11">
      <c r="A11" s="12">
        <f t="shared" si="5"/>
        <v>8</v>
      </c>
      <c r="B11" s="12">
        <v>3.0</v>
      </c>
      <c r="C11" s="13" t="str">
        <f>VLOOKUP(B11,companies!$A:$B,2,FALSE)</f>
        <v>AbbVie Inc.</v>
      </c>
      <c r="D11" s="14" t="s">
        <v>535</v>
      </c>
      <c r="E11" s="14">
        <v>4.0</v>
      </c>
      <c r="F11" s="14" t="s">
        <v>603</v>
      </c>
      <c r="G11" s="103" t="s">
        <v>683</v>
      </c>
      <c r="H11" s="103" t="s">
        <v>683</v>
      </c>
      <c r="I11" s="103" t="s">
        <v>598</v>
      </c>
      <c r="J11" s="88">
        <v>1.0</v>
      </c>
      <c r="K11" s="88">
        <v>1.0</v>
      </c>
      <c r="L11" s="88">
        <v>0.0</v>
      </c>
      <c r="M11" s="88">
        <v>0.5</v>
      </c>
      <c r="N11" s="87">
        <v>2015.0</v>
      </c>
      <c r="O11" s="87">
        <v>2035.0</v>
      </c>
      <c r="P11" s="87">
        <v>2016.0</v>
      </c>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row>
    <row r="12">
      <c r="A12" s="12">
        <f t="shared" si="5"/>
        <v>9</v>
      </c>
      <c r="B12" s="12">
        <v>4.0</v>
      </c>
      <c r="C12" s="13" t="str">
        <f>VLOOKUP(B12,companies!$A:$B,2,FALSE)</f>
        <v>Accenture</v>
      </c>
      <c r="D12" s="14" t="s">
        <v>535</v>
      </c>
      <c r="E12" s="14">
        <v>6.0</v>
      </c>
      <c r="F12" s="14" t="s">
        <v>603</v>
      </c>
      <c r="G12" s="87" t="s">
        <v>687</v>
      </c>
      <c r="H12" s="87" t="s">
        <v>683</v>
      </c>
      <c r="I12" s="87" t="s">
        <v>593</v>
      </c>
      <c r="J12" s="88">
        <v>1.0</v>
      </c>
      <c r="K12" s="88">
        <v>1.0</v>
      </c>
      <c r="L12" s="88">
        <v>1.0</v>
      </c>
      <c r="M12" s="88">
        <v>0.11</v>
      </c>
      <c r="N12" s="87">
        <v>2016.0</v>
      </c>
      <c r="O12" s="87">
        <v>2025.0</v>
      </c>
      <c r="P12" s="87">
        <v>2018.0</v>
      </c>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row>
    <row r="13">
      <c r="A13" s="12">
        <f t="shared" si="5"/>
        <v>10</v>
      </c>
      <c r="B13" s="12">
        <v>4.0</v>
      </c>
      <c r="C13" s="13" t="str">
        <f>VLOOKUP(B13,companies!$A:$B,2,FALSE)</f>
        <v>Accenture</v>
      </c>
      <c r="D13" s="14" t="s">
        <v>535</v>
      </c>
      <c r="E13" s="14">
        <v>6.0</v>
      </c>
      <c r="F13" s="14" t="s">
        <v>603</v>
      </c>
      <c r="G13" s="87" t="s">
        <v>687</v>
      </c>
      <c r="H13" s="87" t="s">
        <v>683</v>
      </c>
      <c r="I13" s="87" t="s">
        <v>598</v>
      </c>
      <c r="J13" s="88">
        <v>1.0</v>
      </c>
      <c r="K13" s="88">
        <v>1.0</v>
      </c>
      <c r="L13" s="88">
        <v>0.0</v>
      </c>
      <c r="M13" s="88">
        <v>0.65</v>
      </c>
      <c r="N13" s="87">
        <v>2016.0</v>
      </c>
      <c r="O13" s="87">
        <v>2025.0</v>
      </c>
      <c r="P13" s="87">
        <v>2018.0</v>
      </c>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row>
    <row r="14">
      <c r="A14" s="12">
        <f t="shared" si="5"/>
        <v>11</v>
      </c>
      <c r="B14" s="12">
        <v>4.0</v>
      </c>
      <c r="C14" s="13" t="str">
        <f>VLOOKUP(B14,companies!$A:$B,2,FALSE)</f>
        <v>Accenture</v>
      </c>
      <c r="D14" s="14" t="s">
        <v>535</v>
      </c>
      <c r="E14" s="14">
        <v>6.0</v>
      </c>
      <c r="F14" s="14" t="s">
        <v>686</v>
      </c>
      <c r="G14" s="87" t="s">
        <v>687</v>
      </c>
      <c r="H14" s="87" t="s">
        <v>688</v>
      </c>
      <c r="I14" s="87" t="s">
        <v>593</v>
      </c>
      <c r="J14" s="88">
        <v>1.0</v>
      </c>
      <c r="K14" s="88">
        <v>1.0</v>
      </c>
      <c r="L14" s="88">
        <v>1.0</v>
      </c>
      <c r="M14" s="88">
        <v>0.4</v>
      </c>
      <c r="N14" s="87">
        <v>2016.0</v>
      </c>
      <c r="O14" s="87">
        <v>2025.0</v>
      </c>
      <c r="P14" s="87">
        <v>2018.0</v>
      </c>
      <c r="Q14" s="166"/>
      <c r="R14" s="166"/>
      <c r="S14" s="166"/>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row>
    <row r="15">
      <c r="A15" s="12">
        <f t="shared" si="5"/>
        <v>12</v>
      </c>
      <c r="B15" s="12">
        <v>4.0</v>
      </c>
      <c r="C15" s="13" t="str">
        <f>VLOOKUP(B15,companies!$A:$B,2,FALSE)</f>
        <v>Accenture</v>
      </c>
      <c r="D15" s="14" t="s">
        <v>535</v>
      </c>
      <c r="E15" s="14">
        <v>7.0</v>
      </c>
      <c r="F15" s="23" t="s">
        <v>603</v>
      </c>
      <c r="G15" s="87" t="s">
        <v>683</v>
      </c>
      <c r="H15" s="87" t="s">
        <v>683</v>
      </c>
      <c r="I15" s="87" t="s">
        <v>598</v>
      </c>
      <c r="J15" s="88">
        <v>1.0</v>
      </c>
      <c r="K15" s="88">
        <v>1.0</v>
      </c>
      <c r="L15" s="88">
        <v>0.0</v>
      </c>
      <c r="M15" s="88">
        <v>1.0</v>
      </c>
      <c r="N15" s="87">
        <v>2019.0</v>
      </c>
      <c r="O15" s="87">
        <v>2025.0</v>
      </c>
      <c r="P15" s="87">
        <v>2020.0</v>
      </c>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row>
    <row r="16">
      <c r="A16" s="12">
        <f t="shared" si="5"/>
        <v>13</v>
      </c>
      <c r="B16" s="12">
        <v>5.0</v>
      </c>
      <c r="C16" s="13" t="str">
        <f>VLOOKUP(B16,companies!$A:$B,2,FALSE)</f>
        <v>Adobe Inc.</v>
      </c>
      <c r="D16" s="14" t="s">
        <v>535</v>
      </c>
      <c r="E16" s="14">
        <v>8.0</v>
      </c>
      <c r="F16" s="14" t="s">
        <v>603</v>
      </c>
      <c r="G16" s="87" t="s">
        <v>687</v>
      </c>
      <c r="H16" s="87" t="s">
        <v>683</v>
      </c>
      <c r="I16" s="87" t="s">
        <v>598</v>
      </c>
      <c r="J16" s="88">
        <v>1.0</v>
      </c>
      <c r="K16" s="88">
        <v>1.0</v>
      </c>
      <c r="L16" s="88">
        <v>0.0</v>
      </c>
      <c r="M16" s="88">
        <v>0.35</v>
      </c>
      <c r="N16" s="87">
        <v>2018.0</v>
      </c>
      <c r="O16" s="87">
        <v>2025.0</v>
      </c>
      <c r="P16" s="87">
        <v>2019.0</v>
      </c>
      <c r="Q16" s="166"/>
      <c r="R16" s="166"/>
      <c r="S16" s="166"/>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row>
    <row r="17">
      <c r="A17" s="12">
        <f t="shared" si="5"/>
        <v>14</v>
      </c>
      <c r="B17" s="12">
        <v>5.0</v>
      </c>
      <c r="C17" s="13" t="str">
        <f>VLOOKUP(B17,companies!$A:$B,2,FALSE)</f>
        <v>Adobe Inc.</v>
      </c>
      <c r="D17" s="14" t="s">
        <v>535</v>
      </c>
      <c r="E17" s="14">
        <v>8.0</v>
      </c>
      <c r="F17" s="14" t="s">
        <v>603</v>
      </c>
      <c r="G17" s="87" t="s">
        <v>687</v>
      </c>
      <c r="H17" s="87" t="s">
        <v>683</v>
      </c>
      <c r="I17" s="87" t="s">
        <v>689</v>
      </c>
      <c r="J17" s="88">
        <v>0.0</v>
      </c>
      <c r="K17" s="88">
        <v>0.0</v>
      </c>
      <c r="L17" s="88">
        <v>0.0</v>
      </c>
      <c r="M17" s="88">
        <v>0.3</v>
      </c>
      <c r="N17" s="87">
        <v>2018.0</v>
      </c>
      <c r="O17" s="87">
        <v>2025.0</v>
      </c>
      <c r="P17" s="87">
        <v>2019.0</v>
      </c>
      <c r="Q17" s="166"/>
      <c r="R17" s="166"/>
      <c r="S17" s="166"/>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row>
    <row r="18">
      <c r="A18" s="12">
        <f t="shared" si="5"/>
        <v>15</v>
      </c>
      <c r="B18" s="12">
        <v>5.0</v>
      </c>
      <c r="C18" s="13" t="str">
        <f>VLOOKUP(B18,companies!$A:$B,2,FALSE)</f>
        <v>Adobe Inc.</v>
      </c>
      <c r="D18" s="14" t="s">
        <v>535</v>
      </c>
      <c r="E18" s="14">
        <v>8.0</v>
      </c>
      <c r="F18" s="14" t="s">
        <v>603</v>
      </c>
      <c r="G18" s="87" t="s">
        <v>687</v>
      </c>
      <c r="H18" s="87" t="s">
        <v>683</v>
      </c>
      <c r="I18" s="87" t="s">
        <v>598</v>
      </c>
      <c r="J18" s="88">
        <v>1.0</v>
      </c>
      <c r="K18" s="88">
        <v>1.0</v>
      </c>
      <c r="L18" s="88">
        <v>0.0</v>
      </c>
      <c r="M18" s="88">
        <v>0.8</v>
      </c>
      <c r="N18" s="87">
        <v>2018.0</v>
      </c>
      <c r="O18" s="87">
        <v>2035.0</v>
      </c>
      <c r="P18" s="87">
        <v>2019.0</v>
      </c>
      <c r="Q18" s="166"/>
      <c r="R18" s="166"/>
      <c r="S18" s="166"/>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row>
    <row r="19">
      <c r="A19" s="12">
        <f t="shared" si="5"/>
        <v>16</v>
      </c>
      <c r="B19" s="12">
        <v>5.0</v>
      </c>
      <c r="C19" s="13" t="str">
        <f>VLOOKUP(B19,companies!$A:$B,2,FALSE)</f>
        <v>Adobe Inc.</v>
      </c>
      <c r="D19" s="14" t="s">
        <v>535</v>
      </c>
      <c r="E19" s="14">
        <v>8.0</v>
      </c>
      <c r="F19" s="14" t="s">
        <v>603</v>
      </c>
      <c r="G19" s="87" t="s">
        <v>687</v>
      </c>
      <c r="H19" s="87" t="s">
        <v>683</v>
      </c>
      <c r="I19" s="87" t="s">
        <v>598</v>
      </c>
      <c r="J19" s="88">
        <v>1.0</v>
      </c>
      <c r="K19" s="88">
        <v>1.0</v>
      </c>
      <c r="L19" s="88">
        <v>0.0</v>
      </c>
      <c r="M19" s="88">
        <v>1.0</v>
      </c>
      <c r="N19" s="87">
        <v>2018.0</v>
      </c>
      <c r="O19" s="87">
        <v>2050.0</v>
      </c>
      <c r="P19" s="87">
        <v>2019.0</v>
      </c>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row>
    <row r="20">
      <c r="A20" s="12">
        <f t="shared" si="5"/>
        <v>17</v>
      </c>
      <c r="B20" s="12">
        <v>7.0</v>
      </c>
      <c r="C20" s="13" t="str">
        <f>VLOOKUP(B20,companies!$A:$B,2,FALSE)</f>
        <v>Alphabet Inc. Google</v>
      </c>
      <c r="D20" s="15">
        <v>44204.0</v>
      </c>
      <c r="E20" s="14">
        <v>10.0</v>
      </c>
      <c r="F20" s="14" t="s">
        <v>603</v>
      </c>
      <c r="G20" s="87" t="s">
        <v>683</v>
      </c>
      <c r="H20" s="87" t="s">
        <v>683</v>
      </c>
      <c r="I20" s="87" t="s">
        <v>598</v>
      </c>
      <c r="J20" s="88">
        <v>1.0</v>
      </c>
      <c r="K20" s="88">
        <v>1.0</v>
      </c>
      <c r="L20" s="88">
        <v>0.0</v>
      </c>
      <c r="M20" s="87" t="s">
        <v>843</v>
      </c>
      <c r="N20" s="87">
        <v>2019.0</v>
      </c>
      <c r="O20" s="87">
        <v>2020.0</v>
      </c>
      <c r="P20" s="87">
        <v>2020.0</v>
      </c>
      <c r="Q20" s="166"/>
      <c r="R20" s="166"/>
      <c r="S20" s="166"/>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row>
    <row r="21">
      <c r="A21" s="12">
        <f t="shared" si="5"/>
        <v>18</v>
      </c>
      <c r="B21" s="12">
        <v>8.0</v>
      </c>
      <c r="C21" s="13" t="str">
        <f>VLOOKUP(B21,companies!$A:$B,2,FALSE)</f>
        <v>Altria Group Inc</v>
      </c>
      <c r="D21" s="15">
        <v>44204.0</v>
      </c>
      <c r="E21" s="14">
        <v>11.0</v>
      </c>
      <c r="F21" s="14" t="s">
        <v>603</v>
      </c>
      <c r="G21" s="87" t="s">
        <v>687</v>
      </c>
      <c r="H21" s="87" t="s">
        <v>683</v>
      </c>
      <c r="I21" s="87" t="s">
        <v>598</v>
      </c>
      <c r="J21" s="88">
        <v>1.0</v>
      </c>
      <c r="K21" s="88">
        <v>1.0</v>
      </c>
      <c r="L21" s="88">
        <v>0.0</v>
      </c>
      <c r="M21" s="88">
        <v>0.55</v>
      </c>
      <c r="N21" s="87">
        <v>2017.0</v>
      </c>
      <c r="O21" s="87">
        <v>2030.0</v>
      </c>
      <c r="P21" s="87">
        <v>2020.0</v>
      </c>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row>
    <row r="22">
      <c r="A22" s="12">
        <f t="shared" si="5"/>
        <v>19</v>
      </c>
      <c r="B22" s="12">
        <v>8.0</v>
      </c>
      <c r="C22" s="13" t="str">
        <f>VLOOKUP(B22,companies!$A:$B,2,FALSE)</f>
        <v>Altria Group Inc</v>
      </c>
      <c r="D22" s="15">
        <v>44204.0</v>
      </c>
      <c r="E22" s="14">
        <v>11.0</v>
      </c>
      <c r="F22" s="14" t="s">
        <v>603</v>
      </c>
      <c r="G22" s="87" t="s">
        <v>687</v>
      </c>
      <c r="H22" s="87" t="s">
        <v>683</v>
      </c>
      <c r="I22" s="87" t="s">
        <v>689</v>
      </c>
      <c r="J22" s="88">
        <v>0.0</v>
      </c>
      <c r="K22" s="88">
        <v>0.0</v>
      </c>
      <c r="L22" s="88">
        <v>1.0</v>
      </c>
      <c r="M22" s="88">
        <v>0.18</v>
      </c>
      <c r="N22" s="87">
        <v>2017.0</v>
      </c>
      <c r="O22" s="87">
        <v>2030.0</v>
      </c>
      <c r="P22" s="87">
        <v>2020.0</v>
      </c>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row>
    <row r="23">
      <c r="A23" s="12">
        <f t="shared" si="5"/>
        <v>20</v>
      </c>
      <c r="B23" s="12">
        <v>13.0</v>
      </c>
      <c r="C23" s="13" t="str">
        <f>VLOOKUP(B23,companies!$A:$B,2,FALSE)</f>
        <v>Amgen Inc.</v>
      </c>
      <c r="D23" s="15">
        <v>44235.0</v>
      </c>
      <c r="E23" s="14">
        <v>15.0</v>
      </c>
      <c r="F23" s="14" t="s">
        <v>603</v>
      </c>
      <c r="G23" s="87" t="s">
        <v>683</v>
      </c>
      <c r="H23" s="87" t="s">
        <v>683</v>
      </c>
      <c r="I23" s="87" t="s">
        <v>598</v>
      </c>
      <c r="J23" s="88">
        <v>1.0</v>
      </c>
      <c r="K23" s="88">
        <v>1.0</v>
      </c>
      <c r="L23" s="88">
        <v>0.0</v>
      </c>
      <c r="M23" s="88">
        <v>1.0</v>
      </c>
      <c r="N23" s="87">
        <v>2019.0</v>
      </c>
      <c r="O23" s="87">
        <v>2027.0</v>
      </c>
      <c r="P23" s="87">
        <v>2020.0</v>
      </c>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row>
    <row r="24">
      <c r="A24" s="12">
        <f t="shared" si="5"/>
        <v>21</v>
      </c>
      <c r="B24" s="12">
        <v>14.0</v>
      </c>
      <c r="C24" s="13" t="str">
        <f>VLOOKUP(B24,companies!$A:$B,2,FALSE)</f>
        <v>Apple Inc.</v>
      </c>
      <c r="D24" s="15">
        <v>44235.0</v>
      </c>
      <c r="E24" s="14">
        <v>16.0</v>
      </c>
      <c r="F24" s="14" t="s">
        <v>603</v>
      </c>
      <c r="G24" s="87" t="s">
        <v>687</v>
      </c>
      <c r="H24" s="87" t="s">
        <v>683</v>
      </c>
      <c r="I24" s="87" t="s">
        <v>593</v>
      </c>
      <c r="J24" s="88">
        <v>1.0</v>
      </c>
      <c r="K24" s="88">
        <v>1.0</v>
      </c>
      <c r="L24" s="88">
        <v>1.0</v>
      </c>
      <c r="M24" s="88">
        <v>0.62</v>
      </c>
      <c r="N24" s="87">
        <v>2019.0</v>
      </c>
      <c r="O24" s="87">
        <v>2030.0</v>
      </c>
      <c r="P24" s="87">
        <v>2020.0</v>
      </c>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row>
    <row r="25">
      <c r="A25" s="12">
        <f t="shared" si="5"/>
        <v>22</v>
      </c>
      <c r="B25" s="12">
        <v>15.0</v>
      </c>
      <c r="C25" s="13" t="str">
        <f>VLOOKUP(B25,companies!$A:$B,2,FALSE)</f>
        <v>AT&amp;T Inc.</v>
      </c>
      <c r="D25" s="15">
        <v>44235.0</v>
      </c>
      <c r="E25" s="14">
        <v>18.0</v>
      </c>
      <c r="F25" s="14" t="s">
        <v>603</v>
      </c>
      <c r="G25" s="87" t="s">
        <v>687</v>
      </c>
      <c r="H25" s="87" t="s">
        <v>683</v>
      </c>
      <c r="I25" s="87" t="s">
        <v>598</v>
      </c>
      <c r="J25" s="88">
        <v>1.0</v>
      </c>
      <c r="K25" s="88">
        <v>1.0</v>
      </c>
      <c r="L25" s="88">
        <v>0.0</v>
      </c>
      <c r="M25" s="88">
        <v>0.63</v>
      </c>
      <c r="N25" s="87">
        <v>2015.0</v>
      </c>
      <c r="O25" s="87">
        <v>2030.0</v>
      </c>
      <c r="P25" s="87">
        <v>2020.0</v>
      </c>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row>
    <row r="26">
      <c r="A26" s="12">
        <f t="shared" si="5"/>
        <v>23</v>
      </c>
      <c r="B26" s="12">
        <v>15.0</v>
      </c>
      <c r="C26" s="13" t="str">
        <f>VLOOKUP(B26,companies!$A:$B,2,FALSE)</f>
        <v>AT&amp;T Inc.</v>
      </c>
      <c r="D26" s="15">
        <v>44235.0</v>
      </c>
      <c r="E26" s="14">
        <v>18.0</v>
      </c>
      <c r="F26" s="14" t="s">
        <v>603</v>
      </c>
      <c r="G26" s="87" t="s">
        <v>683</v>
      </c>
      <c r="H26" s="87" t="s">
        <v>683</v>
      </c>
      <c r="I26" s="87" t="s">
        <v>598</v>
      </c>
      <c r="J26" s="88">
        <v>1.0</v>
      </c>
      <c r="K26" s="88">
        <v>1.0</v>
      </c>
      <c r="L26" s="88">
        <v>0.0</v>
      </c>
      <c r="M26" s="88">
        <v>1.0</v>
      </c>
      <c r="N26" s="87">
        <v>2015.0</v>
      </c>
      <c r="O26" s="87">
        <v>2035.0</v>
      </c>
      <c r="P26" s="87">
        <v>2020.0</v>
      </c>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row>
    <row r="27">
      <c r="A27" s="12">
        <f t="shared" si="5"/>
        <v>24</v>
      </c>
      <c r="B27" s="12">
        <v>16.0</v>
      </c>
      <c r="C27" s="13" t="str">
        <f>VLOOKUP(B27,companies!$A:$B,2,FALSE)</f>
        <v>Bank of America</v>
      </c>
      <c r="D27" s="15">
        <v>44235.0</v>
      </c>
      <c r="E27" s="14">
        <v>20.0</v>
      </c>
      <c r="F27" s="14" t="s">
        <v>603</v>
      </c>
      <c r="G27" s="87" t="s">
        <v>683</v>
      </c>
      <c r="H27" s="87" t="s">
        <v>683</v>
      </c>
      <c r="I27" s="87" t="s">
        <v>593</v>
      </c>
      <c r="J27" s="88">
        <v>1.0</v>
      </c>
      <c r="K27" s="88">
        <v>1.0</v>
      </c>
      <c r="L27" s="88">
        <v>1.0</v>
      </c>
      <c r="M27" s="88">
        <v>1.0</v>
      </c>
      <c r="N27" s="87">
        <v>2020.0</v>
      </c>
      <c r="O27" s="87">
        <v>2050.0</v>
      </c>
      <c r="P27" s="87">
        <v>2020.0</v>
      </c>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row>
    <row r="28">
      <c r="A28" s="12">
        <f t="shared" si="5"/>
        <v>25</v>
      </c>
      <c r="B28" s="12">
        <v>9.0</v>
      </c>
      <c r="C28" s="13" t="str">
        <f>VLOOKUP(B28,companies!$A:$B,2,FALSE)</f>
        <v>Amazon.com Inc.</v>
      </c>
      <c r="D28" s="15">
        <v>44235.0</v>
      </c>
      <c r="E28" s="14">
        <v>21.0</v>
      </c>
      <c r="F28" s="14" t="s">
        <v>603</v>
      </c>
      <c r="G28" s="87" t="s">
        <v>683</v>
      </c>
      <c r="H28" s="87" t="s">
        <v>683</v>
      </c>
      <c r="I28" s="87" t="s">
        <v>593</v>
      </c>
      <c r="J28" s="88">
        <v>1.0</v>
      </c>
      <c r="K28" s="88">
        <v>1.0</v>
      </c>
      <c r="L28" s="88">
        <v>1.0</v>
      </c>
      <c r="M28" s="88">
        <v>1.0</v>
      </c>
      <c r="N28" s="87">
        <v>2040.0</v>
      </c>
      <c r="O28" s="87">
        <v>2019.0</v>
      </c>
      <c r="P28" s="87">
        <v>2019.0</v>
      </c>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row>
    <row r="29">
      <c r="A29" s="12">
        <f t="shared" si="5"/>
        <v>26</v>
      </c>
      <c r="B29" s="12">
        <v>18.0</v>
      </c>
      <c r="C29" s="13" t="str">
        <f>VLOOKUP(B29,companies!$A:$B,2,FALSE)</f>
        <v>Biogen Inc.</v>
      </c>
      <c r="D29" s="15">
        <v>44235.0</v>
      </c>
      <c r="E29" s="14">
        <v>22.0</v>
      </c>
      <c r="F29" s="14" t="s">
        <v>603</v>
      </c>
      <c r="G29" s="87" t="s">
        <v>687</v>
      </c>
      <c r="H29" s="87" t="s">
        <v>683</v>
      </c>
      <c r="I29" s="87" t="s">
        <v>598</v>
      </c>
      <c r="J29" s="88">
        <v>1.0</v>
      </c>
      <c r="K29" s="88">
        <v>1.0</v>
      </c>
      <c r="L29" s="88">
        <v>0.0</v>
      </c>
      <c r="M29" s="88">
        <v>0.55</v>
      </c>
      <c r="N29" s="87">
        <v>2019.0</v>
      </c>
      <c r="O29" s="87">
        <v>2032.0</v>
      </c>
      <c r="P29" s="87">
        <v>2019.0</v>
      </c>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row>
    <row r="30">
      <c r="A30" s="12">
        <f t="shared" si="5"/>
        <v>27</v>
      </c>
      <c r="B30" s="12">
        <v>18.0</v>
      </c>
      <c r="C30" s="13" t="str">
        <f>VLOOKUP(B30,companies!$A:$B,2,FALSE)</f>
        <v>Biogen Inc.</v>
      </c>
      <c r="D30" s="15">
        <v>44235.0</v>
      </c>
      <c r="E30" s="14">
        <v>22.0</v>
      </c>
      <c r="F30" s="14" t="s">
        <v>603</v>
      </c>
      <c r="G30" s="87" t="s">
        <v>687</v>
      </c>
      <c r="H30" s="87" t="s">
        <v>683</v>
      </c>
      <c r="I30" s="87" t="s">
        <v>598</v>
      </c>
      <c r="J30" s="88">
        <v>1.0</v>
      </c>
      <c r="K30" s="88">
        <v>1.0</v>
      </c>
      <c r="L30" s="88">
        <v>0.0</v>
      </c>
      <c r="M30" s="88">
        <v>1.0</v>
      </c>
      <c r="N30" s="87">
        <v>2019.0</v>
      </c>
      <c r="O30" s="87">
        <v>2040.0</v>
      </c>
      <c r="P30" s="87">
        <v>2019.0</v>
      </c>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row>
    <row r="31">
      <c r="A31" s="12">
        <f t="shared" si="5"/>
        <v>28</v>
      </c>
      <c r="B31" s="12">
        <v>19.0</v>
      </c>
      <c r="C31" s="13" t="str">
        <f>VLOOKUP(B31,companies!$A:$B,2,FALSE)</f>
        <v>BlackRock Inc.</v>
      </c>
      <c r="D31" s="15">
        <v>44235.0</v>
      </c>
      <c r="E31" s="14">
        <v>23.0</v>
      </c>
      <c r="F31" s="14" t="s">
        <v>603</v>
      </c>
      <c r="G31" s="87" t="s">
        <v>683</v>
      </c>
      <c r="H31" s="87" t="s">
        <v>683</v>
      </c>
      <c r="I31" s="87" t="s">
        <v>593</v>
      </c>
      <c r="J31" s="88">
        <v>1.0</v>
      </c>
      <c r="K31" s="88">
        <v>1.0</v>
      </c>
      <c r="L31" s="88">
        <v>1.0</v>
      </c>
      <c r="M31" s="88">
        <v>1.0</v>
      </c>
      <c r="N31" s="87">
        <v>2020.0</v>
      </c>
      <c r="O31" s="87">
        <v>2050.0</v>
      </c>
      <c r="P31" s="87">
        <v>2020.0</v>
      </c>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row>
    <row r="32">
      <c r="A32" s="12">
        <f t="shared" si="5"/>
        <v>29</v>
      </c>
      <c r="B32" s="12"/>
      <c r="C32" s="13"/>
      <c r="D32" s="15"/>
      <c r="E32" s="14"/>
      <c r="F32" s="14"/>
      <c r="G32" s="87"/>
      <c r="H32" s="87"/>
      <c r="I32" s="87"/>
      <c r="J32" s="87"/>
      <c r="K32" s="87"/>
      <c r="L32" s="88"/>
      <c r="M32" s="88"/>
      <c r="N32" s="87"/>
      <c r="O32" s="87"/>
      <c r="P32" s="87"/>
      <c r="Q32" s="166"/>
      <c r="R32" s="16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row>
    <row r="33">
      <c r="A33" s="12">
        <f t="shared" si="5"/>
        <v>30</v>
      </c>
      <c r="B33" s="12"/>
      <c r="C33" s="13"/>
      <c r="D33" s="15"/>
      <c r="E33" s="14"/>
      <c r="F33" s="14"/>
      <c r="G33" s="87"/>
      <c r="H33" s="87"/>
      <c r="I33" s="87"/>
      <c r="J33" s="87"/>
      <c r="K33" s="87"/>
      <c r="L33" s="88"/>
      <c r="M33" s="88"/>
      <c r="N33" s="87"/>
      <c r="O33" s="87"/>
      <c r="P33" s="87"/>
      <c r="Q33" s="166"/>
      <c r="R33" s="166"/>
      <c r="S33" s="166"/>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row>
    <row r="34">
      <c r="A34" s="12">
        <f t="shared" si="5"/>
        <v>31</v>
      </c>
      <c r="B34" s="12"/>
      <c r="C34" s="13"/>
      <c r="D34" s="15"/>
      <c r="E34" s="14"/>
      <c r="F34" s="14"/>
      <c r="G34" s="87"/>
      <c r="H34" s="87"/>
      <c r="I34" s="87"/>
      <c r="J34" s="87"/>
      <c r="K34" s="87"/>
      <c r="L34" s="88"/>
      <c r="M34" s="88"/>
      <c r="N34" s="87"/>
      <c r="O34" s="87"/>
      <c r="P34" s="87"/>
      <c r="Q34" s="166"/>
      <c r="R34" s="166"/>
      <c r="S34" s="166"/>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row>
    <row r="35">
      <c r="A35" s="12">
        <f t="shared" si="5"/>
        <v>32</v>
      </c>
      <c r="B35" s="12"/>
      <c r="C35" s="13"/>
      <c r="D35" s="15"/>
      <c r="E35" s="14"/>
      <c r="F35" s="14"/>
      <c r="G35" s="87"/>
      <c r="H35" s="87"/>
      <c r="I35" s="87"/>
      <c r="J35" s="87"/>
      <c r="K35" s="87"/>
      <c r="L35" s="88"/>
      <c r="M35" s="88"/>
      <c r="N35" s="87"/>
      <c r="O35" s="87"/>
      <c r="P35" s="87"/>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row>
    <row r="36">
      <c r="A36" s="12">
        <f t="shared" si="5"/>
        <v>33</v>
      </c>
      <c r="B36" s="12"/>
      <c r="C36" s="13"/>
      <c r="D36" s="15"/>
      <c r="E36" s="14"/>
      <c r="F36" s="14"/>
      <c r="G36" s="87"/>
      <c r="H36" s="87"/>
      <c r="I36" s="87"/>
      <c r="J36" s="87"/>
      <c r="K36" s="87"/>
      <c r="L36" s="88"/>
      <c r="M36" s="88"/>
      <c r="N36" s="87"/>
      <c r="O36" s="87"/>
      <c r="P36" s="87"/>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5" t="s">
        <v>844</v>
      </c>
      <c r="B1" s="9" t="s">
        <v>2</v>
      </c>
      <c r="C1" s="10" t="s">
        <v>3</v>
      </c>
      <c r="D1" s="11" t="s">
        <v>533</v>
      </c>
      <c r="E1" s="11" t="s">
        <v>845</v>
      </c>
      <c r="F1" s="11" t="s">
        <v>846</v>
      </c>
      <c r="G1" s="11" t="s">
        <v>847</v>
      </c>
      <c r="H1" s="11" t="s">
        <v>848</v>
      </c>
      <c r="I1" s="165" t="s">
        <v>849</v>
      </c>
      <c r="J1" s="165"/>
      <c r="K1" s="165"/>
    </row>
    <row r="2" ht="36.0" customHeight="1">
      <c r="A2" s="12">
        <v>0.0</v>
      </c>
      <c r="B2" s="12">
        <v>66.0</v>
      </c>
      <c r="C2" s="13" t="s">
        <v>345</v>
      </c>
      <c r="D2" s="15">
        <v>44408.0</v>
      </c>
      <c r="E2" s="23" t="s">
        <v>850</v>
      </c>
      <c r="F2" s="23" t="s">
        <v>851</v>
      </c>
      <c r="G2" s="15">
        <v>1.0E9</v>
      </c>
      <c r="H2" s="15" t="s">
        <v>852</v>
      </c>
      <c r="I2" s="15" t="s">
        <v>682</v>
      </c>
      <c r="J2" s="35"/>
      <c r="K2" s="35"/>
    </row>
    <row r="3">
      <c r="A3" s="12">
        <f t="shared" ref="A3:A6" si="1">A2+1</f>
        <v>1</v>
      </c>
      <c r="B3" s="12">
        <v>1.0</v>
      </c>
      <c r="C3" s="13" t="str">
        <f>VLOOKUP(B3,companies!$A:$B,2,FALSE)</f>
        <v>3M</v>
      </c>
      <c r="D3" s="15">
        <v>44408.0</v>
      </c>
      <c r="E3" s="23" t="s">
        <v>853</v>
      </c>
      <c r="F3" s="23" t="s">
        <v>854</v>
      </c>
      <c r="G3" s="15">
        <v>1.0E9</v>
      </c>
      <c r="H3" s="14" t="s">
        <v>852</v>
      </c>
      <c r="I3" s="14" t="s">
        <v>682</v>
      </c>
    </row>
    <row r="4">
      <c r="A4" s="12">
        <f t="shared" si="1"/>
        <v>2</v>
      </c>
      <c r="B4" s="12">
        <v>13.0</v>
      </c>
      <c r="C4" s="13" t="str">
        <f>VLOOKUP(B4,companies!$A:$B,2,FALSE)</f>
        <v>Amgen Inc.</v>
      </c>
      <c r="D4" s="15">
        <v>44235.0</v>
      </c>
      <c r="E4" s="23" t="s">
        <v>853</v>
      </c>
      <c r="F4" s="23" t="s">
        <v>855</v>
      </c>
      <c r="G4" s="14">
        <v>2.0E8</v>
      </c>
      <c r="H4" s="14" t="s">
        <v>852</v>
      </c>
      <c r="I4" s="14" t="s">
        <v>682</v>
      </c>
    </row>
    <row r="5">
      <c r="A5" s="12">
        <f t="shared" si="1"/>
        <v>3</v>
      </c>
      <c r="B5" s="12">
        <v>14.0</v>
      </c>
      <c r="C5" s="13" t="str">
        <f>VLOOKUP(B5,companies!$A:$B,2,FALSE)</f>
        <v>Apple Inc.</v>
      </c>
      <c r="D5" s="15">
        <v>44235.0</v>
      </c>
      <c r="E5" s="23" t="s">
        <v>856</v>
      </c>
      <c r="F5" s="23" t="s">
        <v>857</v>
      </c>
      <c r="G5" s="14">
        <v>2.0E8</v>
      </c>
      <c r="H5" s="14" t="s">
        <v>852</v>
      </c>
      <c r="I5" s="14" t="s">
        <v>682</v>
      </c>
    </row>
    <row r="6">
      <c r="A6" s="12">
        <f t="shared" si="1"/>
        <v>4</v>
      </c>
      <c r="B6" s="12">
        <v>9.0</v>
      </c>
      <c r="C6" s="13" t="str">
        <f>VLOOKUP(B6,companies!$A:$B,2,FALSE)</f>
        <v>Amazon.com Inc.</v>
      </c>
      <c r="D6" s="15">
        <v>44235.0</v>
      </c>
      <c r="E6" s="23" t="s">
        <v>858</v>
      </c>
      <c r="F6" s="23" t="s">
        <v>859</v>
      </c>
      <c r="G6" s="14">
        <v>2.0E9</v>
      </c>
      <c r="H6" s="14" t="s">
        <v>852</v>
      </c>
      <c r="I6" s="14" t="s">
        <v>682</v>
      </c>
    </row>
    <row r="7">
      <c r="A7" s="12">
        <v>5.0</v>
      </c>
      <c r="B7" s="12">
        <v>18.0</v>
      </c>
      <c r="C7" s="13" t="str">
        <f>VLOOKUP(B7,companies!$A:$B,2,FALSE)</f>
        <v>Biogen Inc.</v>
      </c>
      <c r="D7" s="15">
        <v>44235.0</v>
      </c>
      <c r="E7" s="169" t="s">
        <v>860</v>
      </c>
      <c r="F7" s="23" t="s">
        <v>861</v>
      </c>
      <c r="G7" s="14">
        <v>2.5E8</v>
      </c>
      <c r="H7" s="14" t="s">
        <v>852</v>
      </c>
      <c r="I7" s="14" t="s">
        <v>682</v>
      </c>
    </row>
    <row r="8">
      <c r="A8" s="12"/>
      <c r="B8" s="12"/>
      <c r="C8" s="170"/>
      <c r="D8" s="15"/>
      <c r="E8" s="23"/>
      <c r="F8" s="23"/>
      <c r="G8" s="14"/>
      <c r="H8" s="14"/>
      <c r="I8" s="14"/>
    </row>
    <row r="9">
      <c r="A9" s="12"/>
      <c r="B9" s="12"/>
      <c r="C9" s="170"/>
      <c r="D9" s="15"/>
      <c r="E9" s="23"/>
      <c r="F9" s="23"/>
      <c r="G9" s="14"/>
      <c r="H9" s="14"/>
      <c r="I9" s="14"/>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5" t="s">
        <v>862</v>
      </c>
      <c r="B1" s="9" t="s">
        <v>2</v>
      </c>
      <c r="C1" s="10" t="s">
        <v>3</v>
      </c>
      <c r="D1" s="11" t="s">
        <v>533</v>
      </c>
      <c r="E1" s="11" t="s">
        <v>863</v>
      </c>
      <c r="F1" s="11" t="s">
        <v>773</v>
      </c>
    </row>
    <row r="2" ht="36.0" customHeight="1">
      <c r="A2" s="12">
        <v>0.0</v>
      </c>
      <c r="B2" s="12">
        <v>66.0</v>
      </c>
      <c r="C2" s="13" t="s">
        <v>345</v>
      </c>
      <c r="D2" s="15">
        <v>44408.0</v>
      </c>
      <c r="E2" s="14" t="s">
        <v>864</v>
      </c>
      <c r="F2" s="23" t="s">
        <v>682</v>
      </c>
    </row>
    <row r="3" ht="36.0" customHeight="1">
      <c r="A3" s="12">
        <v>1.0</v>
      </c>
      <c r="B3" s="12">
        <v>66.0</v>
      </c>
      <c r="C3" s="13" t="s">
        <v>345</v>
      </c>
      <c r="D3" s="15">
        <v>44408.0</v>
      </c>
      <c r="E3" s="14" t="s">
        <v>865</v>
      </c>
      <c r="F3" s="23" t="s">
        <v>682</v>
      </c>
    </row>
    <row r="4" ht="36.0" customHeight="1">
      <c r="A4" s="12">
        <v>2.0</v>
      </c>
      <c r="B4" s="12">
        <v>66.0</v>
      </c>
      <c r="C4" s="13" t="s">
        <v>345</v>
      </c>
      <c r="D4" s="15">
        <v>44408.0</v>
      </c>
      <c r="E4" s="14" t="s">
        <v>866</v>
      </c>
      <c r="F4" s="23" t="s">
        <v>682</v>
      </c>
    </row>
    <row r="5">
      <c r="A5" s="12">
        <f t="shared" ref="A5:A33" si="1">A4+1</f>
        <v>3</v>
      </c>
      <c r="B5" s="12">
        <v>1.0</v>
      </c>
      <c r="C5" s="153" t="s">
        <v>10</v>
      </c>
      <c r="D5" s="15">
        <v>44408.0</v>
      </c>
      <c r="E5" s="14" t="s">
        <v>867</v>
      </c>
      <c r="F5" s="23" t="s">
        <v>682</v>
      </c>
    </row>
    <row r="6">
      <c r="A6" s="12">
        <f t="shared" si="1"/>
        <v>4</v>
      </c>
      <c r="B6" s="12"/>
      <c r="C6" s="13"/>
      <c r="D6" s="15"/>
      <c r="E6" s="14"/>
      <c r="F6" s="23"/>
    </row>
    <row r="7">
      <c r="A7" s="12">
        <f t="shared" si="1"/>
        <v>5</v>
      </c>
      <c r="B7" s="12"/>
      <c r="C7" s="13"/>
      <c r="D7" s="15"/>
      <c r="E7" s="14"/>
      <c r="F7" s="23"/>
    </row>
    <row r="8">
      <c r="A8" s="12">
        <f t="shared" si="1"/>
        <v>6</v>
      </c>
      <c r="B8" s="12"/>
      <c r="C8" s="13"/>
      <c r="D8" s="15"/>
      <c r="E8" s="14"/>
      <c r="F8" s="23"/>
    </row>
    <row r="9">
      <c r="A9" s="12">
        <f t="shared" si="1"/>
        <v>7</v>
      </c>
      <c r="B9" s="12"/>
      <c r="C9" s="13"/>
      <c r="D9" s="15"/>
      <c r="E9" s="14"/>
      <c r="F9" s="23"/>
    </row>
    <row r="10">
      <c r="A10" s="12">
        <f t="shared" si="1"/>
        <v>8</v>
      </c>
      <c r="B10" s="12"/>
      <c r="C10" s="13"/>
      <c r="D10" s="15"/>
      <c r="E10" s="14"/>
      <c r="F10" s="23"/>
    </row>
    <row r="11">
      <c r="A11" s="12">
        <f t="shared" si="1"/>
        <v>9</v>
      </c>
      <c r="B11" s="12"/>
      <c r="C11" s="13"/>
      <c r="D11" s="15"/>
      <c r="E11" s="14"/>
      <c r="F11" s="23"/>
    </row>
    <row r="12">
      <c r="A12" s="12">
        <f t="shared" si="1"/>
        <v>10</v>
      </c>
      <c r="B12" s="12"/>
      <c r="C12" s="13"/>
      <c r="D12" s="15"/>
      <c r="E12" s="14"/>
      <c r="F12" s="23"/>
    </row>
    <row r="13">
      <c r="A13" s="12">
        <f t="shared" si="1"/>
        <v>11</v>
      </c>
      <c r="B13" s="12"/>
      <c r="C13" s="13"/>
      <c r="D13" s="15"/>
      <c r="E13" s="14"/>
      <c r="F13" s="23"/>
    </row>
    <row r="14">
      <c r="A14" s="12">
        <f t="shared" si="1"/>
        <v>12</v>
      </c>
      <c r="B14" s="12"/>
      <c r="C14" s="13"/>
      <c r="D14" s="15"/>
      <c r="E14" s="14"/>
      <c r="F14" s="23"/>
    </row>
    <row r="15">
      <c r="A15" s="12">
        <f t="shared" si="1"/>
        <v>13</v>
      </c>
      <c r="B15" s="12"/>
      <c r="C15" s="13"/>
      <c r="D15" s="15"/>
      <c r="E15" s="14"/>
      <c r="F15" s="23"/>
    </row>
    <row r="16">
      <c r="A16" s="12">
        <f t="shared" si="1"/>
        <v>14</v>
      </c>
      <c r="B16" s="12"/>
      <c r="C16" s="13"/>
      <c r="D16" s="15"/>
      <c r="E16" s="14"/>
      <c r="F16" s="23"/>
    </row>
    <row r="17">
      <c r="A17" s="12">
        <f t="shared" si="1"/>
        <v>15</v>
      </c>
      <c r="B17" s="12"/>
      <c r="C17" s="13"/>
      <c r="D17" s="15"/>
      <c r="E17" s="14"/>
      <c r="F17" s="23"/>
    </row>
    <row r="18">
      <c r="A18" s="12">
        <f t="shared" si="1"/>
        <v>16</v>
      </c>
      <c r="B18" s="12"/>
      <c r="C18" s="13"/>
      <c r="D18" s="15"/>
      <c r="E18" s="14"/>
      <c r="F18" s="23"/>
    </row>
    <row r="19">
      <c r="A19" s="12">
        <f t="shared" si="1"/>
        <v>17</v>
      </c>
      <c r="B19" s="12"/>
      <c r="C19" s="13"/>
      <c r="D19" s="15"/>
      <c r="E19" s="14"/>
      <c r="F19" s="23"/>
    </row>
    <row r="20">
      <c r="A20" s="12">
        <f t="shared" si="1"/>
        <v>18</v>
      </c>
      <c r="B20" s="12"/>
      <c r="C20" s="13"/>
      <c r="D20" s="15"/>
      <c r="E20" s="14"/>
      <c r="F20" s="23"/>
    </row>
    <row r="21">
      <c r="A21" s="12">
        <f t="shared" si="1"/>
        <v>19</v>
      </c>
      <c r="B21" s="12"/>
      <c r="C21" s="13"/>
      <c r="D21" s="15"/>
      <c r="E21" s="14"/>
      <c r="F21" s="23"/>
    </row>
    <row r="22">
      <c r="A22" s="12">
        <f t="shared" si="1"/>
        <v>20</v>
      </c>
      <c r="B22" s="12"/>
      <c r="C22" s="13"/>
      <c r="D22" s="15"/>
      <c r="E22" s="14"/>
      <c r="F22" s="23"/>
    </row>
    <row r="23">
      <c r="A23" s="12">
        <f t="shared" si="1"/>
        <v>21</v>
      </c>
      <c r="B23" s="12"/>
      <c r="C23" s="13"/>
      <c r="D23" s="15"/>
      <c r="E23" s="14"/>
      <c r="F23" s="23"/>
    </row>
    <row r="24">
      <c r="A24" s="12">
        <f t="shared" si="1"/>
        <v>22</v>
      </c>
      <c r="B24" s="12"/>
      <c r="C24" s="13"/>
      <c r="D24" s="15"/>
      <c r="E24" s="14"/>
      <c r="F24" s="23"/>
    </row>
    <row r="25">
      <c r="A25" s="12">
        <f t="shared" si="1"/>
        <v>23</v>
      </c>
      <c r="B25" s="12"/>
      <c r="C25" s="13"/>
      <c r="D25" s="15"/>
      <c r="E25" s="14"/>
      <c r="F25" s="23"/>
    </row>
    <row r="26">
      <c r="A26" s="12">
        <f t="shared" si="1"/>
        <v>24</v>
      </c>
      <c r="B26" s="12"/>
      <c r="C26" s="13"/>
      <c r="D26" s="15"/>
      <c r="E26" s="14"/>
      <c r="F26" s="23"/>
    </row>
    <row r="27">
      <c r="A27" s="12">
        <f t="shared" si="1"/>
        <v>25</v>
      </c>
      <c r="B27" s="12"/>
      <c r="C27" s="13"/>
      <c r="D27" s="15"/>
      <c r="E27" s="14"/>
      <c r="F27" s="23"/>
    </row>
    <row r="28">
      <c r="A28" s="12">
        <f t="shared" si="1"/>
        <v>26</v>
      </c>
      <c r="B28" s="12"/>
      <c r="C28" s="13"/>
      <c r="D28" s="15"/>
      <c r="E28" s="14"/>
      <c r="F28" s="23"/>
    </row>
    <row r="29">
      <c r="A29" s="12">
        <f t="shared" si="1"/>
        <v>27</v>
      </c>
      <c r="B29" s="12"/>
      <c r="C29" s="13"/>
      <c r="D29" s="15"/>
      <c r="E29" s="14"/>
      <c r="F29" s="23"/>
    </row>
    <row r="30">
      <c r="A30" s="12">
        <f t="shared" si="1"/>
        <v>28</v>
      </c>
      <c r="B30" s="12"/>
      <c r="C30" s="13"/>
      <c r="D30" s="15"/>
      <c r="E30" s="14"/>
      <c r="F30" s="23"/>
    </row>
    <row r="31">
      <c r="A31" s="12">
        <f t="shared" si="1"/>
        <v>29</v>
      </c>
      <c r="B31" s="12"/>
      <c r="C31" s="13"/>
      <c r="D31" s="15"/>
      <c r="E31" s="14"/>
      <c r="F31" s="23"/>
    </row>
    <row r="32">
      <c r="A32" s="12">
        <f t="shared" si="1"/>
        <v>30</v>
      </c>
      <c r="B32" s="12"/>
      <c r="C32" s="13"/>
      <c r="D32" s="15"/>
      <c r="E32" s="14"/>
      <c r="F32" s="23"/>
    </row>
    <row r="33">
      <c r="A33" s="12">
        <f t="shared" si="1"/>
        <v>31</v>
      </c>
      <c r="B33" s="12"/>
      <c r="C33" s="13"/>
      <c r="D33" s="15"/>
      <c r="E33" s="14"/>
      <c r="F33" s="23"/>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9" t="s">
        <v>2</v>
      </c>
      <c r="B1" s="9" t="s">
        <v>868</v>
      </c>
      <c r="C1" s="9" t="s">
        <v>586</v>
      </c>
      <c r="D1" s="9" t="s">
        <v>589</v>
      </c>
      <c r="E1" s="9" t="s">
        <v>591</v>
      </c>
      <c r="F1" s="9" t="s">
        <v>644</v>
      </c>
      <c r="G1" s="9" t="s">
        <v>645</v>
      </c>
      <c r="H1" s="9" t="s">
        <v>646</v>
      </c>
      <c r="I1" s="9" t="s">
        <v>647</v>
      </c>
      <c r="J1" s="9" t="s">
        <v>648</v>
      </c>
      <c r="K1" s="9" t="s">
        <v>649</v>
      </c>
      <c r="L1" s="9" t="s">
        <v>650</v>
      </c>
      <c r="M1" s="9" t="s">
        <v>869</v>
      </c>
      <c r="N1" s="9" t="s">
        <v>870</v>
      </c>
      <c r="O1" s="9" t="s">
        <v>871</v>
      </c>
      <c r="P1" s="9" t="s">
        <v>872</v>
      </c>
      <c r="Q1" s="9" t="s">
        <v>873</v>
      </c>
      <c r="R1" s="9" t="s">
        <v>874</v>
      </c>
      <c r="S1" s="9" t="s">
        <v>875</v>
      </c>
      <c r="T1" s="9" t="s">
        <v>876</v>
      </c>
      <c r="U1" s="171" t="s">
        <v>877</v>
      </c>
      <c r="W1" s="35"/>
      <c r="X1" s="35"/>
      <c r="Y1" s="35"/>
      <c r="Z1" s="35"/>
      <c r="AA1" s="35"/>
      <c r="AB1" s="35"/>
      <c r="AC1" s="35"/>
      <c r="AD1" s="35"/>
    </row>
    <row r="2">
      <c r="A2" s="172" t="s">
        <v>683</v>
      </c>
      <c r="B2" s="12" t="s">
        <v>878</v>
      </c>
      <c r="C2" s="127">
        <v>0.025</v>
      </c>
      <c r="D2" s="127">
        <v>0.025</v>
      </c>
      <c r="E2" s="127">
        <v>0.05</v>
      </c>
      <c r="F2" s="127">
        <v>0.025</v>
      </c>
      <c r="G2" s="127">
        <v>0.025</v>
      </c>
      <c r="H2" s="127">
        <v>0.05</v>
      </c>
      <c r="I2" s="127">
        <v>0.1</v>
      </c>
      <c r="J2" s="127">
        <v>0.025</v>
      </c>
      <c r="K2" s="127">
        <v>0.025</v>
      </c>
      <c r="L2" s="127">
        <v>0.05</v>
      </c>
      <c r="M2" s="127">
        <v>0.05</v>
      </c>
      <c r="N2" s="127">
        <v>0.05</v>
      </c>
      <c r="O2" s="127">
        <v>0.05</v>
      </c>
      <c r="P2" s="127">
        <v>0.05</v>
      </c>
      <c r="Q2" s="127">
        <v>0.1</v>
      </c>
      <c r="R2" s="127">
        <v>0.1</v>
      </c>
      <c r="S2" s="127">
        <v>0.1</v>
      </c>
      <c r="T2" s="127">
        <v>0.1</v>
      </c>
      <c r="U2" s="173">
        <f>SUM(C2:T2)</f>
        <v>1</v>
      </c>
    </row>
    <row r="3">
      <c r="A3" s="12">
        <v>66.0</v>
      </c>
      <c r="B3" s="127" t="s">
        <v>879</v>
      </c>
      <c r="C3" s="127">
        <v>1.0</v>
      </c>
      <c r="D3" s="127">
        <v>1.0</v>
      </c>
      <c r="E3" s="127">
        <v>1.0</v>
      </c>
      <c r="F3" s="127">
        <v>1.0</v>
      </c>
      <c r="G3" s="127">
        <v>1.0</v>
      </c>
      <c r="H3" s="127">
        <v>1.0</v>
      </c>
      <c r="I3" s="127">
        <v>0.5</v>
      </c>
      <c r="J3" s="127">
        <v>1.0</v>
      </c>
      <c r="K3" s="127">
        <v>1.0</v>
      </c>
      <c r="L3" s="127">
        <v>1.0</v>
      </c>
      <c r="M3" s="127">
        <v>1.0</v>
      </c>
      <c r="N3" s="127">
        <v>1.0</v>
      </c>
      <c r="O3" s="127">
        <v>1.0</v>
      </c>
      <c r="P3" s="127">
        <v>1.0</v>
      </c>
      <c r="Q3" s="127">
        <v>1.0</v>
      </c>
      <c r="R3" s="127">
        <v>0.0</v>
      </c>
      <c r="S3" s="127">
        <v>0.0</v>
      </c>
      <c r="T3" s="127">
        <v>1.0</v>
      </c>
    </row>
    <row r="4" ht="27.0" customHeight="1">
      <c r="A4" s="12">
        <v>66.0</v>
      </c>
      <c r="B4" s="127" t="s">
        <v>880</v>
      </c>
      <c r="C4" s="127">
        <f t="shared" ref="C4:T4" si="1">C$2*C3</f>
        <v>0.025</v>
      </c>
      <c r="D4" s="127">
        <f t="shared" si="1"/>
        <v>0.025</v>
      </c>
      <c r="E4" s="127">
        <f t="shared" si="1"/>
        <v>0.05</v>
      </c>
      <c r="F4" s="127">
        <f t="shared" si="1"/>
        <v>0.025</v>
      </c>
      <c r="G4" s="127">
        <f t="shared" si="1"/>
        <v>0.025</v>
      </c>
      <c r="H4" s="127">
        <f t="shared" si="1"/>
        <v>0.05</v>
      </c>
      <c r="I4" s="127">
        <f t="shared" si="1"/>
        <v>0.05</v>
      </c>
      <c r="J4" s="127">
        <f t="shared" si="1"/>
        <v>0.025</v>
      </c>
      <c r="K4" s="127">
        <f t="shared" si="1"/>
        <v>0.025</v>
      </c>
      <c r="L4" s="127">
        <f t="shared" si="1"/>
        <v>0.05</v>
      </c>
      <c r="M4" s="127">
        <f t="shared" si="1"/>
        <v>0.05</v>
      </c>
      <c r="N4" s="127">
        <f t="shared" si="1"/>
        <v>0.05</v>
      </c>
      <c r="O4" s="127">
        <f t="shared" si="1"/>
        <v>0.05</v>
      </c>
      <c r="P4" s="127">
        <f t="shared" si="1"/>
        <v>0.05</v>
      </c>
      <c r="Q4" s="127">
        <f t="shared" si="1"/>
        <v>0.1</v>
      </c>
      <c r="R4" s="127">
        <f t="shared" si="1"/>
        <v>0</v>
      </c>
      <c r="S4" s="127">
        <f t="shared" si="1"/>
        <v>0</v>
      </c>
      <c r="T4" s="127">
        <f t="shared" si="1"/>
        <v>0.1</v>
      </c>
      <c r="U4" s="174">
        <f>SUM(C4:T4)</f>
        <v>0.75</v>
      </c>
    </row>
    <row r="5">
      <c r="A5" s="12">
        <v>1.0</v>
      </c>
      <c r="B5" s="127" t="s">
        <v>879</v>
      </c>
      <c r="C5" s="127">
        <v>1.0</v>
      </c>
      <c r="D5" s="127">
        <v>1.0</v>
      </c>
      <c r="E5" s="127">
        <v>1.0</v>
      </c>
      <c r="F5" s="127">
        <v>1.0</v>
      </c>
      <c r="G5" s="127">
        <v>1.0</v>
      </c>
      <c r="H5" s="127">
        <v>1.0</v>
      </c>
      <c r="I5" s="127">
        <v>0.5</v>
      </c>
      <c r="J5" s="127">
        <v>1.0</v>
      </c>
      <c r="K5" s="127">
        <v>1.0</v>
      </c>
      <c r="L5" s="127">
        <v>0.0</v>
      </c>
      <c r="M5" s="127">
        <v>0.0</v>
      </c>
      <c r="N5" s="127">
        <v>0.0</v>
      </c>
      <c r="O5" s="127">
        <v>1.0</v>
      </c>
      <c r="P5" s="127">
        <v>0.0</v>
      </c>
      <c r="Q5" s="127">
        <v>0.0</v>
      </c>
      <c r="R5" s="127">
        <v>1.0</v>
      </c>
      <c r="S5" s="127">
        <v>1.0</v>
      </c>
      <c r="T5" s="127">
        <v>0.0</v>
      </c>
      <c r="U5" s="58"/>
    </row>
    <row r="6">
      <c r="A6" s="12">
        <v>1.0</v>
      </c>
      <c r="B6" s="127" t="s">
        <v>880</v>
      </c>
      <c r="C6" s="127">
        <f t="shared" ref="C6:T6" si="2">C$2*C5</f>
        <v>0.025</v>
      </c>
      <c r="D6" s="127">
        <f t="shared" si="2"/>
        <v>0.025</v>
      </c>
      <c r="E6" s="127">
        <f t="shared" si="2"/>
        <v>0.05</v>
      </c>
      <c r="F6" s="127">
        <f t="shared" si="2"/>
        <v>0.025</v>
      </c>
      <c r="G6" s="127">
        <f t="shared" si="2"/>
        <v>0.025</v>
      </c>
      <c r="H6" s="127">
        <f t="shared" si="2"/>
        <v>0.05</v>
      </c>
      <c r="I6" s="127">
        <f t="shared" si="2"/>
        <v>0.05</v>
      </c>
      <c r="J6" s="127">
        <f t="shared" si="2"/>
        <v>0.025</v>
      </c>
      <c r="K6" s="127">
        <f t="shared" si="2"/>
        <v>0.025</v>
      </c>
      <c r="L6" s="127">
        <f t="shared" si="2"/>
        <v>0</v>
      </c>
      <c r="M6" s="127">
        <f t="shared" si="2"/>
        <v>0</v>
      </c>
      <c r="N6" s="127">
        <f t="shared" si="2"/>
        <v>0</v>
      </c>
      <c r="O6" s="127">
        <f t="shared" si="2"/>
        <v>0.05</v>
      </c>
      <c r="P6" s="127">
        <f t="shared" si="2"/>
        <v>0</v>
      </c>
      <c r="Q6" s="127">
        <f t="shared" si="2"/>
        <v>0</v>
      </c>
      <c r="R6" s="127">
        <f t="shared" si="2"/>
        <v>0.1</v>
      </c>
      <c r="S6" s="127">
        <f t="shared" si="2"/>
        <v>0.1</v>
      </c>
      <c r="T6" s="127">
        <f t="shared" si="2"/>
        <v>0</v>
      </c>
      <c r="U6" s="174">
        <f>SUM(C6:T6)</f>
        <v>0.55</v>
      </c>
    </row>
    <row r="7">
      <c r="A7" s="12">
        <v>2.0</v>
      </c>
      <c r="B7" s="127" t="s">
        <v>879</v>
      </c>
      <c r="C7" s="127">
        <v>1.0</v>
      </c>
      <c r="D7" s="127">
        <v>1.0</v>
      </c>
      <c r="E7" s="127">
        <v>1.0</v>
      </c>
      <c r="F7" s="127">
        <v>0.0</v>
      </c>
      <c r="G7" s="127">
        <v>0.0</v>
      </c>
      <c r="H7" s="127">
        <v>0.0</v>
      </c>
      <c r="I7" s="127"/>
      <c r="J7" s="127">
        <v>0.0</v>
      </c>
      <c r="K7" s="127">
        <v>1.0</v>
      </c>
      <c r="L7" s="127">
        <v>0.0</v>
      </c>
      <c r="M7" s="127">
        <v>0.0</v>
      </c>
      <c r="N7" s="127">
        <v>0.0</v>
      </c>
      <c r="O7" s="127">
        <v>0.5</v>
      </c>
      <c r="P7" s="127">
        <v>0.0</v>
      </c>
      <c r="Q7" s="127">
        <v>0.0</v>
      </c>
      <c r="R7" s="127">
        <v>1.0</v>
      </c>
      <c r="S7" s="127">
        <v>1.0</v>
      </c>
      <c r="T7" s="127">
        <v>0.0</v>
      </c>
      <c r="U7" s="58"/>
    </row>
    <row r="8">
      <c r="A8" s="12">
        <v>2.0</v>
      </c>
      <c r="B8" s="127" t="s">
        <v>880</v>
      </c>
      <c r="C8" s="127">
        <f t="shared" ref="C8:T8" si="3">C$2*C7</f>
        <v>0.025</v>
      </c>
      <c r="D8" s="127">
        <f t="shared" si="3"/>
        <v>0.025</v>
      </c>
      <c r="E8" s="127">
        <f t="shared" si="3"/>
        <v>0.05</v>
      </c>
      <c r="F8" s="127">
        <f t="shared" si="3"/>
        <v>0</v>
      </c>
      <c r="G8" s="127">
        <f t="shared" si="3"/>
        <v>0</v>
      </c>
      <c r="H8" s="127">
        <f t="shared" si="3"/>
        <v>0</v>
      </c>
      <c r="I8" s="127">
        <f t="shared" si="3"/>
        <v>0</v>
      </c>
      <c r="J8" s="127">
        <f t="shared" si="3"/>
        <v>0</v>
      </c>
      <c r="K8" s="127">
        <f t="shared" si="3"/>
        <v>0.025</v>
      </c>
      <c r="L8" s="127">
        <f t="shared" si="3"/>
        <v>0</v>
      </c>
      <c r="M8" s="127">
        <f t="shared" si="3"/>
        <v>0</v>
      </c>
      <c r="N8" s="127">
        <f t="shared" si="3"/>
        <v>0</v>
      </c>
      <c r="O8" s="127">
        <f t="shared" si="3"/>
        <v>0.025</v>
      </c>
      <c r="P8" s="127">
        <f t="shared" si="3"/>
        <v>0</v>
      </c>
      <c r="Q8" s="127">
        <f t="shared" si="3"/>
        <v>0</v>
      </c>
      <c r="R8" s="127">
        <f t="shared" si="3"/>
        <v>0.1</v>
      </c>
      <c r="S8" s="127">
        <f t="shared" si="3"/>
        <v>0.1</v>
      </c>
      <c r="T8" s="127">
        <f t="shared" si="3"/>
        <v>0</v>
      </c>
      <c r="U8" s="174">
        <f>SUM(C8:T8)</f>
        <v>0.35</v>
      </c>
    </row>
    <row r="9">
      <c r="A9" s="12">
        <v>3.0</v>
      </c>
      <c r="B9" s="127" t="s">
        <v>879</v>
      </c>
      <c r="C9" s="127">
        <v>1.0</v>
      </c>
      <c r="D9" s="127">
        <v>1.0</v>
      </c>
      <c r="E9" s="127">
        <v>1.0</v>
      </c>
      <c r="F9" s="127">
        <v>0.0</v>
      </c>
      <c r="G9" s="127">
        <v>0.0</v>
      </c>
      <c r="H9" s="127">
        <v>0.0</v>
      </c>
      <c r="I9" s="127">
        <v>0.0</v>
      </c>
      <c r="J9" s="127">
        <v>0.0</v>
      </c>
      <c r="K9" s="127">
        <v>1.0</v>
      </c>
      <c r="L9" s="127">
        <v>0.0</v>
      </c>
      <c r="M9" s="127">
        <v>0.0</v>
      </c>
      <c r="N9" s="127">
        <v>0.0</v>
      </c>
      <c r="O9" s="127">
        <v>0.0</v>
      </c>
      <c r="P9" s="127">
        <v>0.0</v>
      </c>
      <c r="Q9" s="127">
        <v>0.25</v>
      </c>
      <c r="R9" s="127">
        <v>1.0</v>
      </c>
      <c r="S9" s="127">
        <v>1.0</v>
      </c>
      <c r="T9" s="127">
        <v>0.0</v>
      </c>
      <c r="U9" s="58"/>
    </row>
    <row r="10">
      <c r="A10" s="12">
        <v>3.0</v>
      </c>
      <c r="B10" s="127" t="s">
        <v>880</v>
      </c>
      <c r="C10" s="127">
        <f t="shared" ref="C10:T10" si="4">C$2*C9</f>
        <v>0.025</v>
      </c>
      <c r="D10" s="127">
        <f t="shared" si="4"/>
        <v>0.025</v>
      </c>
      <c r="E10" s="127">
        <f t="shared" si="4"/>
        <v>0.05</v>
      </c>
      <c r="F10" s="127">
        <f t="shared" si="4"/>
        <v>0</v>
      </c>
      <c r="G10" s="127">
        <f t="shared" si="4"/>
        <v>0</v>
      </c>
      <c r="H10" s="127">
        <f t="shared" si="4"/>
        <v>0</v>
      </c>
      <c r="I10" s="127">
        <f t="shared" si="4"/>
        <v>0</v>
      </c>
      <c r="J10" s="127">
        <f t="shared" si="4"/>
        <v>0</v>
      </c>
      <c r="K10" s="127">
        <f t="shared" si="4"/>
        <v>0.025</v>
      </c>
      <c r="L10" s="127">
        <f t="shared" si="4"/>
        <v>0</v>
      </c>
      <c r="M10" s="127">
        <f t="shared" si="4"/>
        <v>0</v>
      </c>
      <c r="N10" s="127">
        <f t="shared" si="4"/>
        <v>0</v>
      </c>
      <c r="O10" s="127">
        <f t="shared" si="4"/>
        <v>0</v>
      </c>
      <c r="P10" s="127">
        <f t="shared" si="4"/>
        <v>0</v>
      </c>
      <c r="Q10" s="127">
        <f t="shared" si="4"/>
        <v>0.025</v>
      </c>
      <c r="R10" s="127">
        <f t="shared" si="4"/>
        <v>0.1</v>
      </c>
      <c r="S10" s="127">
        <f t="shared" si="4"/>
        <v>0.1</v>
      </c>
      <c r="T10" s="127">
        <f t="shared" si="4"/>
        <v>0</v>
      </c>
      <c r="U10" s="174">
        <f>SUM(C10:T10)</f>
        <v>0.35</v>
      </c>
    </row>
    <row r="11">
      <c r="A11" s="12">
        <v>4.0</v>
      </c>
      <c r="B11" s="127" t="s">
        <v>879</v>
      </c>
      <c r="C11" s="127">
        <v>1.0</v>
      </c>
      <c r="D11" s="127">
        <v>1.0</v>
      </c>
      <c r="E11" s="127">
        <v>1.0</v>
      </c>
      <c r="F11" s="175">
        <v>1.0</v>
      </c>
      <c r="G11" s="127">
        <v>1.0</v>
      </c>
      <c r="H11" s="127">
        <v>0.0</v>
      </c>
      <c r="I11" s="127">
        <v>0.0</v>
      </c>
      <c r="J11" s="127">
        <v>1.0</v>
      </c>
      <c r="K11" s="127">
        <v>1.0</v>
      </c>
      <c r="L11" s="127">
        <v>0.0</v>
      </c>
      <c r="M11" s="127">
        <v>1.0</v>
      </c>
      <c r="N11" s="127">
        <v>1.0</v>
      </c>
      <c r="O11" s="127">
        <v>1.0</v>
      </c>
      <c r="P11" s="127">
        <v>0.5</v>
      </c>
      <c r="Q11" s="127">
        <v>1.0</v>
      </c>
      <c r="R11" s="127">
        <v>1.0</v>
      </c>
      <c r="S11" s="127">
        <v>1.0</v>
      </c>
      <c r="T11" s="127">
        <v>0.0</v>
      </c>
      <c r="U11" s="58"/>
    </row>
    <row r="12">
      <c r="A12" s="12">
        <v>4.0</v>
      </c>
      <c r="B12" s="127" t="s">
        <v>880</v>
      </c>
      <c r="C12" s="127">
        <f t="shared" ref="C12:T12" si="5">C$2*C11</f>
        <v>0.025</v>
      </c>
      <c r="D12" s="127">
        <f t="shared" si="5"/>
        <v>0.025</v>
      </c>
      <c r="E12" s="127">
        <f t="shared" si="5"/>
        <v>0.05</v>
      </c>
      <c r="F12" s="127">
        <f t="shared" si="5"/>
        <v>0.025</v>
      </c>
      <c r="G12" s="127">
        <f t="shared" si="5"/>
        <v>0.025</v>
      </c>
      <c r="H12" s="127">
        <f t="shared" si="5"/>
        <v>0</v>
      </c>
      <c r="I12" s="127">
        <f t="shared" si="5"/>
        <v>0</v>
      </c>
      <c r="J12" s="127">
        <f t="shared" si="5"/>
        <v>0.025</v>
      </c>
      <c r="K12" s="127">
        <f t="shared" si="5"/>
        <v>0.025</v>
      </c>
      <c r="L12" s="127">
        <f t="shared" si="5"/>
        <v>0</v>
      </c>
      <c r="M12" s="127">
        <f t="shared" si="5"/>
        <v>0.05</v>
      </c>
      <c r="N12" s="127">
        <f t="shared" si="5"/>
        <v>0.05</v>
      </c>
      <c r="O12" s="127">
        <f t="shared" si="5"/>
        <v>0.05</v>
      </c>
      <c r="P12" s="127">
        <f t="shared" si="5"/>
        <v>0.025</v>
      </c>
      <c r="Q12" s="127">
        <f t="shared" si="5"/>
        <v>0.1</v>
      </c>
      <c r="R12" s="127">
        <f t="shared" si="5"/>
        <v>0.1</v>
      </c>
      <c r="S12" s="127">
        <f t="shared" si="5"/>
        <v>0.1</v>
      </c>
      <c r="T12" s="127">
        <f t="shared" si="5"/>
        <v>0</v>
      </c>
      <c r="U12" s="174">
        <f>SUM(C12:T12)</f>
        <v>0.675</v>
      </c>
    </row>
    <row r="13">
      <c r="A13" s="12">
        <v>5.0</v>
      </c>
      <c r="B13" s="127" t="s">
        <v>879</v>
      </c>
      <c r="C13" s="127">
        <v>1.0</v>
      </c>
      <c r="D13" s="127">
        <v>1.0</v>
      </c>
      <c r="E13" s="127">
        <v>1.0</v>
      </c>
      <c r="F13" s="175">
        <v>0.5</v>
      </c>
      <c r="G13" s="127">
        <v>1.0</v>
      </c>
      <c r="H13" s="127">
        <v>1.0</v>
      </c>
      <c r="I13" s="127">
        <v>0.0</v>
      </c>
      <c r="J13" s="127">
        <v>0.0</v>
      </c>
      <c r="K13" s="127">
        <v>1.0</v>
      </c>
      <c r="L13" s="127">
        <v>0.0</v>
      </c>
      <c r="M13" s="127">
        <v>1.0</v>
      </c>
      <c r="N13" s="127">
        <v>0.0</v>
      </c>
      <c r="O13" s="176">
        <v>0.5</v>
      </c>
      <c r="P13" s="176">
        <v>0.5</v>
      </c>
      <c r="Q13" s="127">
        <v>1.0</v>
      </c>
      <c r="R13" s="127">
        <v>1.0</v>
      </c>
      <c r="S13" s="127">
        <v>1.0</v>
      </c>
      <c r="T13" s="127">
        <v>0.0</v>
      </c>
      <c r="U13" s="58"/>
    </row>
    <row r="14">
      <c r="A14" s="12">
        <v>5.0</v>
      </c>
      <c r="B14" s="127" t="s">
        <v>880</v>
      </c>
      <c r="C14" s="127">
        <f t="shared" ref="C14:T14" si="6">C$2*C13</f>
        <v>0.025</v>
      </c>
      <c r="D14" s="127">
        <f t="shared" si="6"/>
        <v>0.025</v>
      </c>
      <c r="E14" s="127">
        <f t="shared" si="6"/>
        <v>0.05</v>
      </c>
      <c r="F14" s="127">
        <f t="shared" si="6"/>
        <v>0.0125</v>
      </c>
      <c r="G14" s="127">
        <f t="shared" si="6"/>
        <v>0.025</v>
      </c>
      <c r="H14" s="127">
        <f t="shared" si="6"/>
        <v>0.05</v>
      </c>
      <c r="I14" s="127">
        <f t="shared" si="6"/>
        <v>0</v>
      </c>
      <c r="J14" s="127">
        <f t="shared" si="6"/>
        <v>0</v>
      </c>
      <c r="K14" s="127">
        <f t="shared" si="6"/>
        <v>0.025</v>
      </c>
      <c r="L14" s="127">
        <f t="shared" si="6"/>
        <v>0</v>
      </c>
      <c r="M14" s="127">
        <f t="shared" si="6"/>
        <v>0.05</v>
      </c>
      <c r="N14" s="127">
        <f t="shared" si="6"/>
        <v>0</v>
      </c>
      <c r="O14" s="127">
        <f t="shared" si="6"/>
        <v>0.025</v>
      </c>
      <c r="P14" s="127">
        <f t="shared" si="6"/>
        <v>0.025</v>
      </c>
      <c r="Q14" s="127">
        <f t="shared" si="6"/>
        <v>0.1</v>
      </c>
      <c r="R14" s="127">
        <f t="shared" si="6"/>
        <v>0.1</v>
      </c>
      <c r="S14" s="127">
        <f t="shared" si="6"/>
        <v>0.1</v>
      </c>
      <c r="T14" s="127">
        <f t="shared" si="6"/>
        <v>0</v>
      </c>
      <c r="U14" s="174">
        <f>SUM(C14:T14)</f>
        <v>0.6125</v>
      </c>
    </row>
    <row r="15">
      <c r="A15" s="12">
        <v>6.0</v>
      </c>
      <c r="B15" s="127" t="s">
        <v>879</v>
      </c>
      <c r="C15" s="127">
        <v>1.0</v>
      </c>
      <c r="D15" s="127">
        <v>1.0</v>
      </c>
      <c r="E15" s="127">
        <v>1.0</v>
      </c>
      <c r="F15" s="175">
        <v>0.24</v>
      </c>
      <c r="G15" s="127">
        <v>0.24</v>
      </c>
      <c r="H15" s="127">
        <v>0.24</v>
      </c>
      <c r="I15" s="127">
        <v>0.0</v>
      </c>
      <c r="J15" s="127">
        <v>0.0</v>
      </c>
      <c r="K15" s="127">
        <v>0.0</v>
      </c>
      <c r="L15" s="127">
        <v>0.0</v>
      </c>
      <c r="M15" s="127">
        <v>0.0</v>
      </c>
      <c r="N15" s="127">
        <v>0.0</v>
      </c>
      <c r="O15" s="127">
        <v>0.0</v>
      </c>
      <c r="P15" s="127">
        <v>0.0</v>
      </c>
      <c r="Q15" s="127">
        <v>0.0</v>
      </c>
      <c r="R15" s="127">
        <v>0.0</v>
      </c>
      <c r="S15" s="127">
        <v>0.0</v>
      </c>
      <c r="T15" s="127">
        <v>0.0</v>
      </c>
      <c r="U15" s="58"/>
    </row>
    <row r="16">
      <c r="A16" s="12">
        <v>6.0</v>
      </c>
      <c r="B16" s="127" t="s">
        <v>880</v>
      </c>
      <c r="C16" s="127">
        <f t="shared" ref="C16:T16" si="7">C$2*C15</f>
        <v>0.025</v>
      </c>
      <c r="D16" s="127">
        <f t="shared" si="7"/>
        <v>0.025</v>
      </c>
      <c r="E16" s="127">
        <f t="shared" si="7"/>
        <v>0.05</v>
      </c>
      <c r="F16" s="127">
        <f t="shared" si="7"/>
        <v>0.006</v>
      </c>
      <c r="G16" s="127">
        <f t="shared" si="7"/>
        <v>0.006</v>
      </c>
      <c r="H16" s="127">
        <f t="shared" si="7"/>
        <v>0.012</v>
      </c>
      <c r="I16" s="127">
        <f t="shared" si="7"/>
        <v>0</v>
      </c>
      <c r="J16" s="127">
        <f t="shared" si="7"/>
        <v>0</v>
      </c>
      <c r="K16" s="127">
        <f t="shared" si="7"/>
        <v>0</v>
      </c>
      <c r="L16" s="127">
        <f t="shared" si="7"/>
        <v>0</v>
      </c>
      <c r="M16" s="127">
        <f t="shared" si="7"/>
        <v>0</v>
      </c>
      <c r="N16" s="127">
        <f t="shared" si="7"/>
        <v>0</v>
      </c>
      <c r="O16" s="127">
        <f t="shared" si="7"/>
        <v>0</v>
      </c>
      <c r="P16" s="127">
        <f t="shared" si="7"/>
        <v>0</v>
      </c>
      <c r="Q16" s="127">
        <f t="shared" si="7"/>
        <v>0</v>
      </c>
      <c r="R16" s="127">
        <f t="shared" si="7"/>
        <v>0</v>
      </c>
      <c r="S16" s="127">
        <f t="shared" si="7"/>
        <v>0</v>
      </c>
      <c r="T16" s="127">
        <f t="shared" si="7"/>
        <v>0</v>
      </c>
      <c r="U16" s="174">
        <f>SUM(C16:T16)</f>
        <v>0.124</v>
      </c>
    </row>
    <row r="17">
      <c r="A17" s="12">
        <v>7.0</v>
      </c>
      <c r="B17" s="127" t="s">
        <v>879</v>
      </c>
      <c r="C17" s="127">
        <v>1.0</v>
      </c>
      <c r="D17" s="127">
        <v>1.0</v>
      </c>
      <c r="E17" s="127">
        <v>1.0</v>
      </c>
      <c r="F17" s="175">
        <v>0.04</v>
      </c>
      <c r="G17" s="127">
        <v>0.04</v>
      </c>
      <c r="H17" s="127">
        <v>0.04</v>
      </c>
      <c r="I17" s="127">
        <v>0.0</v>
      </c>
      <c r="J17" s="127">
        <v>1.0</v>
      </c>
      <c r="K17" s="127">
        <v>1.0</v>
      </c>
      <c r="L17" s="127">
        <v>0.0</v>
      </c>
      <c r="M17" s="127">
        <v>1.0</v>
      </c>
      <c r="N17" s="127">
        <v>0.0</v>
      </c>
      <c r="O17" s="127">
        <v>1.0</v>
      </c>
      <c r="P17" s="127">
        <v>0.0</v>
      </c>
      <c r="Q17" s="127">
        <v>0.0</v>
      </c>
      <c r="R17" s="127">
        <v>1.0</v>
      </c>
      <c r="S17" s="127">
        <v>1.0</v>
      </c>
      <c r="T17" s="127">
        <v>1.0</v>
      </c>
      <c r="U17" s="58"/>
    </row>
    <row r="18">
      <c r="A18" s="12">
        <v>7.0</v>
      </c>
      <c r="B18" s="127" t="s">
        <v>880</v>
      </c>
      <c r="C18" s="127">
        <f t="shared" ref="C18:T18" si="8">C$2*C17</f>
        <v>0.025</v>
      </c>
      <c r="D18" s="127">
        <f t="shared" si="8"/>
        <v>0.025</v>
      </c>
      <c r="E18" s="127">
        <f t="shared" si="8"/>
        <v>0.05</v>
      </c>
      <c r="F18" s="127">
        <f t="shared" si="8"/>
        <v>0.001</v>
      </c>
      <c r="G18" s="127">
        <f t="shared" si="8"/>
        <v>0.001</v>
      </c>
      <c r="H18" s="127">
        <f t="shared" si="8"/>
        <v>0.002</v>
      </c>
      <c r="I18" s="127">
        <f t="shared" si="8"/>
        <v>0</v>
      </c>
      <c r="J18" s="127">
        <f t="shared" si="8"/>
        <v>0.025</v>
      </c>
      <c r="K18" s="127">
        <f t="shared" si="8"/>
        <v>0.025</v>
      </c>
      <c r="L18" s="127">
        <f t="shared" si="8"/>
        <v>0</v>
      </c>
      <c r="M18" s="127">
        <f t="shared" si="8"/>
        <v>0.05</v>
      </c>
      <c r="N18" s="127">
        <f t="shared" si="8"/>
        <v>0</v>
      </c>
      <c r="O18" s="127">
        <f t="shared" si="8"/>
        <v>0.05</v>
      </c>
      <c r="P18" s="127">
        <f t="shared" si="8"/>
        <v>0</v>
      </c>
      <c r="Q18" s="127">
        <f t="shared" si="8"/>
        <v>0</v>
      </c>
      <c r="R18" s="127">
        <f t="shared" si="8"/>
        <v>0.1</v>
      </c>
      <c r="S18" s="127">
        <f t="shared" si="8"/>
        <v>0.1</v>
      </c>
      <c r="T18" s="127">
        <f t="shared" si="8"/>
        <v>0.1</v>
      </c>
      <c r="U18" s="174">
        <f>SUM(C18:T18)</f>
        <v>0.554</v>
      </c>
    </row>
    <row r="19">
      <c r="A19" s="12">
        <v>8.0</v>
      </c>
      <c r="B19" s="127" t="s">
        <v>879</v>
      </c>
      <c r="C19" s="127">
        <v>1.0</v>
      </c>
      <c r="D19" s="127">
        <v>1.0</v>
      </c>
      <c r="E19" s="127">
        <v>1.0</v>
      </c>
      <c r="F19" s="175">
        <v>1.0</v>
      </c>
      <c r="G19" s="175">
        <v>1.0</v>
      </c>
      <c r="H19" s="175">
        <v>0.0</v>
      </c>
      <c r="I19" s="127">
        <v>0.0</v>
      </c>
      <c r="J19" s="127">
        <v>0.0</v>
      </c>
      <c r="K19" s="127">
        <v>1.0</v>
      </c>
      <c r="L19" s="127">
        <v>1.0</v>
      </c>
      <c r="M19" s="127">
        <v>0.0</v>
      </c>
      <c r="N19" s="127">
        <v>0.0</v>
      </c>
      <c r="O19" s="176">
        <v>1.0</v>
      </c>
      <c r="P19" s="176">
        <v>0.5</v>
      </c>
      <c r="Q19" s="127">
        <v>1.0</v>
      </c>
      <c r="R19" s="127">
        <v>1.0</v>
      </c>
      <c r="S19" s="127">
        <v>0.0</v>
      </c>
      <c r="T19" s="127">
        <v>0.0</v>
      </c>
      <c r="U19" s="58"/>
    </row>
    <row r="20">
      <c r="A20" s="12">
        <v>8.0</v>
      </c>
      <c r="B20" s="127" t="s">
        <v>880</v>
      </c>
      <c r="C20" s="127">
        <f t="shared" ref="C20:T20" si="9">C$2*C19</f>
        <v>0.025</v>
      </c>
      <c r="D20" s="127">
        <f t="shared" si="9"/>
        <v>0.025</v>
      </c>
      <c r="E20" s="127">
        <f t="shared" si="9"/>
        <v>0.05</v>
      </c>
      <c r="F20" s="127">
        <f t="shared" si="9"/>
        <v>0.025</v>
      </c>
      <c r="G20" s="127">
        <f t="shared" si="9"/>
        <v>0.025</v>
      </c>
      <c r="H20" s="127">
        <f t="shared" si="9"/>
        <v>0</v>
      </c>
      <c r="I20" s="127">
        <f t="shared" si="9"/>
        <v>0</v>
      </c>
      <c r="J20" s="127">
        <f t="shared" si="9"/>
        <v>0</v>
      </c>
      <c r="K20" s="127">
        <f t="shared" si="9"/>
        <v>0.025</v>
      </c>
      <c r="L20" s="127">
        <f t="shared" si="9"/>
        <v>0.05</v>
      </c>
      <c r="M20" s="127">
        <f t="shared" si="9"/>
        <v>0</v>
      </c>
      <c r="N20" s="127">
        <f t="shared" si="9"/>
        <v>0</v>
      </c>
      <c r="O20" s="127">
        <f t="shared" si="9"/>
        <v>0.05</v>
      </c>
      <c r="P20" s="127">
        <f t="shared" si="9"/>
        <v>0.025</v>
      </c>
      <c r="Q20" s="127">
        <f t="shared" si="9"/>
        <v>0.1</v>
      </c>
      <c r="R20" s="127">
        <f t="shared" si="9"/>
        <v>0.1</v>
      </c>
      <c r="S20" s="127">
        <f t="shared" si="9"/>
        <v>0</v>
      </c>
      <c r="T20" s="127">
        <f t="shared" si="9"/>
        <v>0</v>
      </c>
      <c r="U20" s="174">
        <f>SUM(C20:T20)</f>
        <v>0.5</v>
      </c>
    </row>
    <row r="21">
      <c r="A21" s="12">
        <v>10.0</v>
      </c>
      <c r="B21" s="127" t="s">
        <v>879</v>
      </c>
      <c r="C21" s="127">
        <v>1.0</v>
      </c>
      <c r="D21" s="127">
        <v>1.0</v>
      </c>
      <c r="E21" s="127">
        <v>1.0</v>
      </c>
      <c r="F21" s="175">
        <v>0.0</v>
      </c>
      <c r="G21" s="175">
        <v>0.0</v>
      </c>
      <c r="H21" s="175">
        <v>0.0</v>
      </c>
      <c r="I21" s="127">
        <v>0.0</v>
      </c>
      <c r="J21" s="127">
        <v>0.0</v>
      </c>
      <c r="K21" s="127">
        <v>1.0</v>
      </c>
      <c r="L21" s="127">
        <v>0.0</v>
      </c>
      <c r="M21" s="127">
        <v>0.0</v>
      </c>
      <c r="N21" s="127">
        <v>0.0</v>
      </c>
      <c r="O21" s="176">
        <v>0.5</v>
      </c>
      <c r="P21" s="176">
        <v>0.0</v>
      </c>
      <c r="Q21" s="127">
        <v>0.0</v>
      </c>
      <c r="R21" s="127">
        <v>0.5</v>
      </c>
      <c r="S21" s="127">
        <v>0.5</v>
      </c>
      <c r="T21" s="127">
        <v>0.0</v>
      </c>
      <c r="U21" s="58"/>
    </row>
    <row r="22">
      <c r="A22" s="12">
        <v>10.0</v>
      </c>
      <c r="B22" s="127" t="s">
        <v>880</v>
      </c>
      <c r="C22" s="127">
        <f t="shared" ref="C22:T22" si="10">C$2*C21</f>
        <v>0.025</v>
      </c>
      <c r="D22" s="127">
        <f t="shared" si="10"/>
        <v>0.025</v>
      </c>
      <c r="E22" s="127">
        <f t="shared" si="10"/>
        <v>0.05</v>
      </c>
      <c r="F22" s="127">
        <f t="shared" si="10"/>
        <v>0</v>
      </c>
      <c r="G22" s="127">
        <f t="shared" si="10"/>
        <v>0</v>
      </c>
      <c r="H22" s="127">
        <f t="shared" si="10"/>
        <v>0</v>
      </c>
      <c r="I22" s="127">
        <f t="shared" si="10"/>
        <v>0</v>
      </c>
      <c r="J22" s="127">
        <f t="shared" si="10"/>
        <v>0</v>
      </c>
      <c r="K22" s="127">
        <f t="shared" si="10"/>
        <v>0.025</v>
      </c>
      <c r="L22" s="127">
        <f t="shared" si="10"/>
        <v>0</v>
      </c>
      <c r="M22" s="127">
        <f t="shared" si="10"/>
        <v>0</v>
      </c>
      <c r="N22" s="127">
        <f t="shared" si="10"/>
        <v>0</v>
      </c>
      <c r="O22" s="127">
        <f t="shared" si="10"/>
        <v>0.025</v>
      </c>
      <c r="P22" s="127">
        <f t="shared" si="10"/>
        <v>0</v>
      </c>
      <c r="Q22" s="127">
        <f t="shared" si="10"/>
        <v>0</v>
      </c>
      <c r="R22" s="127">
        <f t="shared" si="10"/>
        <v>0.05</v>
      </c>
      <c r="S22" s="127">
        <f t="shared" si="10"/>
        <v>0.05</v>
      </c>
      <c r="T22" s="127">
        <f t="shared" si="10"/>
        <v>0</v>
      </c>
      <c r="U22" s="174">
        <f>SUM(C22:T22)</f>
        <v>0.25</v>
      </c>
    </row>
    <row r="23">
      <c r="A23" s="12">
        <v>11.0</v>
      </c>
      <c r="B23" s="127" t="s">
        <v>879</v>
      </c>
      <c r="C23" s="127">
        <v>1.0</v>
      </c>
      <c r="D23" s="127">
        <v>1.0</v>
      </c>
      <c r="E23" s="127">
        <v>0.0</v>
      </c>
      <c r="F23" s="175">
        <v>0.0</v>
      </c>
      <c r="G23" s="175">
        <v>0.0</v>
      </c>
      <c r="H23" s="175">
        <v>0.0</v>
      </c>
      <c r="I23" s="127">
        <v>0.0</v>
      </c>
      <c r="J23" s="127">
        <v>0.0</v>
      </c>
      <c r="K23" s="127">
        <v>0.0</v>
      </c>
      <c r="L23" s="127">
        <v>0.0</v>
      </c>
      <c r="M23" s="127">
        <v>0.0</v>
      </c>
      <c r="N23" s="127">
        <v>0.0</v>
      </c>
      <c r="O23" s="127">
        <v>0.0</v>
      </c>
      <c r="P23" s="127">
        <v>0.0</v>
      </c>
      <c r="Q23" s="127">
        <v>0.0</v>
      </c>
      <c r="R23" s="127">
        <v>0.0</v>
      </c>
      <c r="S23" s="127">
        <v>0.0</v>
      </c>
      <c r="T23" s="127">
        <v>0.0</v>
      </c>
      <c r="U23" s="58"/>
    </row>
    <row r="24">
      <c r="A24" s="12">
        <v>11.0</v>
      </c>
      <c r="B24" s="127" t="s">
        <v>880</v>
      </c>
      <c r="C24" s="127">
        <f t="shared" ref="C24:T24" si="11">C$2*C23</f>
        <v>0.025</v>
      </c>
      <c r="D24" s="127">
        <f t="shared" si="11"/>
        <v>0.025</v>
      </c>
      <c r="E24" s="127">
        <f t="shared" si="11"/>
        <v>0</v>
      </c>
      <c r="F24" s="127">
        <f t="shared" si="11"/>
        <v>0</v>
      </c>
      <c r="G24" s="127">
        <f t="shared" si="11"/>
        <v>0</v>
      </c>
      <c r="H24" s="127">
        <f t="shared" si="11"/>
        <v>0</v>
      </c>
      <c r="I24" s="127">
        <f t="shared" si="11"/>
        <v>0</v>
      </c>
      <c r="J24" s="127">
        <f t="shared" si="11"/>
        <v>0</v>
      </c>
      <c r="K24" s="127">
        <f t="shared" si="11"/>
        <v>0</v>
      </c>
      <c r="L24" s="127">
        <f t="shared" si="11"/>
        <v>0</v>
      </c>
      <c r="M24" s="127">
        <f t="shared" si="11"/>
        <v>0</v>
      </c>
      <c r="N24" s="127">
        <f t="shared" si="11"/>
        <v>0</v>
      </c>
      <c r="O24" s="127">
        <f t="shared" si="11"/>
        <v>0</v>
      </c>
      <c r="P24" s="127">
        <f t="shared" si="11"/>
        <v>0</v>
      </c>
      <c r="Q24" s="127">
        <f t="shared" si="11"/>
        <v>0</v>
      </c>
      <c r="R24" s="127">
        <f t="shared" si="11"/>
        <v>0</v>
      </c>
      <c r="S24" s="127">
        <f t="shared" si="11"/>
        <v>0</v>
      </c>
      <c r="T24" s="127">
        <f t="shared" si="11"/>
        <v>0</v>
      </c>
      <c r="U24" s="174">
        <f>SUM(C24:T24)</f>
        <v>0.05</v>
      </c>
    </row>
    <row r="25">
      <c r="A25" s="12">
        <v>16.0</v>
      </c>
      <c r="B25" s="127" t="s">
        <v>879</v>
      </c>
      <c r="C25" s="127">
        <v>1.0</v>
      </c>
      <c r="D25" s="127">
        <v>1.0</v>
      </c>
      <c r="E25" s="127">
        <v>1.0</v>
      </c>
      <c r="F25" s="127">
        <v>1.0</v>
      </c>
      <c r="G25" s="127">
        <v>1.0</v>
      </c>
      <c r="H25" s="127">
        <v>1.0</v>
      </c>
      <c r="I25" s="127">
        <v>0.0</v>
      </c>
      <c r="J25" s="127">
        <v>1.0</v>
      </c>
      <c r="K25" s="127">
        <v>0.0</v>
      </c>
      <c r="L25" s="127">
        <v>1.0</v>
      </c>
      <c r="M25" s="127">
        <v>0.5</v>
      </c>
      <c r="N25" s="127">
        <v>0.5</v>
      </c>
      <c r="O25" s="127">
        <v>0.0</v>
      </c>
      <c r="P25" s="127">
        <v>0.0</v>
      </c>
      <c r="Q25" s="127">
        <v>0.0</v>
      </c>
      <c r="R25" s="127">
        <v>0.0</v>
      </c>
      <c r="S25" s="127">
        <v>0.0</v>
      </c>
      <c r="T25" s="127">
        <v>0.0</v>
      </c>
      <c r="U25" s="58"/>
    </row>
    <row r="26">
      <c r="A26" s="12">
        <v>16.0</v>
      </c>
      <c r="B26" s="127" t="s">
        <v>880</v>
      </c>
      <c r="C26" s="127">
        <f t="shared" ref="C26:T26" si="12">C$2*C25</f>
        <v>0.025</v>
      </c>
      <c r="D26" s="127">
        <f t="shared" si="12"/>
        <v>0.025</v>
      </c>
      <c r="E26" s="127">
        <f t="shared" si="12"/>
        <v>0.05</v>
      </c>
      <c r="F26" s="127">
        <f t="shared" si="12"/>
        <v>0.025</v>
      </c>
      <c r="G26" s="127">
        <f t="shared" si="12"/>
        <v>0.025</v>
      </c>
      <c r="H26" s="127">
        <f t="shared" si="12"/>
        <v>0.05</v>
      </c>
      <c r="I26" s="127">
        <f t="shared" si="12"/>
        <v>0</v>
      </c>
      <c r="J26" s="127">
        <f t="shared" si="12"/>
        <v>0.025</v>
      </c>
      <c r="K26" s="127">
        <f t="shared" si="12"/>
        <v>0</v>
      </c>
      <c r="L26" s="127">
        <f t="shared" si="12"/>
        <v>0.05</v>
      </c>
      <c r="M26" s="127">
        <f t="shared" si="12"/>
        <v>0.025</v>
      </c>
      <c r="N26" s="127">
        <f t="shared" si="12"/>
        <v>0.025</v>
      </c>
      <c r="O26" s="127">
        <f t="shared" si="12"/>
        <v>0</v>
      </c>
      <c r="P26" s="127">
        <f t="shared" si="12"/>
        <v>0</v>
      </c>
      <c r="Q26" s="127">
        <f t="shared" si="12"/>
        <v>0</v>
      </c>
      <c r="R26" s="127">
        <f t="shared" si="12"/>
        <v>0</v>
      </c>
      <c r="S26" s="127">
        <f t="shared" si="12"/>
        <v>0</v>
      </c>
      <c r="T26" s="127">
        <f t="shared" si="12"/>
        <v>0</v>
      </c>
      <c r="U26" s="174">
        <f>SUM(C26:T26)</f>
        <v>0.325</v>
      </c>
    </row>
    <row r="27">
      <c r="A27" s="172"/>
      <c r="B27" s="177"/>
      <c r="C27" s="177"/>
      <c r="D27" s="177"/>
      <c r="E27" s="177"/>
      <c r="F27" s="177"/>
      <c r="G27" s="177"/>
      <c r="H27" s="177"/>
      <c r="I27" s="177"/>
      <c r="J27" s="177"/>
      <c r="K27" s="177"/>
      <c r="L27" s="177"/>
      <c r="M27" s="177"/>
      <c r="N27" s="177"/>
      <c r="O27" s="177"/>
      <c r="P27" s="177"/>
      <c r="Q27" s="177"/>
      <c r="R27" s="177"/>
      <c r="S27" s="177"/>
      <c r="T27" s="177"/>
      <c r="U27" s="178"/>
    </row>
    <row r="28">
      <c r="A28" s="172"/>
      <c r="B28" s="177"/>
      <c r="C28" s="177"/>
      <c r="D28" s="177"/>
      <c r="E28" s="177"/>
      <c r="F28" s="177"/>
      <c r="G28" s="177"/>
      <c r="H28" s="177"/>
      <c r="I28" s="177"/>
      <c r="J28" s="177"/>
      <c r="K28" s="177"/>
      <c r="L28" s="177"/>
      <c r="M28" s="177"/>
      <c r="N28" s="177"/>
      <c r="O28" s="177"/>
      <c r="P28" s="177"/>
      <c r="Q28" s="177"/>
      <c r="R28" s="177"/>
      <c r="S28" s="177"/>
      <c r="T28" s="177"/>
      <c r="U28" s="178"/>
    </row>
    <row r="29">
      <c r="A29" s="172"/>
      <c r="B29" s="177"/>
      <c r="C29" s="177"/>
      <c r="D29" s="177"/>
      <c r="E29" s="177"/>
      <c r="F29" s="177"/>
      <c r="G29" s="177"/>
      <c r="H29" s="177"/>
      <c r="I29" s="177"/>
      <c r="J29" s="177"/>
      <c r="K29" s="177"/>
      <c r="L29" s="177"/>
      <c r="M29" s="177"/>
      <c r="N29" s="177"/>
      <c r="O29" s="177"/>
      <c r="P29" s="177"/>
      <c r="Q29" s="177"/>
      <c r="R29" s="177"/>
      <c r="S29" s="177"/>
      <c r="T29" s="177"/>
      <c r="U29" s="178"/>
    </row>
    <row r="30">
      <c r="A30" s="172"/>
      <c r="B30" s="177"/>
      <c r="C30" s="177"/>
      <c r="D30" s="177"/>
      <c r="E30" s="177"/>
      <c r="F30" s="177"/>
      <c r="G30" s="177"/>
      <c r="H30" s="177"/>
      <c r="I30" s="177"/>
      <c r="J30" s="177"/>
      <c r="K30" s="177"/>
      <c r="L30" s="177"/>
      <c r="M30" s="177"/>
      <c r="N30" s="177"/>
      <c r="O30" s="177"/>
      <c r="P30" s="177"/>
      <c r="Q30" s="177"/>
      <c r="R30" s="177"/>
      <c r="S30" s="177"/>
      <c r="T30" s="177"/>
      <c r="U30" s="178"/>
    </row>
    <row r="31">
      <c r="A31" s="172"/>
      <c r="B31" s="177"/>
      <c r="C31" s="177"/>
      <c r="D31" s="177"/>
      <c r="E31" s="177"/>
      <c r="F31" s="177"/>
      <c r="G31" s="177"/>
      <c r="H31" s="177"/>
      <c r="I31" s="177"/>
      <c r="J31" s="177"/>
      <c r="K31" s="177"/>
      <c r="L31" s="177"/>
      <c r="M31" s="177"/>
      <c r="N31" s="177"/>
      <c r="O31" s="177"/>
      <c r="P31" s="177"/>
      <c r="Q31" s="177"/>
      <c r="R31" s="177"/>
      <c r="S31" s="177"/>
      <c r="T31" s="177"/>
      <c r="U31" s="178"/>
    </row>
    <row r="32">
      <c r="A32" s="172"/>
      <c r="B32" s="177"/>
      <c r="C32" s="177"/>
      <c r="D32" s="177"/>
      <c r="E32" s="177"/>
      <c r="F32" s="177"/>
      <c r="G32" s="177"/>
      <c r="H32" s="177"/>
      <c r="I32" s="177"/>
      <c r="J32" s="177"/>
      <c r="K32" s="177"/>
      <c r="L32" s="177"/>
      <c r="M32" s="177"/>
      <c r="N32" s="177"/>
      <c r="O32" s="177"/>
      <c r="P32" s="177"/>
      <c r="Q32" s="177"/>
      <c r="R32" s="177"/>
      <c r="S32" s="177"/>
      <c r="T32" s="177"/>
      <c r="U32" s="178"/>
    </row>
    <row r="33">
      <c r="A33" s="172"/>
      <c r="B33" s="177"/>
      <c r="C33" s="177"/>
      <c r="D33" s="177"/>
      <c r="E33" s="177"/>
      <c r="F33" s="177"/>
      <c r="G33" s="177"/>
      <c r="H33" s="177"/>
      <c r="I33" s="177"/>
      <c r="J33" s="177"/>
      <c r="K33" s="177"/>
      <c r="L33" s="177"/>
      <c r="M33" s="177"/>
      <c r="N33" s="177"/>
      <c r="O33" s="177"/>
      <c r="P33" s="177"/>
      <c r="Q33" s="177"/>
      <c r="R33" s="177"/>
      <c r="S33" s="177"/>
      <c r="T33" s="177"/>
      <c r="U33" s="178"/>
    </row>
    <row r="34">
      <c r="A34" s="172"/>
      <c r="B34" s="177"/>
      <c r="C34" s="177"/>
      <c r="D34" s="177"/>
      <c r="E34" s="177"/>
      <c r="F34" s="177"/>
      <c r="G34" s="177"/>
      <c r="H34" s="177"/>
      <c r="I34" s="177"/>
      <c r="J34" s="177"/>
      <c r="K34" s="177"/>
      <c r="L34" s="177"/>
      <c r="M34" s="177"/>
      <c r="N34" s="177"/>
      <c r="O34" s="177"/>
      <c r="P34" s="177"/>
      <c r="Q34" s="177"/>
      <c r="R34" s="177"/>
      <c r="S34" s="177"/>
      <c r="T34" s="177"/>
      <c r="U34" s="178"/>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5" t="s">
        <v>881</v>
      </c>
      <c r="B1" s="9" t="s">
        <v>2</v>
      </c>
      <c r="C1" s="10" t="s">
        <v>3</v>
      </c>
      <c r="D1" s="11" t="s">
        <v>533</v>
      </c>
      <c r="E1" s="120" t="s">
        <v>537</v>
      </c>
      <c r="F1" s="120" t="s">
        <v>704</v>
      </c>
      <c r="G1" s="120" t="s">
        <v>705</v>
      </c>
      <c r="H1" s="120" t="s">
        <v>706</v>
      </c>
      <c r="I1" s="120" t="s">
        <v>708</v>
      </c>
      <c r="J1" s="121" t="s">
        <v>709</v>
      </c>
      <c r="K1" s="121" t="s">
        <v>710</v>
      </c>
      <c r="L1" s="121" t="s">
        <v>711</v>
      </c>
      <c r="M1" s="121" t="s">
        <v>712</v>
      </c>
      <c r="N1" s="121" t="s">
        <v>713</v>
      </c>
      <c r="O1" s="121" t="s">
        <v>714</v>
      </c>
      <c r="P1" s="121" t="s">
        <v>715</v>
      </c>
      <c r="Q1" s="121" t="s">
        <v>716</v>
      </c>
      <c r="R1" s="121" t="s">
        <v>717</v>
      </c>
      <c r="S1" s="121" t="s">
        <v>718</v>
      </c>
      <c r="T1" s="121" t="s">
        <v>719</v>
      </c>
      <c r="U1" s="121" t="s">
        <v>720</v>
      </c>
      <c r="V1" s="121" t="s">
        <v>721</v>
      </c>
      <c r="W1" s="121" t="s">
        <v>722</v>
      </c>
      <c r="X1" s="121" t="s">
        <v>723</v>
      </c>
      <c r="Y1" s="121" t="s">
        <v>724</v>
      </c>
      <c r="Z1" s="122" t="s">
        <v>725</v>
      </c>
      <c r="AA1" s="122" t="s">
        <v>726</v>
      </c>
      <c r="AB1" s="122" t="s">
        <v>727</v>
      </c>
      <c r="AC1" s="123" t="s">
        <v>728</v>
      </c>
      <c r="AD1" s="35"/>
      <c r="AE1" s="35"/>
      <c r="AF1" s="35"/>
      <c r="AG1" s="35"/>
      <c r="AH1" s="35"/>
      <c r="AI1" s="35"/>
      <c r="AJ1" s="35"/>
      <c r="AK1" s="35"/>
      <c r="AL1" s="35"/>
      <c r="AM1" s="35"/>
      <c r="AN1" s="35"/>
      <c r="AO1" s="35"/>
      <c r="AP1" s="35"/>
      <c r="AQ1" s="35"/>
      <c r="AR1" s="35"/>
      <c r="AS1" s="35"/>
      <c r="AT1" s="35"/>
    </row>
    <row r="2">
      <c r="A2" s="12"/>
      <c r="B2" s="12">
        <v>8.0</v>
      </c>
      <c r="C2" s="170" t="s">
        <v>51</v>
      </c>
      <c r="D2" s="15">
        <v>44204.0</v>
      </c>
      <c r="E2" s="14">
        <v>2020.0</v>
      </c>
      <c r="F2" s="14">
        <v>139868.0</v>
      </c>
      <c r="G2" s="14">
        <v>144140.0</v>
      </c>
      <c r="H2" s="14">
        <v>141100.0</v>
      </c>
      <c r="I2" s="14">
        <v>5189893.0</v>
      </c>
      <c r="J2" s="14">
        <v>1680841.0</v>
      </c>
      <c r="K2" s="14">
        <v>26999.0</v>
      </c>
      <c r="L2" s="129"/>
      <c r="M2" s="14">
        <v>96877.0</v>
      </c>
      <c r="N2" s="14">
        <v>230858.0</v>
      </c>
      <c r="O2" s="14">
        <v>21661.0</v>
      </c>
      <c r="P2" s="14">
        <v>2546.0</v>
      </c>
      <c r="Q2" s="14">
        <v>6188.0</v>
      </c>
      <c r="R2" s="129"/>
      <c r="S2" s="14">
        <v>20086.0</v>
      </c>
      <c r="T2" s="129"/>
      <c r="U2" s="129"/>
      <c r="V2" s="14">
        <v>64723.0</v>
      </c>
      <c r="W2" s="129"/>
      <c r="X2" s="129"/>
      <c r="Y2" s="14">
        <v>2858340.0</v>
      </c>
      <c r="Z2" s="12">
        <v>195327.0</v>
      </c>
      <c r="AA2" s="12">
        <v>146793.0</v>
      </c>
      <c r="AB2" s="126"/>
      <c r="AC2" s="126">
        <f t="shared" ref="AC2:AC5" si="1">SUM(N2:Z2,H2:L2,F2)</f>
        <v>10578430</v>
      </c>
      <c r="AD2" s="35"/>
      <c r="AE2" s="35"/>
      <c r="AF2" s="35"/>
      <c r="AG2" s="35"/>
      <c r="AH2" s="35"/>
      <c r="AI2" s="35"/>
      <c r="AJ2" s="35"/>
      <c r="AK2" s="35"/>
      <c r="AL2" s="35"/>
    </row>
    <row r="3">
      <c r="A3" s="12"/>
      <c r="B3" s="12"/>
      <c r="C3" s="170"/>
      <c r="D3" s="15"/>
      <c r="E3" s="14"/>
      <c r="F3" s="14"/>
      <c r="G3" s="14"/>
      <c r="H3" s="14"/>
      <c r="I3" s="14"/>
      <c r="J3" s="14"/>
      <c r="K3" s="14"/>
      <c r="L3" s="129"/>
      <c r="M3" s="14"/>
      <c r="N3" s="14"/>
      <c r="O3" s="14"/>
      <c r="P3" s="14"/>
      <c r="Q3" s="14"/>
      <c r="R3" s="129"/>
      <c r="S3" s="14"/>
      <c r="T3" s="129"/>
      <c r="U3" s="129"/>
      <c r="V3" s="14"/>
      <c r="W3" s="129"/>
      <c r="X3" s="129"/>
      <c r="Y3" s="14"/>
      <c r="Z3" s="126"/>
      <c r="AA3" s="126"/>
      <c r="AB3" s="126"/>
      <c r="AC3" s="126">
        <f t="shared" si="1"/>
        <v>0</v>
      </c>
      <c r="AD3" s="35"/>
      <c r="AE3" s="35"/>
      <c r="AF3" s="35"/>
      <c r="AG3" s="35"/>
      <c r="AH3" s="35"/>
      <c r="AI3" s="35"/>
      <c r="AJ3" s="35"/>
      <c r="AK3" s="35"/>
      <c r="AL3" s="35"/>
    </row>
    <row r="4">
      <c r="A4" s="12"/>
      <c r="B4" s="12"/>
      <c r="C4" s="170"/>
      <c r="D4" s="15"/>
      <c r="E4" s="14"/>
      <c r="F4" s="14"/>
      <c r="G4" s="14"/>
      <c r="H4" s="14"/>
      <c r="I4" s="14"/>
      <c r="J4" s="14"/>
      <c r="K4" s="14"/>
      <c r="L4" s="129"/>
      <c r="M4" s="14"/>
      <c r="N4" s="14"/>
      <c r="O4" s="14"/>
      <c r="P4" s="14"/>
      <c r="Q4" s="14"/>
      <c r="R4" s="129"/>
      <c r="S4" s="14"/>
      <c r="T4" s="129"/>
      <c r="U4" s="129"/>
      <c r="V4" s="14"/>
      <c r="W4" s="129"/>
      <c r="X4" s="129"/>
      <c r="Y4" s="14"/>
      <c r="Z4" s="126"/>
      <c r="AA4" s="126"/>
      <c r="AB4" s="126"/>
      <c r="AC4" s="126">
        <f t="shared" si="1"/>
        <v>0</v>
      </c>
      <c r="AD4" s="35"/>
      <c r="AE4" s="35"/>
      <c r="AF4" s="35"/>
      <c r="AG4" s="35"/>
      <c r="AH4" s="35"/>
      <c r="AI4" s="35"/>
      <c r="AJ4" s="35"/>
      <c r="AK4" s="35"/>
      <c r="AL4" s="35"/>
    </row>
    <row r="5">
      <c r="A5" s="12"/>
      <c r="B5" s="12"/>
      <c r="C5" s="170"/>
      <c r="D5" s="15"/>
      <c r="E5" s="14"/>
      <c r="F5" s="14"/>
      <c r="G5" s="14"/>
      <c r="H5" s="14"/>
      <c r="I5" s="14"/>
      <c r="J5" s="14"/>
      <c r="K5" s="14"/>
      <c r="L5" s="129"/>
      <c r="M5" s="14"/>
      <c r="N5" s="14"/>
      <c r="O5" s="14"/>
      <c r="P5" s="14"/>
      <c r="Q5" s="14"/>
      <c r="R5" s="129"/>
      <c r="S5" s="14"/>
      <c r="T5" s="129"/>
      <c r="U5" s="129"/>
      <c r="V5" s="14"/>
      <c r="W5" s="129"/>
      <c r="X5" s="129"/>
      <c r="Y5" s="14"/>
      <c r="Z5" s="126"/>
      <c r="AA5" s="126"/>
      <c r="AB5" s="126"/>
      <c r="AC5" s="126">
        <f t="shared" si="1"/>
        <v>0</v>
      </c>
      <c r="AD5" s="35"/>
      <c r="AE5" s="35"/>
      <c r="AF5" s="35"/>
      <c r="AG5" s="35"/>
      <c r="AH5" s="35"/>
      <c r="AI5" s="35"/>
      <c r="AJ5" s="35"/>
      <c r="AK5" s="35"/>
      <c r="AL5" s="35"/>
    </row>
    <row r="6">
      <c r="A6" s="148"/>
      <c r="B6" s="148"/>
      <c r="C6" s="148"/>
      <c r="D6" s="148"/>
      <c r="E6" s="148"/>
      <c r="F6" s="148"/>
      <c r="G6" s="148"/>
      <c r="H6" s="148"/>
      <c r="I6" s="148"/>
      <c r="J6" s="148"/>
      <c r="K6" s="148"/>
      <c r="L6" s="148"/>
      <c r="M6" s="148"/>
      <c r="N6" s="148"/>
      <c r="O6" s="148"/>
      <c r="P6" s="148"/>
      <c r="Q6" s="148"/>
      <c r="R6" s="148"/>
      <c r="S6" s="148"/>
      <c r="T6" s="148"/>
      <c r="U6" s="148"/>
      <c r="V6" s="148"/>
      <c r="W6" s="148"/>
      <c r="X6" s="148"/>
      <c r="AD6" s="35"/>
      <c r="AE6" s="35"/>
      <c r="AF6" s="35"/>
      <c r="AG6" s="35"/>
      <c r="AH6" s="35"/>
      <c r="AI6" s="35"/>
      <c r="AJ6" s="35"/>
      <c r="AK6" s="35"/>
      <c r="AL6" s="35"/>
    </row>
    <row r="7">
      <c r="A7" s="148"/>
      <c r="B7" s="148"/>
      <c r="C7" s="148"/>
      <c r="D7" s="148"/>
      <c r="E7" s="148"/>
      <c r="F7" s="148"/>
      <c r="G7" s="148"/>
      <c r="H7" s="148"/>
      <c r="I7" s="148"/>
      <c r="J7" s="148"/>
      <c r="K7" s="148"/>
      <c r="L7" s="148"/>
      <c r="M7" s="148"/>
      <c r="N7" s="148"/>
      <c r="O7" s="148"/>
      <c r="P7" s="148"/>
      <c r="Q7" s="148"/>
      <c r="R7" s="148"/>
      <c r="S7" s="148"/>
      <c r="T7" s="148"/>
      <c r="U7" s="148"/>
      <c r="V7" s="148"/>
      <c r="W7" s="148"/>
      <c r="X7" s="148"/>
    </row>
    <row r="8">
      <c r="A8" s="148"/>
      <c r="B8" s="148"/>
      <c r="C8" s="148"/>
      <c r="D8" s="148"/>
      <c r="E8" s="148"/>
      <c r="F8" s="148"/>
      <c r="G8" s="148"/>
      <c r="H8" s="148"/>
      <c r="I8" s="148"/>
      <c r="J8" s="148"/>
      <c r="K8" s="148"/>
      <c r="L8" s="148"/>
      <c r="M8" s="148"/>
      <c r="N8" s="148"/>
      <c r="O8" s="148"/>
      <c r="P8" s="148"/>
      <c r="Q8" s="148"/>
      <c r="R8" s="148"/>
      <c r="S8" s="148"/>
      <c r="T8" s="148"/>
      <c r="U8" s="148"/>
      <c r="V8" s="148"/>
      <c r="W8" s="148"/>
      <c r="X8" s="148"/>
    </row>
    <row r="9">
      <c r="A9" s="148"/>
      <c r="B9" s="148"/>
      <c r="C9" s="148"/>
      <c r="D9" s="148"/>
      <c r="E9" s="148"/>
      <c r="F9" s="148"/>
      <c r="G9" s="148"/>
      <c r="H9" s="148"/>
      <c r="I9" s="148"/>
      <c r="J9" s="148"/>
      <c r="K9" s="148"/>
      <c r="L9" s="148"/>
      <c r="M9" s="148"/>
      <c r="N9" s="148"/>
      <c r="O9" s="148"/>
      <c r="P9" s="148"/>
      <c r="Q9" s="148"/>
      <c r="R9" s="148"/>
      <c r="S9" s="148"/>
      <c r="T9" s="148"/>
      <c r="U9" s="148"/>
      <c r="V9" s="148"/>
      <c r="W9" s="148"/>
      <c r="X9" s="148"/>
    </row>
    <row r="10">
      <c r="A10" s="148"/>
      <c r="B10" s="148"/>
      <c r="C10" s="148"/>
      <c r="D10" s="148"/>
      <c r="E10" s="148"/>
      <c r="F10" s="148"/>
      <c r="G10" s="148"/>
      <c r="H10" s="148"/>
      <c r="I10" s="148"/>
      <c r="J10" s="148"/>
      <c r="K10" s="148"/>
      <c r="L10" s="148"/>
      <c r="M10" s="148"/>
      <c r="N10" s="148"/>
      <c r="O10" s="148"/>
      <c r="P10" s="148"/>
      <c r="Q10" s="148"/>
      <c r="R10" s="148"/>
      <c r="S10" s="148"/>
      <c r="T10" s="148"/>
      <c r="U10" s="148"/>
      <c r="V10" s="148"/>
      <c r="W10" s="148"/>
      <c r="X10" s="148"/>
    </row>
    <row r="11">
      <c r="A11" s="148"/>
      <c r="B11" s="148"/>
      <c r="C11" s="148"/>
      <c r="D11" s="148"/>
      <c r="E11" s="148"/>
      <c r="F11" s="148"/>
      <c r="G11" s="148"/>
      <c r="H11" s="148"/>
      <c r="I11" s="148"/>
      <c r="J11" s="148"/>
      <c r="K11" s="148"/>
      <c r="L11" s="148"/>
      <c r="M11" s="148"/>
      <c r="N11" s="148"/>
      <c r="O11" s="148"/>
      <c r="P11" s="148"/>
      <c r="Q11" s="148"/>
      <c r="R11" s="148"/>
      <c r="S11" s="148"/>
      <c r="T11" s="148"/>
      <c r="U11" s="148"/>
      <c r="V11" s="148"/>
      <c r="W11" s="148"/>
      <c r="X11" s="148"/>
    </row>
    <row r="12">
      <c r="A12" s="148"/>
      <c r="B12" s="148"/>
      <c r="C12" s="148"/>
      <c r="D12" s="148"/>
      <c r="E12" s="148"/>
      <c r="F12" s="148"/>
      <c r="G12" s="148"/>
      <c r="H12" s="148"/>
      <c r="I12" s="148"/>
      <c r="J12" s="148"/>
      <c r="K12" s="148"/>
      <c r="L12" s="148"/>
      <c r="M12" s="148"/>
      <c r="N12" s="148"/>
      <c r="O12" s="148"/>
      <c r="P12" s="148"/>
      <c r="Q12" s="148"/>
      <c r="R12" s="148"/>
      <c r="S12" s="148"/>
      <c r="T12" s="148"/>
      <c r="U12" s="148"/>
      <c r="V12" s="148"/>
      <c r="W12" s="148"/>
      <c r="X12" s="148"/>
    </row>
    <row r="13">
      <c r="A13" s="148"/>
      <c r="B13" s="148"/>
      <c r="C13" s="148"/>
      <c r="D13" s="148"/>
      <c r="E13" s="148"/>
      <c r="F13" s="148"/>
      <c r="G13" s="148"/>
      <c r="H13" s="148"/>
      <c r="I13" s="148"/>
      <c r="J13" s="148"/>
      <c r="K13" s="148"/>
      <c r="L13" s="148"/>
      <c r="M13" s="148"/>
      <c r="N13" s="148"/>
      <c r="O13" s="148"/>
      <c r="P13" s="148"/>
      <c r="Q13" s="148"/>
      <c r="R13" s="148"/>
      <c r="S13" s="148"/>
      <c r="T13" s="148"/>
      <c r="U13" s="148"/>
      <c r="V13" s="148"/>
      <c r="W13" s="148"/>
      <c r="X13" s="148"/>
    </row>
    <row r="14">
      <c r="A14" s="148"/>
      <c r="B14" s="148"/>
      <c r="C14" s="148"/>
      <c r="D14" s="148"/>
      <c r="E14" s="148"/>
      <c r="F14" s="148"/>
      <c r="G14" s="148"/>
      <c r="H14" s="148"/>
      <c r="I14" s="148"/>
      <c r="J14" s="148"/>
      <c r="K14" s="148"/>
      <c r="L14" s="148"/>
      <c r="M14" s="148"/>
      <c r="N14" s="148"/>
      <c r="O14" s="148"/>
      <c r="P14" s="148"/>
      <c r="Q14" s="148"/>
      <c r="R14" s="148"/>
      <c r="S14" s="148"/>
      <c r="T14" s="148"/>
      <c r="U14" s="148"/>
      <c r="V14" s="148"/>
      <c r="W14" s="148"/>
      <c r="X14" s="148"/>
    </row>
    <row r="15">
      <c r="A15" s="148"/>
      <c r="B15" s="148"/>
      <c r="C15" s="148"/>
      <c r="D15" s="148"/>
      <c r="E15" s="148"/>
      <c r="F15" s="148"/>
      <c r="G15" s="148"/>
      <c r="H15" s="148"/>
      <c r="I15" s="148"/>
      <c r="J15" s="148"/>
      <c r="K15" s="148"/>
      <c r="L15" s="148"/>
      <c r="M15" s="148"/>
      <c r="N15" s="148"/>
      <c r="O15" s="148"/>
      <c r="P15" s="148"/>
      <c r="Q15" s="148"/>
      <c r="R15" s="148"/>
      <c r="S15" s="148"/>
      <c r="T15" s="148"/>
      <c r="U15" s="148"/>
      <c r="V15" s="148"/>
      <c r="W15" s="148"/>
      <c r="X15" s="148"/>
    </row>
    <row r="16">
      <c r="A16" s="148"/>
      <c r="B16" s="148"/>
      <c r="C16" s="148"/>
      <c r="D16" s="148"/>
      <c r="E16" s="148"/>
      <c r="F16" s="148"/>
      <c r="G16" s="148"/>
      <c r="H16" s="148"/>
      <c r="I16" s="148"/>
      <c r="J16" s="148"/>
      <c r="K16" s="148"/>
      <c r="L16" s="148"/>
      <c r="M16" s="148"/>
      <c r="N16" s="148"/>
      <c r="O16" s="148"/>
      <c r="P16" s="148"/>
      <c r="Q16" s="148"/>
      <c r="R16" s="148"/>
      <c r="S16" s="148"/>
      <c r="T16" s="148"/>
      <c r="U16" s="148"/>
      <c r="V16" s="148"/>
      <c r="W16" s="148"/>
      <c r="X16" s="148"/>
    </row>
    <row r="17">
      <c r="A17" s="148"/>
      <c r="B17" s="148"/>
      <c r="C17" s="148"/>
      <c r="D17" s="148"/>
      <c r="E17" s="148"/>
      <c r="F17" s="148"/>
      <c r="G17" s="148"/>
      <c r="H17" s="148"/>
      <c r="I17" s="148"/>
      <c r="J17" s="148"/>
      <c r="K17" s="148"/>
      <c r="L17" s="148"/>
      <c r="M17" s="148"/>
      <c r="N17" s="148"/>
      <c r="O17" s="148"/>
      <c r="P17" s="148"/>
      <c r="Q17" s="148"/>
      <c r="R17" s="148"/>
      <c r="S17" s="148"/>
      <c r="T17" s="148"/>
      <c r="U17" s="148"/>
      <c r="V17" s="148"/>
      <c r="W17" s="148"/>
      <c r="X17" s="148"/>
    </row>
    <row r="18">
      <c r="A18" s="148"/>
      <c r="B18" s="148"/>
      <c r="C18" s="148"/>
      <c r="D18" s="148"/>
      <c r="E18" s="148"/>
      <c r="F18" s="148"/>
      <c r="G18" s="148"/>
      <c r="H18" s="148"/>
      <c r="I18" s="148"/>
      <c r="J18" s="148"/>
      <c r="K18" s="148"/>
      <c r="L18" s="148"/>
      <c r="M18" s="148"/>
      <c r="N18" s="148"/>
      <c r="O18" s="148"/>
      <c r="P18" s="148"/>
      <c r="Q18" s="148"/>
      <c r="R18" s="148"/>
      <c r="S18" s="148"/>
      <c r="T18" s="148"/>
      <c r="U18" s="148"/>
      <c r="V18" s="148"/>
      <c r="W18" s="148"/>
      <c r="X18" s="148"/>
    </row>
    <row r="19">
      <c r="A19" s="148"/>
      <c r="B19" s="148"/>
      <c r="C19" s="148"/>
      <c r="D19" s="148"/>
      <c r="E19" s="148"/>
      <c r="F19" s="148"/>
      <c r="G19" s="148"/>
      <c r="H19" s="148"/>
      <c r="I19" s="148"/>
      <c r="J19" s="148"/>
      <c r="K19" s="148"/>
      <c r="L19" s="148"/>
      <c r="M19" s="148"/>
      <c r="N19" s="148"/>
      <c r="O19" s="148"/>
      <c r="P19" s="148"/>
      <c r="Q19" s="148"/>
      <c r="R19" s="148"/>
      <c r="S19" s="148"/>
      <c r="T19" s="148"/>
      <c r="U19" s="148"/>
      <c r="V19" s="148"/>
      <c r="W19" s="148"/>
      <c r="X19" s="14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79" t="s">
        <v>3</v>
      </c>
      <c r="B1" s="179" t="s">
        <v>882</v>
      </c>
      <c r="C1" s="179" t="s">
        <v>2</v>
      </c>
      <c r="D1" s="179" t="s">
        <v>599</v>
      </c>
      <c r="E1" s="179" t="s">
        <v>883</v>
      </c>
      <c r="F1" s="179" t="s">
        <v>675</v>
      </c>
      <c r="G1" s="179" t="s">
        <v>594</v>
      </c>
      <c r="H1" s="179" t="s">
        <v>884</v>
      </c>
      <c r="I1" s="179" t="s">
        <v>676</v>
      </c>
      <c r="J1" s="179" t="s">
        <v>677</v>
      </c>
      <c r="K1" s="179" t="s">
        <v>678</v>
      </c>
      <c r="L1" s="179" t="s">
        <v>885</v>
      </c>
      <c r="M1" s="179" t="s">
        <v>886</v>
      </c>
      <c r="N1" s="179" t="s">
        <v>606</v>
      </c>
      <c r="O1" s="179" t="s">
        <v>887</v>
      </c>
      <c r="P1" s="179" t="s">
        <v>679</v>
      </c>
      <c r="Q1" s="179" t="s">
        <v>888</v>
      </c>
      <c r="R1" s="179" t="s">
        <v>889</v>
      </c>
      <c r="S1" s="179" t="s">
        <v>890</v>
      </c>
      <c r="T1" s="179" t="s">
        <v>891</v>
      </c>
      <c r="U1" s="179" t="s">
        <v>892</v>
      </c>
      <c r="V1" s="179" t="s">
        <v>893</v>
      </c>
      <c r="W1" s="179" t="s">
        <v>894</v>
      </c>
      <c r="X1" s="180"/>
      <c r="Y1" s="180"/>
      <c r="Z1" s="180"/>
    </row>
    <row r="2">
      <c r="A2" s="181" t="s">
        <v>10</v>
      </c>
      <c r="B2" s="181">
        <v>1.0</v>
      </c>
      <c r="C2" s="181" t="s">
        <v>13</v>
      </c>
      <c r="D2" s="181" t="s">
        <v>895</v>
      </c>
      <c r="E2" s="182" t="s">
        <v>683</v>
      </c>
      <c r="F2" s="179"/>
      <c r="G2" s="181" t="s">
        <v>896</v>
      </c>
      <c r="H2" s="181">
        <v>100.0</v>
      </c>
      <c r="I2" s="181">
        <v>1.0</v>
      </c>
      <c r="J2" s="181">
        <v>1.0</v>
      </c>
      <c r="K2" s="181">
        <v>0.0</v>
      </c>
      <c r="L2" s="181">
        <v>50.0</v>
      </c>
      <c r="M2" s="181">
        <v>0.5</v>
      </c>
      <c r="N2" s="183">
        <v>2002.0</v>
      </c>
      <c r="O2" s="181">
        <v>2025.0</v>
      </c>
      <c r="P2" s="181">
        <v>2015.0</v>
      </c>
      <c r="Q2" s="181">
        <v>1.83E7</v>
      </c>
      <c r="R2" s="181">
        <v>9150000.0</v>
      </c>
      <c r="S2" s="181">
        <v>9150000.0</v>
      </c>
      <c r="T2" s="181">
        <v>0.0</v>
      </c>
      <c r="U2" s="182">
        <v>136.28415300546447</v>
      </c>
      <c r="V2" s="182">
        <v>1.3628</v>
      </c>
      <c r="W2" s="179">
        <f t="shared" ref="W2:W68" si="1">P2-O2</f>
        <v>-10</v>
      </c>
      <c r="X2" s="180"/>
      <c r="Y2" s="180"/>
      <c r="Z2" s="180"/>
    </row>
    <row r="3">
      <c r="A3" s="181" t="s">
        <v>20</v>
      </c>
      <c r="B3" s="181">
        <v>3.0</v>
      </c>
      <c r="C3" s="181" t="s">
        <v>24</v>
      </c>
      <c r="D3" s="181" t="s">
        <v>895</v>
      </c>
      <c r="E3" s="182" t="s">
        <v>683</v>
      </c>
      <c r="F3" s="179"/>
      <c r="G3" s="181" t="s">
        <v>896</v>
      </c>
      <c r="H3" s="181">
        <v>100.0</v>
      </c>
      <c r="I3" s="181">
        <v>1.0</v>
      </c>
      <c r="J3" s="181">
        <v>1.0</v>
      </c>
      <c r="K3" s="181">
        <v>0.0</v>
      </c>
      <c r="L3" s="181">
        <v>25.0</v>
      </c>
      <c r="M3" s="181">
        <v>0.25</v>
      </c>
      <c r="N3" s="183">
        <v>2015.0</v>
      </c>
      <c r="O3" s="181">
        <v>2025.0</v>
      </c>
      <c r="P3" s="181">
        <v>2016.0</v>
      </c>
      <c r="Q3" s="181">
        <v>665467.0</v>
      </c>
      <c r="R3" s="181">
        <v>332733.5</v>
      </c>
      <c r="S3" s="181">
        <v>332733.5</v>
      </c>
      <c r="T3" s="181">
        <v>0.0</v>
      </c>
      <c r="U3" s="182">
        <v>64.53332772323796</v>
      </c>
      <c r="V3" s="182">
        <v>0.6453</v>
      </c>
      <c r="W3" s="179">
        <f t="shared" si="1"/>
        <v>-9</v>
      </c>
      <c r="X3" s="180"/>
      <c r="Y3" s="180"/>
      <c r="Z3" s="180"/>
    </row>
    <row r="4">
      <c r="A4" s="181" t="s">
        <v>20</v>
      </c>
      <c r="B4" s="181">
        <v>3.0</v>
      </c>
      <c r="C4" s="181" t="s">
        <v>24</v>
      </c>
      <c r="D4" s="181" t="s">
        <v>895</v>
      </c>
      <c r="E4" s="182" t="s">
        <v>683</v>
      </c>
      <c r="F4" s="179"/>
      <c r="G4" s="181" t="s">
        <v>896</v>
      </c>
      <c r="H4" s="181">
        <v>100.0</v>
      </c>
      <c r="I4" s="181">
        <v>1.0</v>
      </c>
      <c r="J4" s="181">
        <v>1.0</v>
      </c>
      <c r="K4" s="181">
        <v>0.0</v>
      </c>
      <c r="L4" s="181">
        <v>50.0</v>
      </c>
      <c r="M4" s="181">
        <v>0.5</v>
      </c>
      <c r="N4" s="183">
        <v>2015.0</v>
      </c>
      <c r="O4" s="181">
        <v>2035.0</v>
      </c>
      <c r="P4" s="181">
        <v>2016.0</v>
      </c>
      <c r="Q4" s="181">
        <v>665467.0</v>
      </c>
      <c r="R4" s="181">
        <v>332733.5</v>
      </c>
      <c r="S4" s="181">
        <v>332733.5</v>
      </c>
      <c r="T4" s="181">
        <v>0.0</v>
      </c>
      <c r="U4" s="182">
        <v>32.26666386161898</v>
      </c>
      <c r="V4" s="182">
        <v>0.3227</v>
      </c>
      <c r="W4" s="179">
        <f t="shared" si="1"/>
        <v>-19</v>
      </c>
      <c r="X4" s="180"/>
      <c r="Y4" s="180"/>
      <c r="Z4" s="180"/>
    </row>
    <row r="5">
      <c r="A5" s="181" t="s">
        <v>26</v>
      </c>
      <c r="B5" s="181">
        <v>4.0</v>
      </c>
      <c r="C5" s="181" t="s">
        <v>29</v>
      </c>
      <c r="D5" s="181" t="s">
        <v>895</v>
      </c>
      <c r="E5" s="182" t="s">
        <v>683</v>
      </c>
      <c r="F5" s="179"/>
      <c r="G5" s="181" t="s">
        <v>896</v>
      </c>
      <c r="H5" s="181">
        <v>100.0</v>
      </c>
      <c r="I5" s="181">
        <v>1.0</v>
      </c>
      <c r="J5" s="181">
        <v>1.0</v>
      </c>
      <c r="K5" s="181">
        <v>0.0</v>
      </c>
      <c r="L5" s="181">
        <v>11.0</v>
      </c>
      <c r="M5" s="181">
        <v>0.11</v>
      </c>
      <c r="N5" s="183">
        <v>2016.0</v>
      </c>
      <c r="O5" s="181">
        <v>2025.0</v>
      </c>
      <c r="P5" s="181">
        <v>2016.0</v>
      </c>
      <c r="Q5" s="181">
        <v>1257636.0</v>
      </c>
      <c r="R5" s="181">
        <v>628818.0</v>
      </c>
      <c r="S5" s="181">
        <v>628818.0</v>
      </c>
      <c r="T5" s="181">
        <v>0.0</v>
      </c>
      <c r="U5" s="182">
        <v>66.05466706799686</v>
      </c>
      <c r="V5" s="182">
        <v>0.6605</v>
      </c>
      <c r="W5" s="179">
        <f t="shared" si="1"/>
        <v>-9</v>
      </c>
      <c r="X5" s="180"/>
      <c r="Y5" s="180"/>
      <c r="Z5" s="180"/>
    </row>
    <row r="6">
      <c r="A6" s="181" t="s">
        <v>31</v>
      </c>
      <c r="B6" s="181">
        <v>5.0</v>
      </c>
      <c r="C6" s="181" t="s">
        <v>35</v>
      </c>
      <c r="D6" s="181" t="s">
        <v>895</v>
      </c>
      <c r="E6" s="182" t="s">
        <v>683</v>
      </c>
      <c r="F6" s="179"/>
      <c r="G6" s="181" t="s">
        <v>896</v>
      </c>
      <c r="H6" s="181">
        <v>100.0</v>
      </c>
      <c r="I6" s="181">
        <v>1.0</v>
      </c>
      <c r="J6" s="181">
        <v>1.0</v>
      </c>
      <c r="K6" s="181">
        <v>0.0</v>
      </c>
      <c r="L6" s="181">
        <v>25.0</v>
      </c>
      <c r="M6" s="181">
        <v>0.25</v>
      </c>
      <c r="N6" s="183">
        <v>2015.0</v>
      </c>
      <c r="O6" s="181">
        <v>2025.0</v>
      </c>
      <c r="P6" s="181">
        <v>2016.0</v>
      </c>
      <c r="Q6" s="181">
        <v>64736.0</v>
      </c>
      <c r="R6" s="181">
        <v>32368.0</v>
      </c>
      <c r="S6" s="181">
        <v>32368.0</v>
      </c>
      <c r="T6" s="181">
        <v>0.0</v>
      </c>
      <c r="U6" s="182">
        <v>55.77113198220465</v>
      </c>
      <c r="V6" s="182">
        <v>0.5577</v>
      </c>
      <c r="W6" s="179">
        <f t="shared" si="1"/>
        <v>-9</v>
      </c>
      <c r="X6" s="180"/>
      <c r="Y6" s="180"/>
      <c r="Z6" s="180"/>
    </row>
    <row r="7">
      <c r="A7" s="181" t="s">
        <v>31</v>
      </c>
      <c r="B7" s="181">
        <v>5.0</v>
      </c>
      <c r="C7" s="181" t="s">
        <v>35</v>
      </c>
      <c r="D7" s="181" t="s">
        <v>895</v>
      </c>
      <c r="E7" s="182" t="s">
        <v>683</v>
      </c>
      <c r="F7" s="179"/>
      <c r="G7" s="181" t="s">
        <v>896</v>
      </c>
      <c r="H7" s="181">
        <v>100.0</v>
      </c>
      <c r="I7" s="181">
        <v>1.0</v>
      </c>
      <c r="J7" s="181">
        <v>1.0</v>
      </c>
      <c r="K7" s="181">
        <v>0.0</v>
      </c>
      <c r="L7" s="181">
        <v>80.0</v>
      </c>
      <c r="M7" s="181">
        <v>0.8</v>
      </c>
      <c r="N7" s="183">
        <v>2015.0</v>
      </c>
      <c r="O7" s="181">
        <v>2035.0</v>
      </c>
      <c r="P7" s="181">
        <v>2016.0</v>
      </c>
      <c r="Q7" s="181">
        <v>64736.0</v>
      </c>
      <c r="R7" s="181">
        <v>32368.0</v>
      </c>
      <c r="S7" s="181">
        <v>32368.0</v>
      </c>
      <c r="T7" s="181">
        <v>0.0</v>
      </c>
      <c r="U7" s="182">
        <v>17.42847874443895</v>
      </c>
      <c r="V7" s="182">
        <v>0.1743</v>
      </c>
      <c r="W7" s="179">
        <f t="shared" si="1"/>
        <v>-19</v>
      </c>
      <c r="X7" s="180"/>
      <c r="Y7" s="180"/>
      <c r="Z7" s="180"/>
    </row>
    <row r="8">
      <c r="A8" s="181" t="s">
        <v>897</v>
      </c>
      <c r="B8" s="181">
        <v>7.0</v>
      </c>
      <c r="C8" s="181" t="s">
        <v>898</v>
      </c>
      <c r="D8" s="181" t="s">
        <v>895</v>
      </c>
      <c r="E8" s="182" t="s">
        <v>683</v>
      </c>
      <c r="F8" s="179"/>
      <c r="G8" s="181" t="s">
        <v>896</v>
      </c>
      <c r="H8" s="181">
        <v>100.0</v>
      </c>
      <c r="I8" s="181">
        <v>1.0</v>
      </c>
      <c r="J8" s="181">
        <v>1.0</v>
      </c>
      <c r="K8" s="181">
        <v>0.0</v>
      </c>
      <c r="L8" s="181">
        <v>100.0</v>
      </c>
      <c r="M8" s="181">
        <v>1.0</v>
      </c>
      <c r="N8" s="183">
        <v>2015.0</v>
      </c>
      <c r="O8" s="181">
        <v>2025.0</v>
      </c>
      <c r="P8" s="181">
        <v>2015.0</v>
      </c>
      <c r="Q8" s="181">
        <v>1451418.0</v>
      </c>
      <c r="R8" s="181">
        <v>725709.0</v>
      </c>
      <c r="S8" s="181">
        <v>725709.0</v>
      </c>
      <c r="T8" s="181">
        <v>0.0</v>
      </c>
      <c r="U8" s="182">
        <v>100.0</v>
      </c>
      <c r="V8" s="182">
        <v>1.0</v>
      </c>
      <c r="W8" s="179">
        <f t="shared" si="1"/>
        <v>-10</v>
      </c>
      <c r="X8" s="180"/>
      <c r="Y8" s="180"/>
      <c r="Z8" s="180"/>
    </row>
    <row r="9">
      <c r="A9" s="181" t="s">
        <v>897</v>
      </c>
      <c r="B9" s="181">
        <v>7.0</v>
      </c>
      <c r="C9" s="181" t="s">
        <v>898</v>
      </c>
      <c r="D9" s="181" t="s">
        <v>895</v>
      </c>
      <c r="E9" s="182" t="s">
        <v>683</v>
      </c>
      <c r="F9" s="179"/>
      <c r="G9" s="181" t="s">
        <v>896</v>
      </c>
      <c r="H9" s="181">
        <v>100.0</v>
      </c>
      <c r="I9" s="181">
        <v>1.0</v>
      </c>
      <c r="J9" s="181">
        <v>1.0</v>
      </c>
      <c r="K9" s="181">
        <v>0.0</v>
      </c>
      <c r="L9" s="181">
        <v>100.0</v>
      </c>
      <c r="M9" s="181">
        <v>1.0</v>
      </c>
      <c r="N9" s="183">
        <v>2015.0</v>
      </c>
      <c r="O9" s="181">
        <v>2040.0</v>
      </c>
      <c r="P9" s="181">
        <v>2015.0</v>
      </c>
      <c r="Q9" s="181">
        <v>1451418.0</v>
      </c>
      <c r="R9" s="181">
        <v>725709.0</v>
      </c>
      <c r="S9" s="181">
        <v>725709.0</v>
      </c>
      <c r="T9" s="181">
        <v>0.0</v>
      </c>
      <c r="U9" s="182">
        <v>100.0</v>
      </c>
      <c r="V9" s="182">
        <v>1.0</v>
      </c>
      <c r="W9" s="179">
        <f t="shared" si="1"/>
        <v>-25</v>
      </c>
      <c r="X9" s="180"/>
      <c r="Y9" s="180"/>
      <c r="Z9" s="180"/>
    </row>
    <row r="10">
      <c r="A10" s="181" t="s">
        <v>51</v>
      </c>
      <c r="B10" s="181">
        <v>8.0</v>
      </c>
      <c r="C10" s="181" t="s">
        <v>55</v>
      </c>
      <c r="D10" s="181" t="s">
        <v>895</v>
      </c>
      <c r="E10" s="182" t="s">
        <v>683</v>
      </c>
      <c r="F10" s="179"/>
      <c r="G10" s="181" t="s">
        <v>896</v>
      </c>
      <c r="H10" s="181">
        <v>100.0</v>
      </c>
      <c r="I10" s="181">
        <v>1.0</v>
      </c>
      <c r="J10" s="181">
        <v>1.0</v>
      </c>
      <c r="K10" s="181">
        <v>0.0</v>
      </c>
      <c r="L10" s="181">
        <v>20.0</v>
      </c>
      <c r="M10" s="181">
        <v>0.2</v>
      </c>
      <c r="N10" s="183">
        <v>2015.0</v>
      </c>
      <c r="O10" s="181">
        <v>2025.0</v>
      </c>
      <c r="P10" s="181">
        <v>2016.0</v>
      </c>
      <c r="Q10" s="181">
        <v>392172.0</v>
      </c>
      <c r="R10" s="181">
        <v>196086.0</v>
      </c>
      <c r="S10" s="181">
        <v>196086.0</v>
      </c>
      <c r="T10" s="181">
        <v>0.0</v>
      </c>
      <c r="U10" s="182">
        <v>110.16339769284902</v>
      </c>
      <c r="V10" s="182">
        <v>1.1016</v>
      </c>
      <c r="W10" s="179">
        <f t="shared" si="1"/>
        <v>-9</v>
      </c>
      <c r="X10" s="180"/>
      <c r="Y10" s="180"/>
      <c r="Z10" s="180"/>
    </row>
    <row r="11">
      <c r="A11" s="181" t="s">
        <v>51</v>
      </c>
      <c r="B11" s="181">
        <v>8.0</v>
      </c>
      <c r="C11" s="181" t="s">
        <v>55</v>
      </c>
      <c r="D11" s="181" t="s">
        <v>895</v>
      </c>
      <c r="E11" s="182" t="s">
        <v>683</v>
      </c>
      <c r="F11" s="179"/>
      <c r="G11" s="181" t="s">
        <v>689</v>
      </c>
      <c r="H11" s="181">
        <v>100.0</v>
      </c>
      <c r="I11" s="181">
        <v>0.0</v>
      </c>
      <c r="J11" s="181">
        <v>0.0</v>
      </c>
      <c r="K11" s="181">
        <v>1.0</v>
      </c>
      <c r="L11" s="181">
        <v>15.0</v>
      </c>
      <c r="M11" s="181">
        <v>0.15</v>
      </c>
      <c r="N11" s="183">
        <v>2017.0</v>
      </c>
      <c r="O11" s="181">
        <v>2030.0</v>
      </c>
      <c r="P11" s="181">
        <v>2018.0</v>
      </c>
      <c r="Q11" s="181">
        <v>5264365.0</v>
      </c>
      <c r="R11" s="181">
        <v>0.0</v>
      </c>
      <c r="S11" s="181">
        <v>0.0</v>
      </c>
      <c r="T11" s="181">
        <v>5264365.0</v>
      </c>
      <c r="U11" s="182">
        <v>4.6389893811187735</v>
      </c>
      <c r="V11" s="182">
        <v>0.0464</v>
      </c>
      <c r="W11" s="179">
        <f t="shared" si="1"/>
        <v>-12</v>
      </c>
      <c r="X11" s="180"/>
      <c r="Y11" s="180"/>
      <c r="Z11" s="180"/>
    </row>
    <row r="12">
      <c r="A12" s="181" t="s">
        <v>51</v>
      </c>
      <c r="B12" s="181">
        <v>8.0</v>
      </c>
      <c r="C12" s="181" t="s">
        <v>55</v>
      </c>
      <c r="D12" s="181" t="s">
        <v>895</v>
      </c>
      <c r="E12" s="182" t="s">
        <v>683</v>
      </c>
      <c r="F12" s="179"/>
      <c r="G12" s="181" t="s">
        <v>896</v>
      </c>
      <c r="H12" s="181">
        <v>100.0</v>
      </c>
      <c r="I12" s="181">
        <v>1.0</v>
      </c>
      <c r="J12" s="181">
        <v>1.0</v>
      </c>
      <c r="K12" s="181">
        <v>0.0</v>
      </c>
      <c r="L12" s="181">
        <v>55.0</v>
      </c>
      <c r="M12" s="181">
        <v>0.55</v>
      </c>
      <c r="N12" s="183">
        <v>2017.0</v>
      </c>
      <c r="O12" s="181">
        <v>2030.0</v>
      </c>
      <c r="P12" s="181">
        <v>2019.0</v>
      </c>
      <c r="Q12" s="181">
        <v>337007.0</v>
      </c>
      <c r="R12" s="181">
        <v>168503.5</v>
      </c>
      <c r="S12" s="181">
        <v>168503.5</v>
      </c>
      <c r="T12" s="181">
        <v>0.0</v>
      </c>
      <c r="U12" s="182">
        <v>18.662142707043852</v>
      </c>
      <c r="V12" s="182">
        <v>0.1866</v>
      </c>
      <c r="W12" s="179">
        <f t="shared" si="1"/>
        <v>-11</v>
      </c>
      <c r="X12" s="180"/>
      <c r="Y12" s="180"/>
      <c r="Z12" s="180"/>
    </row>
    <row r="13">
      <c r="A13" s="181" t="s">
        <v>51</v>
      </c>
      <c r="B13" s="181">
        <v>8.0</v>
      </c>
      <c r="C13" s="181" t="s">
        <v>55</v>
      </c>
      <c r="D13" s="181" t="s">
        <v>895</v>
      </c>
      <c r="E13" s="182" t="s">
        <v>683</v>
      </c>
      <c r="F13" s="179"/>
      <c r="G13" s="181" t="s">
        <v>689</v>
      </c>
      <c r="H13" s="181">
        <v>100.0</v>
      </c>
      <c r="I13" s="181">
        <v>0.0</v>
      </c>
      <c r="J13" s="181">
        <v>0.0</v>
      </c>
      <c r="K13" s="181">
        <v>1.0</v>
      </c>
      <c r="L13" s="181">
        <v>18.0</v>
      </c>
      <c r="M13" s="181">
        <v>0.18</v>
      </c>
      <c r="N13" s="183">
        <v>2017.0</v>
      </c>
      <c r="O13" s="181">
        <v>2030.0</v>
      </c>
      <c r="P13" s="181">
        <v>2019.0</v>
      </c>
      <c r="Q13" s="181">
        <v>5264365.0</v>
      </c>
      <c r="R13" s="181">
        <v>0.0</v>
      </c>
      <c r="S13" s="181">
        <v>0.0</v>
      </c>
      <c r="T13" s="181">
        <v>5264365.0</v>
      </c>
      <c r="U13" s="182">
        <v>3.865824484265644</v>
      </c>
      <c r="V13" s="182">
        <v>0.0387</v>
      </c>
      <c r="W13" s="179">
        <f t="shared" si="1"/>
        <v>-11</v>
      </c>
      <c r="X13" s="180"/>
      <c r="Y13" s="180"/>
      <c r="Z13" s="180"/>
    </row>
    <row r="14">
      <c r="A14" s="181" t="s">
        <v>62</v>
      </c>
      <c r="B14" s="181">
        <v>10.0</v>
      </c>
      <c r="C14" s="181" t="s">
        <v>65</v>
      </c>
      <c r="D14" s="181" t="s">
        <v>895</v>
      </c>
      <c r="E14" s="182" t="s">
        <v>683</v>
      </c>
      <c r="F14" s="179"/>
      <c r="G14" s="181" t="s">
        <v>899</v>
      </c>
      <c r="H14" s="181">
        <v>100.0</v>
      </c>
      <c r="I14" s="181">
        <v>1.0</v>
      </c>
      <c r="J14" s="181">
        <v>1.0</v>
      </c>
      <c r="K14" s="181">
        <v>1.0</v>
      </c>
      <c r="L14" s="181">
        <v>100.0</v>
      </c>
      <c r="M14" s="181">
        <v>1.0</v>
      </c>
      <c r="N14" s="183">
        <v>2011.0</v>
      </c>
      <c r="O14" s="181">
        <v>2025.0</v>
      </c>
      <c r="P14" s="181">
        <v>2018.0</v>
      </c>
      <c r="Q14" s="181">
        <v>188349.0</v>
      </c>
      <c r="R14" s="181">
        <v>62783.0</v>
      </c>
      <c r="S14" s="181">
        <v>62783.0</v>
      </c>
      <c r="T14" s="181">
        <v>62783.0</v>
      </c>
      <c r="U14" s="182">
        <v>100.0</v>
      </c>
      <c r="V14" s="182">
        <v>1.0</v>
      </c>
      <c r="W14" s="179">
        <f t="shared" si="1"/>
        <v>-7</v>
      </c>
      <c r="X14" s="180"/>
      <c r="Y14" s="180"/>
      <c r="Z14" s="180"/>
    </row>
    <row r="15">
      <c r="A15" s="181" t="s">
        <v>62</v>
      </c>
      <c r="B15" s="181">
        <v>10.0</v>
      </c>
      <c r="C15" s="181" t="s">
        <v>65</v>
      </c>
      <c r="D15" s="181" t="s">
        <v>895</v>
      </c>
      <c r="E15" s="182" t="s">
        <v>683</v>
      </c>
      <c r="F15" s="179"/>
      <c r="G15" s="181" t="s">
        <v>899</v>
      </c>
      <c r="H15" s="181">
        <v>100.0</v>
      </c>
      <c r="I15" s="181">
        <v>1.0</v>
      </c>
      <c r="J15" s="181">
        <v>1.0</v>
      </c>
      <c r="K15" s="181">
        <v>1.0</v>
      </c>
      <c r="L15" s="181">
        <v>100.0</v>
      </c>
      <c r="M15" s="181">
        <v>1.0</v>
      </c>
      <c r="N15" s="183">
        <v>2011.0</v>
      </c>
      <c r="O15" s="181">
        <v>2040.0</v>
      </c>
      <c r="P15" s="181">
        <v>2018.0</v>
      </c>
      <c r="Q15" s="181">
        <v>188349.0</v>
      </c>
      <c r="R15" s="181">
        <v>62783.0</v>
      </c>
      <c r="S15" s="181">
        <v>62783.0</v>
      </c>
      <c r="T15" s="181">
        <v>62783.0</v>
      </c>
      <c r="U15" s="182">
        <v>100.0</v>
      </c>
      <c r="V15" s="182">
        <v>1.0</v>
      </c>
      <c r="W15" s="179">
        <f t="shared" si="1"/>
        <v>-22</v>
      </c>
      <c r="X15" s="180"/>
      <c r="Y15" s="180"/>
      <c r="Z15" s="180"/>
    </row>
    <row r="16">
      <c r="A16" s="181" t="s">
        <v>73</v>
      </c>
      <c r="B16" s="181">
        <v>12.0</v>
      </c>
      <c r="C16" s="181" t="s">
        <v>76</v>
      </c>
      <c r="D16" s="181" t="s">
        <v>895</v>
      </c>
      <c r="E16" s="182" t="s">
        <v>683</v>
      </c>
      <c r="F16" s="179"/>
      <c r="G16" s="181" t="s">
        <v>900</v>
      </c>
      <c r="H16" s="181">
        <v>26.0</v>
      </c>
      <c r="I16" s="181">
        <v>0.26</v>
      </c>
      <c r="J16" s="181">
        <v>0.0</v>
      </c>
      <c r="K16" s="181">
        <v>0.0</v>
      </c>
      <c r="L16" s="181">
        <v>60.0</v>
      </c>
      <c r="M16" s="181">
        <v>0.6</v>
      </c>
      <c r="N16" s="183">
        <v>2017.0</v>
      </c>
      <c r="O16" s="181">
        <v>2027.0</v>
      </c>
      <c r="P16" s="181">
        <v>2018.0</v>
      </c>
      <c r="Q16" s="181">
        <v>651065.0</v>
      </c>
      <c r="R16" s="181">
        <v>651065.0</v>
      </c>
      <c r="S16" s="181">
        <v>0.0</v>
      </c>
      <c r="T16" s="181">
        <v>0.0</v>
      </c>
      <c r="U16" s="182">
        <v>24.26383438417567</v>
      </c>
      <c r="V16" s="182">
        <v>0.2426</v>
      </c>
      <c r="W16" s="179">
        <f t="shared" si="1"/>
        <v>-9</v>
      </c>
      <c r="X16" s="180"/>
      <c r="Y16" s="180"/>
      <c r="Z16" s="180"/>
    </row>
    <row r="17">
      <c r="A17" s="181" t="s">
        <v>84</v>
      </c>
      <c r="B17" s="181">
        <v>14.0</v>
      </c>
      <c r="C17" s="181" t="s">
        <v>88</v>
      </c>
      <c r="D17" s="181" t="s">
        <v>895</v>
      </c>
      <c r="E17" s="182" t="s">
        <v>683</v>
      </c>
      <c r="F17" s="179"/>
      <c r="G17" s="181" t="s">
        <v>896</v>
      </c>
      <c r="H17" s="181">
        <v>100.0</v>
      </c>
      <c r="I17" s="181">
        <v>1.0</v>
      </c>
      <c r="J17" s="181">
        <v>1.0</v>
      </c>
      <c r="K17" s="181">
        <v>0.0</v>
      </c>
      <c r="L17" s="181">
        <v>52.0</v>
      </c>
      <c r="M17" s="181">
        <v>0.52</v>
      </c>
      <c r="N17" s="183">
        <v>2012.0</v>
      </c>
      <c r="O17" s="181">
        <v>2036.0</v>
      </c>
      <c r="P17" s="181">
        <v>2012.0</v>
      </c>
      <c r="Q17" s="181">
        <v>160400.0</v>
      </c>
      <c r="R17" s="181">
        <v>80200.0</v>
      </c>
      <c r="S17" s="181">
        <v>80200.0</v>
      </c>
      <c r="T17" s="181">
        <v>0.0</v>
      </c>
      <c r="U17" s="182">
        <v>131.7019950124688</v>
      </c>
      <c r="V17" s="182">
        <v>1.317</v>
      </c>
      <c r="W17" s="179">
        <f t="shared" si="1"/>
        <v>-24</v>
      </c>
      <c r="X17" s="180"/>
      <c r="Y17" s="180"/>
      <c r="Z17" s="180"/>
    </row>
    <row r="18">
      <c r="A18" s="181" t="s">
        <v>84</v>
      </c>
      <c r="B18" s="181">
        <v>14.0</v>
      </c>
      <c r="C18" s="181" t="s">
        <v>88</v>
      </c>
      <c r="D18" s="181" t="s">
        <v>895</v>
      </c>
      <c r="E18" s="182" t="s">
        <v>683</v>
      </c>
      <c r="F18" s="179"/>
      <c r="G18" s="181" t="s">
        <v>896</v>
      </c>
      <c r="H18" s="181">
        <v>100.0</v>
      </c>
      <c r="I18" s="181">
        <v>1.0</v>
      </c>
      <c r="J18" s="181">
        <v>1.0</v>
      </c>
      <c r="K18" s="181">
        <v>0.0</v>
      </c>
      <c r="L18" s="181">
        <v>75.0</v>
      </c>
      <c r="M18" s="181">
        <v>0.75</v>
      </c>
      <c r="N18" s="183">
        <v>2015.0</v>
      </c>
      <c r="O18" s="181">
        <v>2030.0</v>
      </c>
      <c r="P18" s="181">
        <v>2020.0</v>
      </c>
      <c r="Q18" s="181">
        <v>3.84E7</v>
      </c>
      <c r="R18" s="181">
        <v>1.92E7</v>
      </c>
      <c r="S18" s="181">
        <v>1.92E7</v>
      </c>
      <c r="T18" s="181">
        <v>0.0</v>
      </c>
      <c r="U18" s="182">
        <v>46.18055555555556</v>
      </c>
      <c r="V18" s="182">
        <v>0.4618</v>
      </c>
      <c r="W18" s="179">
        <f t="shared" si="1"/>
        <v>-10</v>
      </c>
      <c r="X18" s="180"/>
      <c r="Y18" s="180"/>
      <c r="Z18" s="180"/>
    </row>
    <row r="19">
      <c r="A19" s="181" t="s">
        <v>90</v>
      </c>
      <c r="B19" s="181">
        <v>15.0</v>
      </c>
      <c r="C19" s="181" t="s">
        <v>94</v>
      </c>
      <c r="D19" s="181" t="s">
        <v>895</v>
      </c>
      <c r="E19" s="182" t="s">
        <v>683</v>
      </c>
      <c r="F19" s="179"/>
      <c r="G19" s="181" t="s">
        <v>896</v>
      </c>
      <c r="H19" s="181">
        <v>100.0</v>
      </c>
      <c r="I19" s="181">
        <v>1.0</v>
      </c>
      <c r="J19" s="181">
        <v>1.0</v>
      </c>
      <c r="K19" s="181">
        <v>0.0</v>
      </c>
      <c r="L19" s="181">
        <v>26.0</v>
      </c>
      <c r="M19" s="181">
        <v>0.26</v>
      </c>
      <c r="N19" s="183">
        <v>2015.0</v>
      </c>
      <c r="O19" s="181">
        <v>2030.0</v>
      </c>
      <c r="P19" s="181">
        <v>2019.0</v>
      </c>
      <c r="Q19" s="181">
        <v>8766803.0</v>
      </c>
      <c r="R19" s="181">
        <v>4383401.5</v>
      </c>
      <c r="S19" s="181">
        <v>4383401.5</v>
      </c>
      <c r="T19" s="181">
        <v>0.0</v>
      </c>
      <c r="U19" s="182">
        <v>98.35007918288674</v>
      </c>
      <c r="V19" s="182">
        <v>0.9835</v>
      </c>
      <c r="W19" s="179">
        <f t="shared" si="1"/>
        <v>-11</v>
      </c>
      <c r="X19" s="180"/>
      <c r="Y19" s="180"/>
      <c r="Z19" s="180"/>
    </row>
    <row r="20">
      <c r="A20" s="181" t="s">
        <v>96</v>
      </c>
      <c r="B20" s="181">
        <v>16.0</v>
      </c>
      <c r="C20" s="181" t="s">
        <v>99</v>
      </c>
      <c r="D20" s="181" t="s">
        <v>895</v>
      </c>
      <c r="E20" s="182" t="s">
        <v>683</v>
      </c>
      <c r="F20" s="179"/>
      <c r="G20" s="181" t="s">
        <v>896</v>
      </c>
      <c r="H20" s="181">
        <v>100.0</v>
      </c>
      <c r="I20" s="181">
        <v>1.0</v>
      </c>
      <c r="J20" s="181">
        <v>1.0</v>
      </c>
      <c r="K20" s="181">
        <v>0.0</v>
      </c>
      <c r="L20" s="181">
        <v>100.0</v>
      </c>
      <c r="M20" s="181">
        <v>1.0</v>
      </c>
      <c r="N20" s="181">
        <v>2010.0</v>
      </c>
      <c r="O20" s="181">
        <v>2040.0</v>
      </c>
      <c r="P20" s="181">
        <v>2015.0</v>
      </c>
      <c r="Q20" s="181">
        <v>1750939.0</v>
      </c>
      <c r="R20" s="181">
        <v>875469.5</v>
      </c>
      <c r="S20" s="181">
        <v>875469.5</v>
      </c>
      <c r="T20" s="181">
        <v>0.0</v>
      </c>
      <c r="U20" s="182">
        <v>100.0</v>
      </c>
      <c r="V20" s="182">
        <v>1.0</v>
      </c>
      <c r="W20" s="179">
        <f t="shared" si="1"/>
        <v>-25</v>
      </c>
      <c r="X20" s="180"/>
      <c r="Y20" s="180"/>
      <c r="Z20" s="180"/>
    </row>
    <row r="21">
      <c r="A21" s="181" t="s">
        <v>105</v>
      </c>
      <c r="B21" s="181">
        <v>18.0</v>
      </c>
      <c r="C21" s="181" t="s">
        <v>109</v>
      </c>
      <c r="D21" s="181" t="s">
        <v>895</v>
      </c>
      <c r="E21" s="182" t="s">
        <v>683</v>
      </c>
      <c r="F21" s="179"/>
      <c r="G21" s="181" t="s">
        <v>896</v>
      </c>
      <c r="H21" s="181">
        <v>100.0</v>
      </c>
      <c r="I21" s="181">
        <v>1.0</v>
      </c>
      <c r="J21" s="181">
        <v>1.0</v>
      </c>
      <c r="K21" s="181">
        <v>0.0</v>
      </c>
      <c r="L21" s="181">
        <v>35.0</v>
      </c>
      <c r="M21" s="181">
        <v>0.35</v>
      </c>
      <c r="N21" s="183">
        <v>2013.0</v>
      </c>
      <c r="O21" s="181">
        <v>2030.0</v>
      </c>
      <c r="P21" s="181">
        <v>2016.0</v>
      </c>
      <c r="Q21" s="181">
        <v>379288.0</v>
      </c>
      <c r="R21" s="181">
        <v>189644.0</v>
      </c>
      <c r="S21" s="181">
        <v>189644.0</v>
      </c>
      <c r="T21" s="181">
        <v>0.0</v>
      </c>
      <c r="U21" s="182">
        <v>-84.65937681731486</v>
      </c>
      <c r="V21" s="182">
        <v>-0.8466</v>
      </c>
      <c r="W21" s="179">
        <f t="shared" si="1"/>
        <v>-14</v>
      </c>
      <c r="X21" s="180"/>
      <c r="Y21" s="180"/>
      <c r="Z21" s="180"/>
    </row>
    <row r="22">
      <c r="A22" s="181" t="s">
        <v>463</v>
      </c>
      <c r="B22" s="181">
        <v>89.0</v>
      </c>
      <c r="C22" s="181" t="s">
        <v>467</v>
      </c>
      <c r="D22" s="181" t="s">
        <v>895</v>
      </c>
      <c r="E22" s="182" t="s">
        <v>683</v>
      </c>
      <c r="F22" s="179"/>
      <c r="G22" s="181" t="s">
        <v>896</v>
      </c>
      <c r="H22" s="181">
        <v>100.0</v>
      </c>
      <c r="I22" s="181">
        <v>1.0</v>
      </c>
      <c r="J22" s="181">
        <v>1.0</v>
      </c>
      <c r="K22" s="181">
        <v>0.0</v>
      </c>
      <c r="L22" s="181">
        <v>20.0</v>
      </c>
      <c r="M22" s="181">
        <v>0.2</v>
      </c>
      <c r="N22" s="183">
        <v>2018.0</v>
      </c>
      <c r="O22" s="181">
        <v>2025.0</v>
      </c>
      <c r="P22" s="181">
        <v>2019.0</v>
      </c>
      <c r="Q22" s="181">
        <v>150157.0</v>
      </c>
      <c r="R22" s="181">
        <v>75078.5</v>
      </c>
      <c r="S22" s="181">
        <v>75078.5</v>
      </c>
      <c r="T22" s="181">
        <v>0.0</v>
      </c>
      <c r="U22" s="182">
        <v>39.458699894110836</v>
      </c>
      <c r="V22" s="182">
        <v>0.3946</v>
      </c>
      <c r="W22" s="179">
        <f t="shared" si="1"/>
        <v>-6</v>
      </c>
      <c r="X22" s="180"/>
      <c r="Y22" s="180"/>
      <c r="Z22" s="180"/>
    </row>
    <row r="23">
      <c r="A23" s="181" t="s">
        <v>463</v>
      </c>
      <c r="B23" s="181">
        <v>89.0</v>
      </c>
      <c r="C23" s="181" t="s">
        <v>467</v>
      </c>
      <c r="D23" s="181" t="s">
        <v>895</v>
      </c>
      <c r="E23" s="182" t="s">
        <v>683</v>
      </c>
      <c r="F23" s="179"/>
      <c r="G23" s="181" t="s">
        <v>896</v>
      </c>
      <c r="H23" s="181">
        <v>100.0</v>
      </c>
      <c r="I23" s="181">
        <v>1.0</v>
      </c>
      <c r="J23" s="181">
        <v>1.0</v>
      </c>
      <c r="K23" s="181">
        <v>0.0</v>
      </c>
      <c r="L23" s="181">
        <v>92.0</v>
      </c>
      <c r="M23" s="181">
        <v>0.92</v>
      </c>
      <c r="N23" s="183">
        <v>2014.0</v>
      </c>
      <c r="O23" s="181">
        <v>2040.0</v>
      </c>
      <c r="P23" s="181">
        <v>2015.0</v>
      </c>
      <c r="Q23" s="181">
        <v>214161.0</v>
      </c>
      <c r="R23" s="181">
        <v>107080.5</v>
      </c>
      <c r="S23" s="181">
        <v>107080.5</v>
      </c>
      <c r="T23" s="181">
        <v>0.0</v>
      </c>
      <c r="U23" s="182">
        <v>108.69565217391303</v>
      </c>
      <c r="V23" s="182">
        <v>1.087</v>
      </c>
      <c r="W23" s="179">
        <f t="shared" si="1"/>
        <v>-25</v>
      </c>
      <c r="X23" s="180"/>
      <c r="Y23" s="180"/>
      <c r="Z23" s="180"/>
    </row>
    <row r="24">
      <c r="A24" s="181" t="s">
        <v>117</v>
      </c>
      <c r="B24" s="181">
        <v>20.0</v>
      </c>
      <c r="C24" s="181" t="s">
        <v>120</v>
      </c>
      <c r="D24" s="181" t="s">
        <v>895</v>
      </c>
      <c r="E24" s="182" t="s">
        <v>683</v>
      </c>
      <c r="F24" s="179"/>
      <c r="G24" s="181" t="s">
        <v>896</v>
      </c>
      <c r="H24" s="181">
        <v>70.0</v>
      </c>
      <c r="I24" s="181">
        <v>0.7</v>
      </c>
      <c r="J24" s="181">
        <v>0.7</v>
      </c>
      <c r="K24" s="181">
        <v>0.0</v>
      </c>
      <c r="L24" s="181">
        <v>25.0</v>
      </c>
      <c r="M24" s="181">
        <v>0.25</v>
      </c>
      <c r="N24" s="183">
        <v>2017.0</v>
      </c>
      <c r="O24" s="181">
        <v>2025.0</v>
      </c>
      <c r="P24" s="181">
        <v>2018.0</v>
      </c>
      <c r="Q24" s="181">
        <v>1004000.0</v>
      </c>
      <c r="R24" s="181">
        <v>502000.0</v>
      </c>
      <c r="S24" s="181">
        <v>502000.0</v>
      </c>
      <c r="T24" s="181">
        <v>0.0</v>
      </c>
      <c r="U24" s="182">
        <v>11.155378486055776</v>
      </c>
      <c r="V24" s="182">
        <v>0.1116</v>
      </c>
      <c r="W24" s="179">
        <f t="shared" si="1"/>
        <v>-7</v>
      </c>
      <c r="X24" s="180"/>
      <c r="Y24" s="180"/>
      <c r="Z24" s="180"/>
    </row>
    <row r="25">
      <c r="A25" s="181" t="s">
        <v>144</v>
      </c>
      <c r="B25" s="181">
        <v>27.0</v>
      </c>
      <c r="C25" s="181" t="s">
        <v>148</v>
      </c>
      <c r="D25" s="181" t="s">
        <v>895</v>
      </c>
      <c r="E25" s="182" t="s">
        <v>683</v>
      </c>
      <c r="F25" s="179"/>
      <c r="G25" s="181" t="s">
        <v>896</v>
      </c>
      <c r="H25" s="181">
        <v>100.0</v>
      </c>
      <c r="I25" s="181">
        <v>1.0</v>
      </c>
      <c r="J25" s="181">
        <v>1.0</v>
      </c>
      <c r="K25" s="181">
        <v>0.0</v>
      </c>
      <c r="L25" s="181">
        <v>60.0</v>
      </c>
      <c r="M25" s="181">
        <v>0.6</v>
      </c>
      <c r="N25" s="183">
        <v>2007.0</v>
      </c>
      <c r="O25" s="181">
        <v>2022.0</v>
      </c>
      <c r="P25" s="181">
        <v>2017.0</v>
      </c>
      <c r="Q25" s="181">
        <v>450733.0</v>
      </c>
      <c r="R25" s="181">
        <v>225366.5</v>
      </c>
      <c r="S25" s="181">
        <v>225366.5</v>
      </c>
      <c r="T25" s="181">
        <v>0.0</v>
      </c>
      <c r="U25" s="182">
        <v>82.13399063303552</v>
      </c>
      <c r="V25" s="182">
        <v>0.8213</v>
      </c>
      <c r="W25" s="179">
        <f t="shared" si="1"/>
        <v>-5</v>
      </c>
      <c r="X25" s="180"/>
      <c r="Y25" s="180"/>
      <c r="Z25" s="180"/>
    </row>
    <row r="26">
      <c r="A26" s="181" t="s">
        <v>144</v>
      </c>
      <c r="B26" s="181">
        <v>27.0</v>
      </c>
      <c r="C26" s="181" t="s">
        <v>148</v>
      </c>
      <c r="D26" s="181" t="s">
        <v>895</v>
      </c>
      <c r="E26" s="182" t="s">
        <v>683</v>
      </c>
      <c r="F26" s="179"/>
      <c r="G26" s="181" t="s">
        <v>689</v>
      </c>
      <c r="H26" s="181">
        <v>100.0</v>
      </c>
      <c r="I26" s="181">
        <v>0.0</v>
      </c>
      <c r="J26" s="181">
        <v>0.0</v>
      </c>
      <c r="K26" s="181">
        <v>1.0</v>
      </c>
      <c r="L26" s="181">
        <v>13.0</v>
      </c>
      <c r="M26" s="181">
        <v>0.13</v>
      </c>
      <c r="N26" s="183">
        <v>2016.0</v>
      </c>
      <c r="O26" s="181">
        <v>2022.0</v>
      </c>
      <c r="P26" s="181">
        <v>2017.0</v>
      </c>
      <c r="Q26" s="181">
        <v>2.6233018E7</v>
      </c>
      <c r="R26" s="181">
        <v>0.0</v>
      </c>
      <c r="S26" s="181">
        <v>0.0</v>
      </c>
      <c r="T26" s="181">
        <v>2.6233018E7</v>
      </c>
      <c r="U26" s="182">
        <v>38.2326167380712</v>
      </c>
      <c r="V26" s="182">
        <v>0.3823</v>
      </c>
      <c r="W26" s="179">
        <f t="shared" si="1"/>
        <v>-5</v>
      </c>
      <c r="X26" s="180"/>
      <c r="Y26" s="180"/>
      <c r="Z26" s="180"/>
    </row>
    <row r="27">
      <c r="A27" s="181" t="s">
        <v>150</v>
      </c>
      <c r="B27" s="181">
        <v>28.0</v>
      </c>
      <c r="C27" s="181" t="s">
        <v>154</v>
      </c>
      <c r="D27" s="181" t="s">
        <v>895</v>
      </c>
      <c r="E27" s="182" t="s">
        <v>683</v>
      </c>
      <c r="F27" s="179"/>
      <c r="G27" s="181" t="s">
        <v>896</v>
      </c>
      <c r="H27" s="181">
        <v>100.0</v>
      </c>
      <c r="I27" s="181">
        <v>1.0</v>
      </c>
      <c r="J27" s="181">
        <v>1.0</v>
      </c>
      <c r="K27" s="181">
        <v>0.0</v>
      </c>
      <c r="L27" s="181">
        <v>80.0</v>
      </c>
      <c r="M27" s="181">
        <v>0.8</v>
      </c>
      <c r="N27" s="183">
        <v>2005.0</v>
      </c>
      <c r="O27" s="181">
        <v>2050.0</v>
      </c>
      <c r="P27" s="181">
        <v>2006.0</v>
      </c>
      <c r="Q27" s="181">
        <v>1091759.0</v>
      </c>
      <c r="R27" s="181">
        <v>545879.5</v>
      </c>
      <c r="S27" s="181">
        <v>545879.5</v>
      </c>
      <c r="T27" s="181">
        <v>0.0</v>
      </c>
      <c r="U27" s="182">
        <v>54.36856943702777</v>
      </c>
      <c r="V27" s="182">
        <v>0.5437</v>
      </c>
      <c r="W27" s="179">
        <f t="shared" si="1"/>
        <v>-44</v>
      </c>
      <c r="X27" s="180"/>
      <c r="Y27" s="180"/>
      <c r="Z27" s="180"/>
    </row>
    <row r="28">
      <c r="A28" s="181" t="s">
        <v>162</v>
      </c>
      <c r="B28" s="181">
        <v>30.0</v>
      </c>
      <c r="C28" s="181" t="s">
        <v>165</v>
      </c>
      <c r="D28" s="181" t="s">
        <v>895</v>
      </c>
      <c r="E28" s="182" t="s">
        <v>683</v>
      </c>
      <c r="F28" s="179"/>
      <c r="G28" s="181" t="s">
        <v>896</v>
      </c>
      <c r="H28" s="181">
        <v>95.0</v>
      </c>
      <c r="I28" s="181">
        <v>0.95</v>
      </c>
      <c r="J28" s="181">
        <v>0.95</v>
      </c>
      <c r="K28" s="181">
        <v>0.0</v>
      </c>
      <c r="L28" s="181">
        <v>50.0</v>
      </c>
      <c r="M28" s="181">
        <v>0.5</v>
      </c>
      <c r="N28" s="183">
        <v>2002.0</v>
      </c>
      <c r="O28" s="181">
        <v>2050.0</v>
      </c>
      <c r="P28" s="181">
        <v>2016.0</v>
      </c>
      <c r="Q28" s="181">
        <v>699761.0</v>
      </c>
      <c r="R28" s="181">
        <v>349880.5</v>
      </c>
      <c r="S28" s="181">
        <v>349880.5</v>
      </c>
      <c r="T28" s="181">
        <v>0.0</v>
      </c>
      <c r="U28" s="182">
        <v>64.4360002915281</v>
      </c>
      <c r="V28" s="182">
        <v>0.6444</v>
      </c>
      <c r="W28" s="179">
        <f t="shared" si="1"/>
        <v>-34</v>
      </c>
      <c r="X28" s="180"/>
      <c r="Y28" s="180"/>
      <c r="Z28" s="180"/>
    </row>
    <row r="29">
      <c r="A29" s="181" t="s">
        <v>162</v>
      </c>
      <c r="B29" s="181">
        <v>30.0</v>
      </c>
      <c r="C29" s="181" t="s">
        <v>165</v>
      </c>
      <c r="D29" s="181" t="s">
        <v>895</v>
      </c>
      <c r="E29" s="182" t="s">
        <v>683</v>
      </c>
      <c r="F29" s="179"/>
      <c r="G29" s="181" t="s">
        <v>689</v>
      </c>
      <c r="H29" s="181">
        <v>90.0</v>
      </c>
      <c r="I29" s="181">
        <v>0.0</v>
      </c>
      <c r="J29" s="181">
        <v>0.0</v>
      </c>
      <c r="K29" s="181">
        <v>0.9</v>
      </c>
      <c r="L29" s="181">
        <v>5.0</v>
      </c>
      <c r="M29" s="181">
        <v>0.05</v>
      </c>
      <c r="N29" s="183">
        <v>2016.0</v>
      </c>
      <c r="O29" s="181">
        <v>2022.0</v>
      </c>
      <c r="P29" s="181">
        <v>2016.0</v>
      </c>
      <c r="Q29" s="181">
        <v>4.72E7</v>
      </c>
      <c r="R29" s="181">
        <v>0.0</v>
      </c>
      <c r="S29" s="181">
        <v>0.0</v>
      </c>
      <c r="T29" s="181">
        <v>4.72E7</v>
      </c>
      <c r="U29" s="182">
        <v>219.71495762711862</v>
      </c>
      <c r="V29" s="182">
        <v>2.1971</v>
      </c>
      <c r="W29" s="179">
        <f t="shared" si="1"/>
        <v>-6</v>
      </c>
      <c r="X29" s="180"/>
      <c r="Y29" s="180"/>
      <c r="Z29" s="180"/>
    </row>
    <row r="30">
      <c r="A30" s="181" t="s">
        <v>167</v>
      </c>
      <c r="B30" s="181">
        <v>31.0</v>
      </c>
      <c r="C30" s="181" t="s">
        <v>170</v>
      </c>
      <c r="D30" s="181" t="s">
        <v>895</v>
      </c>
      <c r="E30" s="182" t="s">
        <v>683</v>
      </c>
      <c r="F30" s="179"/>
      <c r="G30" s="181" t="s">
        <v>896</v>
      </c>
      <c r="H30" s="181">
        <v>5.0</v>
      </c>
      <c r="I30" s="181">
        <v>0.05</v>
      </c>
      <c r="J30" s="181">
        <v>0.05</v>
      </c>
      <c r="K30" s="181">
        <v>0.0</v>
      </c>
      <c r="L30" s="181">
        <v>50.0</v>
      </c>
      <c r="M30" s="181">
        <v>0.5</v>
      </c>
      <c r="N30" s="183">
        <v>2018.0</v>
      </c>
      <c r="O30" s="181">
        <v>2030.0</v>
      </c>
      <c r="P30" s="181">
        <v>2019.0</v>
      </c>
      <c r="Q30" s="181">
        <v>2001609.0</v>
      </c>
      <c r="R30" s="181">
        <v>1000804.5</v>
      </c>
      <c r="S30" s="181">
        <v>1000804.5</v>
      </c>
      <c r="T30" s="181">
        <v>0.0</v>
      </c>
      <c r="U30" s="182">
        <v>2.7146160913545057</v>
      </c>
      <c r="V30" s="182">
        <v>0.0271</v>
      </c>
      <c r="W30" s="179">
        <f t="shared" si="1"/>
        <v>-11</v>
      </c>
      <c r="X30" s="180"/>
      <c r="Y30" s="180"/>
      <c r="Z30" s="180"/>
    </row>
    <row r="31">
      <c r="A31" s="181" t="s">
        <v>182</v>
      </c>
      <c r="B31" s="181">
        <v>34.0</v>
      </c>
      <c r="C31" s="181" t="s">
        <v>186</v>
      </c>
      <c r="D31" s="181" t="s">
        <v>895</v>
      </c>
      <c r="E31" s="182" t="s">
        <v>683</v>
      </c>
      <c r="F31" s="179"/>
      <c r="G31" s="181" t="s">
        <v>896</v>
      </c>
      <c r="H31" s="181">
        <v>100.0</v>
      </c>
      <c r="I31" s="181">
        <v>1.0</v>
      </c>
      <c r="J31" s="181">
        <v>1.0</v>
      </c>
      <c r="K31" s="181">
        <v>0.0</v>
      </c>
      <c r="L31" s="181">
        <v>36.0</v>
      </c>
      <c r="M31" s="181">
        <v>0.36</v>
      </c>
      <c r="N31" s="181">
        <v>2010.0</v>
      </c>
      <c r="O31" s="181">
        <v>2030.0</v>
      </c>
      <c r="P31" s="181">
        <v>2017.0</v>
      </c>
      <c r="Q31" s="181">
        <v>1766531.0</v>
      </c>
      <c r="R31" s="181">
        <v>883265.5</v>
      </c>
      <c r="S31" s="181">
        <v>883265.5</v>
      </c>
      <c r="T31" s="181">
        <v>0.0</v>
      </c>
      <c r="U31" s="182">
        <v>101.50143290877874</v>
      </c>
      <c r="V31" s="182">
        <v>1.015</v>
      </c>
      <c r="W31" s="179">
        <f t="shared" si="1"/>
        <v>-13</v>
      </c>
      <c r="X31" s="180"/>
      <c r="Y31" s="180"/>
      <c r="Z31" s="180"/>
    </row>
    <row r="32">
      <c r="A32" s="181" t="s">
        <v>182</v>
      </c>
      <c r="B32" s="181">
        <v>34.0</v>
      </c>
      <c r="C32" s="181" t="s">
        <v>186</v>
      </c>
      <c r="D32" s="181" t="s">
        <v>895</v>
      </c>
      <c r="E32" s="182" t="s">
        <v>683</v>
      </c>
      <c r="F32" s="179"/>
      <c r="G32" s="181" t="s">
        <v>896</v>
      </c>
      <c r="H32" s="181">
        <v>100.0</v>
      </c>
      <c r="I32" s="181">
        <v>1.0</v>
      </c>
      <c r="J32" s="181">
        <v>1.0</v>
      </c>
      <c r="K32" s="181">
        <v>0.0</v>
      </c>
      <c r="L32" s="181">
        <v>56.0</v>
      </c>
      <c r="M32" s="181">
        <v>0.56</v>
      </c>
      <c r="N32" s="181">
        <v>2010.0</v>
      </c>
      <c r="O32" s="181">
        <v>2050.0</v>
      </c>
      <c r="P32" s="181">
        <v>2017.0</v>
      </c>
      <c r="Q32" s="181">
        <v>1766531.0</v>
      </c>
      <c r="R32" s="181">
        <v>883265.5</v>
      </c>
      <c r="S32" s="181">
        <v>883265.5</v>
      </c>
      <c r="T32" s="181">
        <v>0.0</v>
      </c>
      <c r="U32" s="182">
        <v>65.25092115564347</v>
      </c>
      <c r="V32" s="182">
        <v>0.6525</v>
      </c>
      <c r="W32" s="179">
        <f t="shared" si="1"/>
        <v>-33</v>
      </c>
      <c r="X32" s="180"/>
      <c r="Y32" s="180"/>
      <c r="Z32" s="180"/>
    </row>
    <row r="33">
      <c r="A33" s="181" t="s">
        <v>193</v>
      </c>
      <c r="B33" s="181">
        <v>37.0</v>
      </c>
      <c r="C33" s="181" t="s">
        <v>196</v>
      </c>
      <c r="D33" s="181" t="s">
        <v>895</v>
      </c>
      <c r="E33" s="182" t="s">
        <v>683</v>
      </c>
      <c r="F33" s="179"/>
      <c r="G33" s="181" t="s">
        <v>900</v>
      </c>
      <c r="H33" s="181">
        <v>100.0</v>
      </c>
      <c r="I33" s="181">
        <v>1.0</v>
      </c>
      <c r="J33" s="181">
        <v>0.0</v>
      </c>
      <c r="K33" s="181">
        <v>0.0</v>
      </c>
      <c r="L33" s="181">
        <v>50.0</v>
      </c>
      <c r="M33" s="181">
        <v>0.5</v>
      </c>
      <c r="N33" s="183">
        <v>2005.0</v>
      </c>
      <c r="O33" s="181">
        <v>2030.0</v>
      </c>
      <c r="P33" s="181">
        <v>2019.0</v>
      </c>
      <c r="Q33" s="181">
        <v>1.388E8</v>
      </c>
      <c r="R33" s="181">
        <v>1.388E8</v>
      </c>
      <c r="S33" s="181">
        <v>0.0</v>
      </c>
      <c r="T33" s="181">
        <v>0.0</v>
      </c>
      <c r="U33" s="182">
        <v>78.42939481268012</v>
      </c>
      <c r="V33" s="182">
        <v>0.7843</v>
      </c>
      <c r="W33" s="179">
        <f t="shared" si="1"/>
        <v>-11</v>
      </c>
      <c r="X33" s="180"/>
      <c r="Y33" s="180"/>
      <c r="Z33" s="180"/>
    </row>
    <row r="34">
      <c r="A34" s="181" t="s">
        <v>193</v>
      </c>
      <c r="B34" s="181">
        <v>37.0</v>
      </c>
      <c r="C34" s="181" t="s">
        <v>196</v>
      </c>
      <c r="D34" s="181" t="s">
        <v>895</v>
      </c>
      <c r="E34" s="182" t="s">
        <v>683</v>
      </c>
      <c r="F34" s="179"/>
      <c r="G34" s="181" t="s">
        <v>900</v>
      </c>
      <c r="H34" s="181">
        <v>100.0</v>
      </c>
      <c r="I34" s="181">
        <v>1.0</v>
      </c>
      <c r="J34" s="181">
        <v>0.0</v>
      </c>
      <c r="K34" s="181">
        <v>0.0</v>
      </c>
      <c r="L34" s="181">
        <v>100.0</v>
      </c>
      <c r="M34" s="181">
        <v>1.0</v>
      </c>
      <c r="N34" s="183">
        <v>2005.0</v>
      </c>
      <c r="O34" s="181">
        <v>2050.0</v>
      </c>
      <c r="P34" s="181">
        <v>2019.0</v>
      </c>
      <c r="Q34" s="181">
        <v>1.388E8</v>
      </c>
      <c r="R34" s="181">
        <v>1.388E8</v>
      </c>
      <c r="S34" s="181">
        <v>0.0</v>
      </c>
      <c r="T34" s="181">
        <v>0.0</v>
      </c>
      <c r="U34" s="182">
        <v>39.21469740634006</v>
      </c>
      <c r="V34" s="182">
        <v>0.3921</v>
      </c>
      <c r="W34" s="179">
        <f t="shared" si="1"/>
        <v>-31</v>
      </c>
      <c r="X34" s="180"/>
      <c r="Y34" s="180"/>
      <c r="Z34" s="180"/>
    </row>
    <row r="35">
      <c r="A35" s="181" t="s">
        <v>198</v>
      </c>
      <c r="B35" s="181">
        <v>38.0</v>
      </c>
      <c r="C35" s="181" t="s">
        <v>201</v>
      </c>
      <c r="D35" s="181" t="s">
        <v>895</v>
      </c>
      <c r="E35" s="182" t="s">
        <v>683</v>
      </c>
      <c r="F35" s="179"/>
      <c r="G35" s="181" t="s">
        <v>896</v>
      </c>
      <c r="H35" s="181">
        <v>100.0</v>
      </c>
      <c r="I35" s="181">
        <v>1.0</v>
      </c>
      <c r="J35" s="181">
        <v>1.0</v>
      </c>
      <c r="K35" s="181">
        <v>0.0</v>
      </c>
      <c r="L35" s="181">
        <v>30.0</v>
      </c>
      <c r="M35" s="181">
        <v>0.3</v>
      </c>
      <c r="N35" s="183">
        <v>2019.0</v>
      </c>
      <c r="O35" s="181">
        <v>2030.0</v>
      </c>
      <c r="P35" s="181">
        <v>2019.0</v>
      </c>
      <c r="Q35" s="181">
        <v>5380359.0</v>
      </c>
      <c r="R35" s="181">
        <v>2690179.5</v>
      </c>
      <c r="S35" s="181">
        <v>2690179.5</v>
      </c>
      <c r="T35" s="181">
        <v>0.0</v>
      </c>
      <c r="U35" s="182">
        <v>0.0</v>
      </c>
      <c r="V35" s="182">
        <v>0.0</v>
      </c>
      <c r="W35" s="179">
        <f t="shared" si="1"/>
        <v>-11</v>
      </c>
      <c r="X35" s="180"/>
      <c r="Y35" s="180"/>
      <c r="Z35" s="180"/>
    </row>
    <row r="36">
      <c r="A36" s="181" t="s">
        <v>198</v>
      </c>
      <c r="B36" s="181">
        <v>38.0</v>
      </c>
      <c r="C36" s="181" t="s">
        <v>201</v>
      </c>
      <c r="D36" s="181" t="s">
        <v>895</v>
      </c>
      <c r="E36" s="182" t="s">
        <v>683</v>
      </c>
      <c r="F36" s="179"/>
      <c r="G36" s="181" t="s">
        <v>896</v>
      </c>
      <c r="H36" s="181">
        <v>100.0</v>
      </c>
      <c r="I36" s="181">
        <v>1.0</v>
      </c>
      <c r="J36" s="181">
        <v>1.0</v>
      </c>
      <c r="K36" s="181">
        <v>0.0</v>
      </c>
      <c r="L36" s="181">
        <v>100.0</v>
      </c>
      <c r="M36" s="181">
        <v>1.0</v>
      </c>
      <c r="N36" s="183">
        <v>2019.0</v>
      </c>
      <c r="O36" s="181">
        <v>2050.0</v>
      </c>
      <c r="P36" s="181">
        <v>2019.0</v>
      </c>
      <c r="Q36" s="181">
        <v>5380359.0</v>
      </c>
      <c r="R36" s="181">
        <v>2690179.5</v>
      </c>
      <c r="S36" s="181">
        <v>2690179.5</v>
      </c>
      <c r="T36" s="181">
        <v>0.0</v>
      </c>
      <c r="U36" s="182">
        <v>0.0</v>
      </c>
      <c r="V36" s="182">
        <v>0.0</v>
      </c>
      <c r="W36" s="179">
        <f t="shared" si="1"/>
        <v>-31</v>
      </c>
      <c r="X36" s="180"/>
      <c r="Y36" s="180"/>
      <c r="Z36" s="180"/>
    </row>
    <row r="37">
      <c r="A37" s="181" t="s">
        <v>210</v>
      </c>
      <c r="B37" s="181">
        <v>41.0</v>
      </c>
      <c r="C37" s="181" t="s">
        <v>213</v>
      </c>
      <c r="D37" s="181" t="s">
        <v>895</v>
      </c>
      <c r="E37" s="182" t="s">
        <v>683</v>
      </c>
      <c r="F37" s="179"/>
      <c r="G37" s="181" t="s">
        <v>896</v>
      </c>
      <c r="H37" s="181">
        <v>100.0</v>
      </c>
      <c r="I37" s="181">
        <v>1.0</v>
      </c>
      <c r="J37" s="181">
        <v>1.0</v>
      </c>
      <c r="K37" s="181">
        <v>0.0</v>
      </c>
      <c r="L37" s="181">
        <v>15.0</v>
      </c>
      <c r="M37" s="181">
        <v>0.15</v>
      </c>
      <c r="N37" s="183">
        <v>2015.0</v>
      </c>
      <c r="O37" s="181">
        <v>2022.0</v>
      </c>
      <c r="P37" s="181">
        <v>2017.0</v>
      </c>
      <c r="Q37" s="181">
        <v>1133000.0</v>
      </c>
      <c r="R37" s="181">
        <v>566500.0</v>
      </c>
      <c r="S37" s="181">
        <v>566500.0</v>
      </c>
      <c r="T37" s="181">
        <v>0.0</v>
      </c>
      <c r="U37" s="182">
        <v>81.67637540453075</v>
      </c>
      <c r="V37" s="182">
        <v>0.8168</v>
      </c>
      <c r="W37" s="179">
        <f t="shared" si="1"/>
        <v>-5</v>
      </c>
      <c r="X37" s="180"/>
      <c r="Y37" s="180"/>
      <c r="Z37" s="180"/>
    </row>
    <row r="38">
      <c r="A38" s="181" t="s">
        <v>225</v>
      </c>
      <c r="B38" s="181">
        <v>45.0</v>
      </c>
      <c r="C38" s="181" t="s">
        <v>229</v>
      </c>
      <c r="D38" s="181" t="s">
        <v>895</v>
      </c>
      <c r="E38" s="182" t="s">
        <v>683</v>
      </c>
      <c r="F38" s="179"/>
      <c r="G38" s="181" t="s">
        <v>896</v>
      </c>
      <c r="H38" s="181">
        <v>100.0</v>
      </c>
      <c r="I38" s="181">
        <v>1.0</v>
      </c>
      <c r="J38" s="181">
        <v>1.0</v>
      </c>
      <c r="K38" s="181">
        <v>0.0</v>
      </c>
      <c r="L38" s="181">
        <v>16.2</v>
      </c>
      <c r="M38" s="181">
        <v>0.162</v>
      </c>
      <c r="N38" s="183">
        <v>2017.0</v>
      </c>
      <c r="O38" s="181">
        <v>2023.0</v>
      </c>
      <c r="P38" s="181">
        <v>2018.0</v>
      </c>
      <c r="Q38" s="181">
        <v>4168442.0</v>
      </c>
      <c r="R38" s="181">
        <v>2084221.0</v>
      </c>
      <c r="S38" s="181">
        <v>2084221.0</v>
      </c>
      <c r="T38" s="181">
        <v>0.0</v>
      </c>
      <c r="U38" s="182">
        <v>78.80212769313619</v>
      </c>
      <c r="V38" s="182">
        <v>0.788</v>
      </c>
      <c r="W38" s="179">
        <f t="shared" si="1"/>
        <v>-5</v>
      </c>
      <c r="X38" s="180"/>
      <c r="Y38" s="180"/>
      <c r="Z38" s="180"/>
    </row>
    <row r="39">
      <c r="A39" s="181" t="s">
        <v>225</v>
      </c>
      <c r="B39" s="181">
        <v>45.0</v>
      </c>
      <c r="C39" s="181" t="s">
        <v>229</v>
      </c>
      <c r="D39" s="181" t="s">
        <v>895</v>
      </c>
      <c r="E39" s="182" t="s">
        <v>683</v>
      </c>
      <c r="F39" s="179"/>
      <c r="G39" s="181" t="s">
        <v>896</v>
      </c>
      <c r="H39" s="181">
        <v>100.0</v>
      </c>
      <c r="I39" s="181">
        <v>1.0</v>
      </c>
      <c r="J39" s="181">
        <v>1.0</v>
      </c>
      <c r="K39" s="181">
        <v>0.0</v>
      </c>
      <c r="L39" s="181">
        <v>75.0</v>
      </c>
      <c r="M39" s="181">
        <v>0.75</v>
      </c>
      <c r="N39" s="183">
        <v>2017.0</v>
      </c>
      <c r="O39" s="181">
        <v>2035.0</v>
      </c>
      <c r="P39" s="181">
        <v>2018.0</v>
      </c>
      <c r="Q39" s="181">
        <v>4168442.0</v>
      </c>
      <c r="R39" s="181">
        <v>2084221.0</v>
      </c>
      <c r="S39" s="181">
        <v>2084221.0</v>
      </c>
      <c r="T39" s="181">
        <v>0.0</v>
      </c>
      <c r="U39" s="182">
        <v>17.02125958171742</v>
      </c>
      <c r="V39" s="182">
        <v>0.1702</v>
      </c>
      <c r="W39" s="179">
        <f t="shared" si="1"/>
        <v>-17</v>
      </c>
      <c r="X39" s="180"/>
      <c r="Y39" s="180"/>
      <c r="Z39" s="180"/>
    </row>
    <row r="40">
      <c r="A40" s="181" t="s">
        <v>242</v>
      </c>
      <c r="B40" s="181">
        <v>48.0</v>
      </c>
      <c r="C40" s="181" t="s">
        <v>246</v>
      </c>
      <c r="D40" s="181" t="s">
        <v>895</v>
      </c>
      <c r="E40" s="182" t="s">
        <v>683</v>
      </c>
      <c r="F40" s="179"/>
      <c r="G40" s="181" t="s">
        <v>896</v>
      </c>
      <c r="H40" s="181">
        <v>100.0</v>
      </c>
      <c r="I40" s="181">
        <v>1.0</v>
      </c>
      <c r="J40" s="181">
        <v>1.0</v>
      </c>
      <c r="K40" s="181">
        <v>0.0</v>
      </c>
      <c r="L40" s="181">
        <v>31.0</v>
      </c>
      <c r="M40" s="181">
        <v>0.31</v>
      </c>
      <c r="N40" s="181">
        <v>2010.0</v>
      </c>
      <c r="O40" s="181">
        <v>2030.0</v>
      </c>
      <c r="P40" s="181">
        <v>2018.0</v>
      </c>
      <c r="Q40" s="181">
        <v>6173746.0</v>
      </c>
      <c r="R40" s="181">
        <v>3086873.0</v>
      </c>
      <c r="S40" s="181">
        <v>3086873.0</v>
      </c>
      <c r="T40" s="181">
        <v>0.0</v>
      </c>
      <c r="U40" s="182">
        <v>45.04877223963455</v>
      </c>
      <c r="V40" s="182">
        <v>0.4505</v>
      </c>
      <c r="W40" s="179">
        <f t="shared" si="1"/>
        <v>-12</v>
      </c>
      <c r="X40" s="180"/>
      <c r="Y40" s="180"/>
      <c r="Z40" s="180"/>
    </row>
    <row r="41">
      <c r="A41" s="181" t="s">
        <v>242</v>
      </c>
      <c r="B41" s="181">
        <v>48.0</v>
      </c>
      <c r="C41" s="181" t="s">
        <v>246</v>
      </c>
      <c r="D41" s="181" t="s">
        <v>895</v>
      </c>
      <c r="E41" s="182" t="s">
        <v>683</v>
      </c>
      <c r="F41" s="179"/>
      <c r="G41" s="181" t="s">
        <v>689</v>
      </c>
      <c r="H41" s="181">
        <v>100.0</v>
      </c>
      <c r="I41" s="181">
        <v>0.0</v>
      </c>
      <c r="J41" s="181">
        <v>0.0</v>
      </c>
      <c r="K41" s="181">
        <v>1.0</v>
      </c>
      <c r="L41" s="181">
        <v>4.0</v>
      </c>
      <c r="M41" s="181">
        <v>0.04</v>
      </c>
      <c r="N41" s="183">
        <v>2016.0</v>
      </c>
      <c r="O41" s="181">
        <v>2021.0</v>
      </c>
      <c r="P41" s="181">
        <v>2017.0</v>
      </c>
      <c r="Q41" s="181">
        <v>8023097.0</v>
      </c>
      <c r="R41" s="181">
        <v>0.0</v>
      </c>
      <c r="S41" s="181">
        <v>0.0</v>
      </c>
      <c r="T41" s="181">
        <v>8023097.0</v>
      </c>
      <c r="U41" s="182">
        <v>80.85811501468825</v>
      </c>
      <c r="V41" s="182">
        <v>0.8086</v>
      </c>
      <c r="W41" s="179">
        <f t="shared" si="1"/>
        <v>-4</v>
      </c>
      <c r="X41" s="180"/>
      <c r="Y41" s="180"/>
      <c r="Z41" s="180"/>
    </row>
    <row r="42">
      <c r="A42" s="181" t="s">
        <v>248</v>
      </c>
      <c r="B42" s="181">
        <v>49.0</v>
      </c>
      <c r="C42" s="181" t="s">
        <v>252</v>
      </c>
      <c r="D42" s="181" t="s">
        <v>895</v>
      </c>
      <c r="E42" s="182" t="s">
        <v>683</v>
      </c>
      <c r="F42" s="179"/>
      <c r="G42" s="181" t="s">
        <v>896</v>
      </c>
      <c r="H42" s="181">
        <v>100.0</v>
      </c>
      <c r="I42" s="181">
        <v>1.0</v>
      </c>
      <c r="J42" s="181">
        <v>1.0</v>
      </c>
      <c r="K42" s="181">
        <v>0.0</v>
      </c>
      <c r="L42" s="181">
        <v>25.0</v>
      </c>
      <c r="M42" s="181">
        <v>0.25</v>
      </c>
      <c r="N42" s="183">
        <v>2016.0</v>
      </c>
      <c r="O42" s="181">
        <v>2025.0</v>
      </c>
      <c r="P42" s="181">
        <v>2017.0</v>
      </c>
      <c r="Q42" s="181">
        <v>82840.0</v>
      </c>
      <c r="R42" s="181">
        <v>41420.0</v>
      </c>
      <c r="S42" s="181">
        <v>41420.0</v>
      </c>
      <c r="T42" s="181">
        <v>0.0</v>
      </c>
      <c r="U42" s="182">
        <v>43.964268469338485</v>
      </c>
      <c r="V42" s="182">
        <v>0.4396</v>
      </c>
      <c r="W42" s="179">
        <f t="shared" si="1"/>
        <v>-8</v>
      </c>
      <c r="X42" s="180"/>
      <c r="Y42" s="180"/>
      <c r="Z42" s="180"/>
    </row>
    <row r="43">
      <c r="A43" s="181" t="s">
        <v>254</v>
      </c>
      <c r="B43" s="181">
        <v>50.0</v>
      </c>
      <c r="C43" s="181" t="s">
        <v>258</v>
      </c>
      <c r="D43" s="181" t="s">
        <v>895</v>
      </c>
      <c r="E43" s="182" t="s">
        <v>683</v>
      </c>
      <c r="F43" s="179"/>
      <c r="G43" s="181" t="s">
        <v>896</v>
      </c>
      <c r="H43" s="181">
        <v>100.0</v>
      </c>
      <c r="I43" s="181">
        <v>1.0</v>
      </c>
      <c r="J43" s="181">
        <v>1.0</v>
      </c>
      <c r="K43" s="181">
        <v>0.0</v>
      </c>
      <c r="L43" s="181">
        <v>50.0</v>
      </c>
      <c r="M43" s="181">
        <v>0.5</v>
      </c>
      <c r="N43" s="183">
        <v>2013.0</v>
      </c>
      <c r="O43" s="181">
        <v>2036.0</v>
      </c>
      <c r="P43" s="181">
        <v>2015.0</v>
      </c>
      <c r="Q43" s="181">
        <v>251687.0</v>
      </c>
      <c r="R43" s="181">
        <v>125843.5</v>
      </c>
      <c r="S43" s="181">
        <v>125843.5</v>
      </c>
      <c r="T43" s="181">
        <v>0.0</v>
      </c>
      <c r="U43" s="182">
        <v>182.69119978385854</v>
      </c>
      <c r="V43" s="182">
        <v>1.8269</v>
      </c>
      <c r="W43" s="179">
        <f t="shared" si="1"/>
        <v>-21</v>
      </c>
      <c r="X43" s="180"/>
      <c r="Y43" s="180"/>
      <c r="Z43" s="180"/>
    </row>
    <row r="44">
      <c r="A44" s="181" t="s">
        <v>271</v>
      </c>
      <c r="B44" s="181">
        <v>53.0</v>
      </c>
      <c r="C44" s="181" t="s">
        <v>275</v>
      </c>
      <c r="D44" s="181" t="s">
        <v>895</v>
      </c>
      <c r="E44" s="182" t="s">
        <v>683</v>
      </c>
      <c r="F44" s="179"/>
      <c r="G44" s="181" t="s">
        <v>899</v>
      </c>
      <c r="H44" s="181">
        <v>100.0</v>
      </c>
      <c r="I44" s="181">
        <v>1.0</v>
      </c>
      <c r="J44" s="181">
        <v>1.0</v>
      </c>
      <c r="K44" s="181">
        <v>1.0</v>
      </c>
      <c r="L44" s="181">
        <v>40.0</v>
      </c>
      <c r="M44" s="181">
        <v>0.4</v>
      </c>
      <c r="N44" s="183">
        <v>2005.0</v>
      </c>
      <c r="O44" s="181">
        <v>2025.0</v>
      </c>
      <c r="P44" s="181">
        <v>2018.0</v>
      </c>
      <c r="Q44" s="181">
        <v>2028000.0</v>
      </c>
      <c r="R44" s="181">
        <v>676000.0</v>
      </c>
      <c r="S44" s="181">
        <v>676000.0</v>
      </c>
      <c r="T44" s="181">
        <v>676000.0</v>
      </c>
      <c r="U44" s="182">
        <v>99.28217455621302</v>
      </c>
      <c r="V44" s="182">
        <v>0.9928</v>
      </c>
      <c r="W44" s="179">
        <f t="shared" si="1"/>
        <v>-7</v>
      </c>
      <c r="X44" s="180"/>
      <c r="Y44" s="180"/>
      <c r="Z44" s="180"/>
    </row>
    <row r="45">
      <c r="A45" s="181" t="s">
        <v>283</v>
      </c>
      <c r="B45" s="181">
        <v>55.0</v>
      </c>
      <c r="C45" s="181" t="s">
        <v>287</v>
      </c>
      <c r="D45" s="181" t="s">
        <v>895</v>
      </c>
      <c r="E45" s="182" t="s">
        <v>683</v>
      </c>
      <c r="F45" s="179"/>
      <c r="G45" s="181" t="s">
        <v>896</v>
      </c>
      <c r="H45" s="181">
        <v>100.0</v>
      </c>
      <c r="I45" s="181">
        <v>1.0</v>
      </c>
      <c r="J45" s="181">
        <v>1.0</v>
      </c>
      <c r="K45" s="181">
        <v>0.0</v>
      </c>
      <c r="L45" s="181">
        <v>80.0</v>
      </c>
      <c r="M45" s="181">
        <v>0.8</v>
      </c>
      <c r="N45" s="183" t="s">
        <v>901</v>
      </c>
      <c r="O45" s="181">
        <v>2050.0</v>
      </c>
      <c r="P45" s="181">
        <v>2015.0</v>
      </c>
      <c r="Q45" s="181">
        <v>1364881.0</v>
      </c>
      <c r="R45" s="181">
        <v>682440.5</v>
      </c>
      <c r="S45" s="181">
        <v>682440.5</v>
      </c>
      <c r="T45" s="181">
        <v>0.0</v>
      </c>
      <c r="U45" s="182">
        <v>39.49474349778478</v>
      </c>
      <c r="V45" s="182">
        <v>0.3949</v>
      </c>
      <c r="W45" s="179">
        <f t="shared" si="1"/>
        <v>-35</v>
      </c>
      <c r="X45" s="180"/>
      <c r="Y45" s="180"/>
      <c r="Z45" s="180"/>
    </row>
    <row r="46">
      <c r="A46" s="181" t="s">
        <v>310</v>
      </c>
      <c r="B46" s="181">
        <v>60.0</v>
      </c>
      <c r="C46" s="181" t="s">
        <v>314</v>
      </c>
      <c r="D46" s="181" t="s">
        <v>895</v>
      </c>
      <c r="E46" s="182" t="s">
        <v>683</v>
      </c>
      <c r="F46" s="179"/>
      <c r="G46" s="181" t="s">
        <v>896</v>
      </c>
      <c r="H46" s="181">
        <v>100.0</v>
      </c>
      <c r="I46" s="181">
        <v>1.0</v>
      </c>
      <c r="J46" s="181">
        <v>1.0</v>
      </c>
      <c r="K46" s="181">
        <v>0.0</v>
      </c>
      <c r="L46" s="181">
        <v>40.0</v>
      </c>
      <c r="M46" s="181">
        <v>0.4</v>
      </c>
      <c r="N46" s="183">
        <v>2016.0</v>
      </c>
      <c r="O46" s="181">
        <v>2030.0</v>
      </c>
      <c r="P46" s="181">
        <v>2019.0</v>
      </c>
      <c r="Q46" s="181">
        <v>2710148.0</v>
      </c>
      <c r="R46" s="181">
        <v>1355074.0</v>
      </c>
      <c r="S46" s="181">
        <v>1355074.0</v>
      </c>
      <c r="T46" s="181">
        <v>0.0</v>
      </c>
      <c r="U46" s="182">
        <v>55.499090824560135</v>
      </c>
      <c r="V46" s="182">
        <v>0.555</v>
      </c>
      <c r="W46" s="179">
        <f t="shared" si="1"/>
        <v>-11</v>
      </c>
      <c r="X46" s="180"/>
      <c r="Y46" s="180"/>
      <c r="Z46" s="180"/>
    </row>
    <row r="47">
      <c r="A47" s="181" t="s">
        <v>316</v>
      </c>
      <c r="B47" s="181">
        <v>61.0</v>
      </c>
      <c r="C47" s="181" t="s">
        <v>320</v>
      </c>
      <c r="D47" s="181" t="s">
        <v>895</v>
      </c>
      <c r="E47" s="182" t="s">
        <v>683</v>
      </c>
      <c r="F47" s="179"/>
      <c r="G47" s="181" t="s">
        <v>896</v>
      </c>
      <c r="H47" s="181">
        <v>100.0</v>
      </c>
      <c r="I47" s="181">
        <v>1.0</v>
      </c>
      <c r="J47" s="181">
        <v>1.0</v>
      </c>
      <c r="K47" s="181">
        <v>0.0</v>
      </c>
      <c r="L47" s="181">
        <v>38.0</v>
      </c>
      <c r="M47" s="181">
        <v>0.38</v>
      </c>
      <c r="N47" s="183">
        <v>2016.0</v>
      </c>
      <c r="O47" s="181">
        <v>2025.0</v>
      </c>
      <c r="P47" s="181">
        <v>2018.0</v>
      </c>
      <c r="Q47" s="181">
        <v>99214.39</v>
      </c>
      <c r="R47" s="181">
        <v>49607.195</v>
      </c>
      <c r="S47" s="181">
        <v>49607.195</v>
      </c>
      <c r="T47" s="181">
        <v>0.0</v>
      </c>
      <c r="U47" s="182">
        <v>112.23814885808612</v>
      </c>
      <c r="V47" s="182">
        <v>1.1224</v>
      </c>
      <c r="W47" s="179">
        <f t="shared" si="1"/>
        <v>-7</v>
      </c>
      <c r="X47" s="180"/>
      <c r="Y47" s="180"/>
      <c r="Z47" s="180"/>
    </row>
    <row r="48">
      <c r="A48" s="181" t="s">
        <v>316</v>
      </c>
      <c r="B48" s="181">
        <v>61.0</v>
      </c>
      <c r="C48" s="181" t="s">
        <v>320</v>
      </c>
      <c r="D48" s="181" t="s">
        <v>895</v>
      </c>
      <c r="E48" s="182" t="s">
        <v>683</v>
      </c>
      <c r="F48" s="179"/>
      <c r="G48" s="181" t="s">
        <v>689</v>
      </c>
      <c r="H48" s="181">
        <v>100.0</v>
      </c>
      <c r="I48" s="181">
        <v>0.0</v>
      </c>
      <c r="J48" s="181">
        <v>0.0</v>
      </c>
      <c r="K48" s="181">
        <v>1.0</v>
      </c>
      <c r="L48" s="181">
        <v>20.0</v>
      </c>
      <c r="M48" s="181">
        <v>0.2</v>
      </c>
      <c r="N48" s="183">
        <v>2016.0</v>
      </c>
      <c r="O48" s="181">
        <v>2025.0</v>
      </c>
      <c r="P48" s="181">
        <v>2018.0</v>
      </c>
      <c r="Q48" s="181">
        <v>848977.95</v>
      </c>
      <c r="R48" s="181">
        <v>0.0</v>
      </c>
      <c r="S48" s="181">
        <v>0.0</v>
      </c>
      <c r="T48" s="181">
        <v>848977.95</v>
      </c>
      <c r="U48" s="182">
        <v>203.75426711612477</v>
      </c>
      <c r="V48" s="182">
        <v>2.0375</v>
      </c>
      <c r="W48" s="179">
        <f t="shared" si="1"/>
        <v>-7</v>
      </c>
      <c r="X48" s="180"/>
      <c r="Y48" s="180"/>
      <c r="Z48" s="180"/>
    </row>
    <row r="49">
      <c r="A49" s="181" t="s">
        <v>322</v>
      </c>
      <c r="B49" s="181">
        <v>62.0</v>
      </c>
      <c r="C49" s="181" t="s">
        <v>326</v>
      </c>
      <c r="D49" s="181" t="s">
        <v>895</v>
      </c>
      <c r="E49" s="182" t="s">
        <v>683</v>
      </c>
      <c r="F49" s="179"/>
      <c r="G49" s="181" t="s">
        <v>899</v>
      </c>
      <c r="H49" s="181">
        <v>100.0</v>
      </c>
      <c r="I49" s="181">
        <v>1.0</v>
      </c>
      <c r="J49" s="181">
        <v>1.0</v>
      </c>
      <c r="K49" s="181">
        <v>1.0</v>
      </c>
      <c r="L49" s="181">
        <v>36.0</v>
      </c>
      <c r="M49" s="181">
        <v>0.36</v>
      </c>
      <c r="N49" s="183">
        <v>2015.0</v>
      </c>
      <c r="O49" s="181">
        <v>2030.0</v>
      </c>
      <c r="P49" s="181">
        <v>2018.0</v>
      </c>
      <c r="Q49" s="181">
        <v>8446246.48</v>
      </c>
      <c r="R49" s="181">
        <v>2815415.4933</v>
      </c>
      <c r="S49" s="181">
        <v>2815415.4933</v>
      </c>
      <c r="T49" s="181">
        <v>2815415.4933</v>
      </c>
      <c r="U49" s="182">
        <v>10.318131016439128</v>
      </c>
      <c r="V49" s="182">
        <v>0.1032</v>
      </c>
      <c r="W49" s="179">
        <f t="shared" si="1"/>
        <v>-12</v>
      </c>
      <c r="X49" s="180"/>
      <c r="Y49" s="180"/>
      <c r="Z49" s="180"/>
    </row>
    <row r="50">
      <c r="A50" s="181" t="s">
        <v>333</v>
      </c>
      <c r="B50" s="181">
        <v>64.0</v>
      </c>
      <c r="C50" s="181" t="s">
        <v>337</v>
      </c>
      <c r="D50" s="181" t="s">
        <v>895</v>
      </c>
      <c r="E50" s="182" t="s">
        <v>683</v>
      </c>
      <c r="F50" s="179"/>
      <c r="G50" s="181" t="s">
        <v>896</v>
      </c>
      <c r="H50" s="181">
        <v>100.0</v>
      </c>
      <c r="I50" s="181">
        <v>1.0</v>
      </c>
      <c r="J50" s="181">
        <v>1.0</v>
      </c>
      <c r="K50" s="181">
        <v>0.0</v>
      </c>
      <c r="L50" s="181">
        <v>40.0</v>
      </c>
      <c r="M50" s="181">
        <v>0.4</v>
      </c>
      <c r="N50" s="183">
        <v>2015.0</v>
      </c>
      <c r="O50" s="181">
        <v>2025.0</v>
      </c>
      <c r="P50" s="181">
        <v>2016.0</v>
      </c>
      <c r="Q50" s="181">
        <v>1458970.0</v>
      </c>
      <c r="R50" s="181">
        <v>729485.0</v>
      </c>
      <c r="S50" s="181">
        <v>729485.0</v>
      </c>
      <c r="T50" s="181">
        <v>0.0</v>
      </c>
      <c r="U50" s="182">
        <v>66.31390638601205</v>
      </c>
      <c r="V50" s="182">
        <v>0.6631</v>
      </c>
      <c r="W50" s="179">
        <f t="shared" si="1"/>
        <v>-9</v>
      </c>
      <c r="X50" s="180"/>
      <c r="Y50" s="180"/>
      <c r="Z50" s="180"/>
    </row>
    <row r="51">
      <c r="A51" s="181" t="s">
        <v>345</v>
      </c>
      <c r="B51" s="181">
        <v>66.0</v>
      </c>
      <c r="C51" s="181" t="s">
        <v>349</v>
      </c>
      <c r="D51" s="181" t="s">
        <v>895</v>
      </c>
      <c r="E51" s="182" t="s">
        <v>683</v>
      </c>
      <c r="F51" s="179"/>
      <c r="G51" s="181" t="s">
        <v>896</v>
      </c>
      <c r="H51" s="181">
        <v>100.0</v>
      </c>
      <c r="I51" s="181">
        <v>1.0</v>
      </c>
      <c r="J51" s="181">
        <v>1.0</v>
      </c>
      <c r="K51" s="181">
        <v>0.0</v>
      </c>
      <c r="L51" s="181">
        <v>75.0</v>
      </c>
      <c r="M51" s="181">
        <v>0.75</v>
      </c>
      <c r="N51" s="183">
        <v>2013.0</v>
      </c>
      <c r="O51" s="181">
        <v>2030.0</v>
      </c>
      <c r="P51" s="181">
        <v>2017.0</v>
      </c>
      <c r="Q51" s="181">
        <v>920143.0</v>
      </c>
      <c r="R51" s="181">
        <v>460071.5</v>
      </c>
      <c r="S51" s="181">
        <v>460071.5</v>
      </c>
      <c r="T51" s="181">
        <v>0.0</v>
      </c>
      <c r="U51" s="182">
        <v>76.99614806249319</v>
      </c>
      <c r="V51" s="182">
        <v>0.77</v>
      </c>
      <c r="W51" s="179">
        <f t="shared" si="1"/>
        <v>-13</v>
      </c>
      <c r="X51" s="180"/>
      <c r="Y51" s="180"/>
      <c r="Z51" s="180"/>
    </row>
    <row r="52">
      <c r="A52" s="181" t="s">
        <v>345</v>
      </c>
      <c r="B52" s="181">
        <v>66.0</v>
      </c>
      <c r="C52" s="181" t="s">
        <v>349</v>
      </c>
      <c r="D52" s="181" t="s">
        <v>895</v>
      </c>
      <c r="E52" s="182" t="s">
        <v>683</v>
      </c>
      <c r="F52" s="179"/>
      <c r="G52" s="181" t="s">
        <v>896</v>
      </c>
      <c r="H52" s="181">
        <v>100.0</v>
      </c>
      <c r="I52" s="181">
        <v>1.0</v>
      </c>
      <c r="J52" s="181">
        <v>1.0</v>
      </c>
      <c r="K52" s="181">
        <v>0.0</v>
      </c>
      <c r="L52" s="181">
        <v>75.0</v>
      </c>
      <c r="M52" s="181">
        <v>0.75</v>
      </c>
      <c r="N52" s="183">
        <v>2013.0</v>
      </c>
      <c r="O52" s="181">
        <v>2045.0</v>
      </c>
      <c r="P52" s="181">
        <v>2017.0</v>
      </c>
      <c r="Q52" s="181">
        <v>920143.0</v>
      </c>
      <c r="R52" s="181">
        <v>460071.5</v>
      </c>
      <c r="S52" s="181">
        <v>460071.5</v>
      </c>
      <c r="T52" s="181">
        <v>0.0</v>
      </c>
      <c r="U52" s="182">
        <v>76.99614806249319</v>
      </c>
      <c r="V52" s="182">
        <v>0.77</v>
      </c>
      <c r="W52" s="179">
        <f t="shared" si="1"/>
        <v>-28</v>
      </c>
      <c r="X52" s="180"/>
      <c r="Y52" s="180"/>
      <c r="Z52" s="180"/>
    </row>
    <row r="53">
      <c r="A53" s="181" t="s">
        <v>351</v>
      </c>
      <c r="B53" s="181">
        <v>67.0</v>
      </c>
      <c r="C53" s="181" t="s">
        <v>355</v>
      </c>
      <c r="D53" s="181" t="s">
        <v>895</v>
      </c>
      <c r="E53" s="182" t="s">
        <v>683</v>
      </c>
      <c r="F53" s="179"/>
      <c r="G53" s="181" t="s">
        <v>899</v>
      </c>
      <c r="H53" s="181">
        <v>80.0</v>
      </c>
      <c r="I53" s="181">
        <v>0.8</v>
      </c>
      <c r="J53" s="181">
        <v>0.8</v>
      </c>
      <c r="K53" s="181">
        <v>0.8</v>
      </c>
      <c r="L53" s="181">
        <v>10.0</v>
      </c>
      <c r="M53" s="181">
        <v>0.1</v>
      </c>
      <c r="N53" s="183">
        <v>2018.0</v>
      </c>
      <c r="O53" s="181">
        <v>2025.0</v>
      </c>
      <c r="P53" s="181">
        <v>2019.0</v>
      </c>
      <c r="Q53" s="181">
        <v>1.890334E7</v>
      </c>
      <c r="R53" s="181">
        <v>6301113.3333</v>
      </c>
      <c r="S53" s="181">
        <v>6301113.3333</v>
      </c>
      <c r="T53" s="181">
        <v>6301113.3333</v>
      </c>
      <c r="U53" s="182">
        <v>1000.0</v>
      </c>
      <c r="V53" s="182">
        <v>10.0</v>
      </c>
      <c r="W53" s="179">
        <f t="shared" si="1"/>
        <v>-6</v>
      </c>
      <c r="X53" s="180"/>
      <c r="Y53" s="180"/>
      <c r="Z53" s="180"/>
    </row>
    <row r="54">
      <c r="A54" s="181" t="s">
        <v>357</v>
      </c>
      <c r="B54" s="181">
        <v>68.0</v>
      </c>
      <c r="C54" s="181" t="s">
        <v>360</v>
      </c>
      <c r="D54" s="181" t="s">
        <v>895</v>
      </c>
      <c r="E54" s="182" t="s">
        <v>683</v>
      </c>
      <c r="F54" s="179"/>
      <c r="G54" s="181" t="s">
        <v>899</v>
      </c>
      <c r="H54" s="181">
        <v>100.0</v>
      </c>
      <c r="I54" s="181">
        <v>1.0</v>
      </c>
      <c r="J54" s="181">
        <v>1.0</v>
      </c>
      <c r="K54" s="181">
        <v>1.0</v>
      </c>
      <c r="L54" s="181">
        <v>100.0</v>
      </c>
      <c r="M54" s="181">
        <v>1.0</v>
      </c>
      <c r="N54" s="183">
        <v>2012.0</v>
      </c>
      <c r="O54" s="181">
        <v>2022.0</v>
      </c>
      <c r="P54" s="181">
        <v>2017.0</v>
      </c>
      <c r="Q54" s="181">
        <v>465350.0</v>
      </c>
      <c r="R54" s="181">
        <v>155116.6667</v>
      </c>
      <c r="S54" s="181">
        <v>155116.6667</v>
      </c>
      <c r="T54" s="181">
        <v>155116.6667</v>
      </c>
      <c r="U54" s="182">
        <v>34.62984850112819</v>
      </c>
      <c r="V54" s="182">
        <v>0.3463</v>
      </c>
      <c r="W54" s="179">
        <f t="shared" si="1"/>
        <v>-5</v>
      </c>
      <c r="X54" s="180"/>
      <c r="Y54" s="180"/>
      <c r="Z54" s="180"/>
    </row>
    <row r="55">
      <c r="A55" s="181" t="s">
        <v>357</v>
      </c>
      <c r="B55" s="181">
        <v>68.0</v>
      </c>
      <c r="C55" s="181" t="s">
        <v>360</v>
      </c>
      <c r="D55" s="181" t="s">
        <v>895</v>
      </c>
      <c r="E55" s="182" t="s">
        <v>683</v>
      </c>
      <c r="F55" s="179"/>
      <c r="G55" s="181" t="s">
        <v>896</v>
      </c>
      <c r="H55" s="181">
        <v>100.0</v>
      </c>
      <c r="I55" s="181">
        <v>1.0</v>
      </c>
      <c r="J55" s="181">
        <v>1.0</v>
      </c>
      <c r="K55" s="181">
        <v>0.0</v>
      </c>
      <c r="L55" s="181">
        <v>90.0</v>
      </c>
      <c r="M55" s="181">
        <v>0.9</v>
      </c>
      <c r="N55" s="183">
        <v>2012.0</v>
      </c>
      <c r="O55" s="181">
        <v>2022.0</v>
      </c>
      <c r="P55" s="181">
        <v>2017.0</v>
      </c>
      <c r="Q55" s="181">
        <v>357990.0</v>
      </c>
      <c r="R55" s="181">
        <v>178995.0</v>
      </c>
      <c r="S55" s="181">
        <v>178995.0</v>
      </c>
      <c r="T55" s="181">
        <v>0.0</v>
      </c>
      <c r="U55" s="182">
        <v>47.639443684025935</v>
      </c>
      <c r="V55" s="182">
        <v>0.4764</v>
      </c>
      <c r="W55" s="179">
        <f t="shared" si="1"/>
        <v>-5</v>
      </c>
      <c r="X55" s="180"/>
      <c r="Y55" s="180"/>
      <c r="Z55" s="180"/>
    </row>
    <row r="56">
      <c r="A56" s="181" t="s">
        <v>357</v>
      </c>
      <c r="B56" s="181">
        <v>68.0</v>
      </c>
      <c r="C56" s="181" t="s">
        <v>360</v>
      </c>
      <c r="D56" s="181" t="s">
        <v>895</v>
      </c>
      <c r="E56" s="182" t="s">
        <v>683</v>
      </c>
      <c r="F56" s="179"/>
      <c r="G56" s="181" t="s">
        <v>896</v>
      </c>
      <c r="H56" s="181">
        <v>100.0</v>
      </c>
      <c r="I56" s="181">
        <v>1.0</v>
      </c>
      <c r="J56" s="181">
        <v>1.0</v>
      </c>
      <c r="K56" s="181">
        <v>0.0</v>
      </c>
      <c r="L56" s="181">
        <v>90.0</v>
      </c>
      <c r="M56" s="181">
        <v>0.9</v>
      </c>
      <c r="N56" s="183">
        <v>2012.0</v>
      </c>
      <c r="O56" s="181">
        <v>2033.0</v>
      </c>
      <c r="P56" s="181">
        <v>2017.0</v>
      </c>
      <c r="Q56" s="181">
        <v>357990.0</v>
      </c>
      <c r="R56" s="181">
        <v>178995.0</v>
      </c>
      <c r="S56" s="181">
        <v>178995.0</v>
      </c>
      <c r="T56" s="181">
        <v>0.0</v>
      </c>
      <c r="U56" s="182">
        <v>47.639443684025935</v>
      </c>
      <c r="V56" s="182">
        <v>0.4764</v>
      </c>
      <c r="W56" s="179">
        <f t="shared" si="1"/>
        <v>-16</v>
      </c>
      <c r="X56" s="180"/>
      <c r="Y56" s="180"/>
      <c r="Z56" s="180"/>
    </row>
    <row r="57">
      <c r="A57" s="181" t="s">
        <v>368</v>
      </c>
      <c r="B57" s="181">
        <v>71.0</v>
      </c>
      <c r="C57" s="181" t="s">
        <v>372</v>
      </c>
      <c r="D57" s="181" t="s">
        <v>895</v>
      </c>
      <c r="E57" s="182" t="s">
        <v>683</v>
      </c>
      <c r="F57" s="179"/>
      <c r="G57" s="181" t="s">
        <v>896</v>
      </c>
      <c r="H57" s="181">
        <v>100.0</v>
      </c>
      <c r="I57" s="181">
        <v>1.0</v>
      </c>
      <c r="J57" s="181">
        <v>1.0</v>
      </c>
      <c r="K57" s="181">
        <v>0.0</v>
      </c>
      <c r="L57" s="181">
        <v>65.0</v>
      </c>
      <c r="M57" s="181">
        <v>0.65</v>
      </c>
      <c r="N57" s="183">
        <v>2015.0</v>
      </c>
      <c r="O57" s="184">
        <v>2026.0</v>
      </c>
      <c r="P57" s="181">
        <v>2019.0</v>
      </c>
      <c r="Q57" s="181">
        <v>264394.0</v>
      </c>
      <c r="R57" s="181">
        <v>132197.0</v>
      </c>
      <c r="S57" s="181">
        <v>132197.0</v>
      </c>
      <c r="T57" s="181">
        <v>0.0</v>
      </c>
      <c r="U57" s="182">
        <v>5.012914874712041</v>
      </c>
      <c r="V57" s="182">
        <v>0.0501</v>
      </c>
      <c r="W57" s="179">
        <f t="shared" si="1"/>
        <v>-7</v>
      </c>
      <c r="X57" s="180"/>
      <c r="Y57" s="180"/>
      <c r="Z57" s="180"/>
    </row>
    <row r="58">
      <c r="A58" s="181" t="s">
        <v>379</v>
      </c>
      <c r="B58" s="181">
        <v>73.0</v>
      </c>
      <c r="C58" s="181" t="s">
        <v>382</v>
      </c>
      <c r="D58" s="181" t="s">
        <v>895</v>
      </c>
      <c r="E58" s="182" t="s">
        <v>683</v>
      </c>
      <c r="F58" s="179"/>
      <c r="G58" s="181" t="s">
        <v>896</v>
      </c>
      <c r="H58" s="181">
        <v>77.0</v>
      </c>
      <c r="I58" s="181">
        <v>0.77</v>
      </c>
      <c r="J58" s="181">
        <v>0.77</v>
      </c>
      <c r="K58" s="181">
        <v>0.0</v>
      </c>
      <c r="L58" s="181">
        <v>4.6</v>
      </c>
      <c r="M58" s="181">
        <v>0.046</v>
      </c>
      <c r="N58" s="183">
        <v>2013.0</v>
      </c>
      <c r="O58" s="181">
        <v>2025.0</v>
      </c>
      <c r="P58" s="181">
        <v>2020.0</v>
      </c>
      <c r="Q58" s="181">
        <v>8081870.0</v>
      </c>
      <c r="R58" s="181">
        <v>4040935.0</v>
      </c>
      <c r="S58" s="181">
        <v>4040935.0</v>
      </c>
      <c r="T58" s="181">
        <v>0.0</v>
      </c>
      <c r="U58" s="182">
        <v>2173.9130434782633</v>
      </c>
      <c r="V58" s="182">
        <v>21.7391</v>
      </c>
      <c r="W58" s="179">
        <f t="shared" si="1"/>
        <v>-5</v>
      </c>
      <c r="X58" s="180"/>
      <c r="Y58" s="180"/>
      <c r="Z58" s="180"/>
    </row>
    <row r="59">
      <c r="A59" s="181" t="s">
        <v>384</v>
      </c>
      <c r="B59" s="181">
        <v>74.0</v>
      </c>
      <c r="C59" s="181" t="s">
        <v>387</v>
      </c>
      <c r="D59" s="181" t="s">
        <v>895</v>
      </c>
      <c r="E59" s="182" t="s">
        <v>683</v>
      </c>
      <c r="F59" s="179"/>
      <c r="G59" s="181" t="s">
        <v>896</v>
      </c>
      <c r="H59" s="181">
        <v>100.0</v>
      </c>
      <c r="I59" s="181">
        <v>1.0</v>
      </c>
      <c r="J59" s="181">
        <v>1.0</v>
      </c>
      <c r="K59" s="181">
        <v>0.0</v>
      </c>
      <c r="L59" s="181">
        <v>26.0</v>
      </c>
      <c r="M59" s="181">
        <v>0.26</v>
      </c>
      <c r="N59" s="183">
        <v>2015.0</v>
      </c>
      <c r="O59" s="181">
        <v>2025.0</v>
      </c>
      <c r="P59" s="181">
        <v>2018.0</v>
      </c>
      <c r="Q59" s="181">
        <v>459516.0</v>
      </c>
      <c r="R59" s="181">
        <v>229758.0</v>
      </c>
      <c r="S59" s="181">
        <v>229758.0</v>
      </c>
      <c r="T59" s="181">
        <v>0.0</v>
      </c>
      <c r="U59" s="182">
        <v>78.65550174196665</v>
      </c>
      <c r="V59" s="182">
        <v>0.7866</v>
      </c>
      <c r="W59" s="179">
        <f t="shared" si="1"/>
        <v>-7</v>
      </c>
      <c r="X59" s="180"/>
      <c r="Y59" s="180"/>
      <c r="Z59" s="180"/>
    </row>
    <row r="60">
      <c r="A60" s="181" t="s">
        <v>384</v>
      </c>
      <c r="B60" s="181">
        <v>74.0</v>
      </c>
      <c r="C60" s="181" t="s">
        <v>387</v>
      </c>
      <c r="D60" s="181" t="s">
        <v>895</v>
      </c>
      <c r="E60" s="182" t="s">
        <v>683</v>
      </c>
      <c r="F60" s="179"/>
      <c r="G60" s="181" t="s">
        <v>896</v>
      </c>
      <c r="H60" s="181">
        <v>100.0</v>
      </c>
      <c r="I60" s="181">
        <v>1.0</v>
      </c>
      <c r="J60" s="181">
        <v>1.0</v>
      </c>
      <c r="K60" s="181">
        <v>0.0</v>
      </c>
      <c r="L60" s="181">
        <v>65.0</v>
      </c>
      <c r="M60" s="181">
        <v>0.65</v>
      </c>
      <c r="N60" s="183">
        <v>2015.0</v>
      </c>
      <c r="O60" s="181">
        <v>2050.0</v>
      </c>
      <c r="P60" s="181">
        <v>2018.0</v>
      </c>
      <c r="Q60" s="181">
        <v>459516.0</v>
      </c>
      <c r="R60" s="181">
        <v>229758.0</v>
      </c>
      <c r="S60" s="181">
        <v>229758.0</v>
      </c>
      <c r="T60" s="181">
        <v>0.0</v>
      </c>
      <c r="U60" s="182">
        <v>31.462200696786653</v>
      </c>
      <c r="V60" s="182">
        <v>0.3146</v>
      </c>
      <c r="W60" s="179">
        <f t="shared" si="1"/>
        <v>-32</v>
      </c>
      <c r="X60" s="180"/>
      <c r="Y60" s="180"/>
      <c r="Z60" s="180"/>
    </row>
    <row r="61">
      <c r="A61" s="181" t="s">
        <v>384</v>
      </c>
      <c r="B61" s="181">
        <v>74.0</v>
      </c>
      <c r="C61" s="181" t="s">
        <v>387</v>
      </c>
      <c r="D61" s="181" t="s">
        <v>895</v>
      </c>
      <c r="E61" s="182" t="s">
        <v>683</v>
      </c>
      <c r="F61" s="179"/>
      <c r="G61" s="181" t="s">
        <v>689</v>
      </c>
      <c r="H61" s="181">
        <v>100.0</v>
      </c>
      <c r="I61" s="181">
        <v>0.0</v>
      </c>
      <c r="J61" s="181">
        <v>0.0</v>
      </c>
      <c r="K61" s="181">
        <v>1.0</v>
      </c>
      <c r="L61" s="181">
        <v>25.0</v>
      </c>
      <c r="M61" s="181">
        <v>0.25</v>
      </c>
      <c r="N61" s="183">
        <v>2019.0</v>
      </c>
      <c r="O61" s="181">
        <v>2025.0</v>
      </c>
      <c r="P61" s="181">
        <v>2019.0</v>
      </c>
      <c r="Q61" s="181">
        <v>173807.0</v>
      </c>
      <c r="R61" s="181">
        <v>0.0</v>
      </c>
      <c r="S61" s="181">
        <v>0.0</v>
      </c>
      <c r="T61" s="181">
        <v>173807.0</v>
      </c>
      <c r="U61" s="182">
        <v>0.0</v>
      </c>
      <c r="V61" s="182">
        <v>0.0</v>
      </c>
      <c r="W61" s="179">
        <f t="shared" si="1"/>
        <v>-6</v>
      </c>
      <c r="X61" s="180"/>
      <c r="Y61" s="180"/>
      <c r="Z61" s="180"/>
    </row>
    <row r="62">
      <c r="A62" s="181" t="s">
        <v>394</v>
      </c>
      <c r="B62" s="181">
        <v>76.0</v>
      </c>
      <c r="C62" s="181" t="s">
        <v>398</v>
      </c>
      <c r="D62" s="181" t="s">
        <v>895</v>
      </c>
      <c r="E62" s="182" t="s">
        <v>683</v>
      </c>
      <c r="F62" s="179"/>
      <c r="G62" s="181" t="s">
        <v>899</v>
      </c>
      <c r="H62" s="181">
        <v>100.0</v>
      </c>
      <c r="I62" s="181">
        <v>1.0</v>
      </c>
      <c r="J62" s="181">
        <v>1.0</v>
      </c>
      <c r="K62" s="181">
        <v>1.0</v>
      </c>
      <c r="L62" s="181">
        <v>20.0</v>
      </c>
      <c r="M62" s="181">
        <v>0.2</v>
      </c>
      <c r="N62" s="183">
        <v>2015.0</v>
      </c>
      <c r="O62" s="181">
        <v>2030.0</v>
      </c>
      <c r="P62" s="181">
        <v>2016.0</v>
      </c>
      <c r="Q62" s="181">
        <v>5.8755109E7</v>
      </c>
      <c r="R62" s="181">
        <v>1.95850363333E7</v>
      </c>
      <c r="S62" s="181">
        <v>1.95850363333E7</v>
      </c>
      <c r="T62" s="181">
        <v>1.95850363333E7</v>
      </c>
      <c r="U62" s="182">
        <v>28.18796574779566</v>
      </c>
      <c r="V62" s="182">
        <v>0.2819</v>
      </c>
      <c r="W62" s="179">
        <f t="shared" si="1"/>
        <v>-14</v>
      </c>
      <c r="X62" s="180"/>
      <c r="Y62" s="180"/>
      <c r="Z62" s="180"/>
    </row>
    <row r="63">
      <c r="A63" s="181" t="s">
        <v>400</v>
      </c>
      <c r="B63" s="181">
        <v>77.0</v>
      </c>
      <c r="C63" s="181" t="s">
        <v>404</v>
      </c>
      <c r="D63" s="181" t="s">
        <v>895</v>
      </c>
      <c r="E63" s="182" t="s">
        <v>683</v>
      </c>
      <c r="F63" s="179"/>
      <c r="G63" s="181" t="s">
        <v>896</v>
      </c>
      <c r="H63" s="181">
        <v>100.0</v>
      </c>
      <c r="I63" s="181">
        <v>1.0</v>
      </c>
      <c r="J63" s="181">
        <v>1.0</v>
      </c>
      <c r="K63" s="181">
        <v>0.0</v>
      </c>
      <c r="L63" s="181">
        <v>60.0</v>
      </c>
      <c r="M63" s="181">
        <v>0.6</v>
      </c>
      <c r="N63" s="183">
        <v>2000.0</v>
      </c>
      <c r="O63" s="181">
        <v>2050.0</v>
      </c>
      <c r="P63" s="181">
        <v>2002.0</v>
      </c>
      <c r="Q63" s="181">
        <v>3479388.0</v>
      </c>
      <c r="R63" s="181">
        <v>1739694.0</v>
      </c>
      <c r="S63" s="181">
        <v>1739694.0</v>
      </c>
      <c r="T63" s="181">
        <v>0.0</v>
      </c>
      <c r="U63" s="182">
        <v>94.96229413525214</v>
      </c>
      <c r="V63" s="182">
        <v>0.9496</v>
      </c>
      <c r="W63" s="179">
        <f t="shared" si="1"/>
        <v>-48</v>
      </c>
      <c r="X63" s="180"/>
      <c r="Y63" s="180"/>
      <c r="Z63" s="180"/>
    </row>
    <row r="64">
      <c r="A64" s="181" t="s">
        <v>406</v>
      </c>
      <c r="B64" s="181">
        <v>78.0</v>
      </c>
      <c r="C64" s="181" t="s">
        <v>410</v>
      </c>
      <c r="D64" s="181" t="s">
        <v>895</v>
      </c>
      <c r="E64" s="182" t="s">
        <v>683</v>
      </c>
      <c r="F64" s="179"/>
      <c r="G64" s="181" t="s">
        <v>896</v>
      </c>
      <c r="H64" s="181">
        <v>100.0</v>
      </c>
      <c r="I64" s="181">
        <v>1.0</v>
      </c>
      <c r="J64" s="181">
        <v>1.0</v>
      </c>
      <c r="K64" s="181">
        <v>0.0</v>
      </c>
      <c r="L64" s="181">
        <v>40.0</v>
      </c>
      <c r="M64" s="181">
        <v>0.4</v>
      </c>
      <c r="N64" s="181">
        <v>2010.0</v>
      </c>
      <c r="O64" s="181">
        <v>2030.0</v>
      </c>
      <c r="P64" s="181">
        <v>2016.0</v>
      </c>
      <c r="Q64" s="181">
        <v>914050.0</v>
      </c>
      <c r="R64" s="181">
        <v>457025.0</v>
      </c>
      <c r="S64" s="181">
        <v>457025.0</v>
      </c>
      <c r="T64" s="181">
        <v>0.0</v>
      </c>
      <c r="U64" s="182">
        <v>97.96181828127564</v>
      </c>
      <c r="V64" s="182">
        <v>0.9796</v>
      </c>
      <c r="W64" s="179">
        <f t="shared" si="1"/>
        <v>-14</v>
      </c>
      <c r="X64" s="180"/>
      <c r="Y64" s="180"/>
      <c r="Z64" s="180"/>
    </row>
    <row r="65">
      <c r="A65" s="181" t="s">
        <v>406</v>
      </c>
      <c r="B65" s="181">
        <v>78.0</v>
      </c>
      <c r="C65" s="181" t="s">
        <v>410</v>
      </c>
      <c r="D65" s="181" t="s">
        <v>895</v>
      </c>
      <c r="E65" s="182" t="s">
        <v>683</v>
      </c>
      <c r="F65" s="179"/>
      <c r="G65" s="181" t="s">
        <v>896</v>
      </c>
      <c r="H65" s="181">
        <v>100.0</v>
      </c>
      <c r="I65" s="181">
        <v>1.0</v>
      </c>
      <c r="J65" s="181">
        <v>1.0</v>
      </c>
      <c r="K65" s="181">
        <v>0.0</v>
      </c>
      <c r="L65" s="181">
        <v>60.0</v>
      </c>
      <c r="M65" s="181">
        <v>0.6</v>
      </c>
      <c r="N65" s="181">
        <v>2010.0</v>
      </c>
      <c r="O65" s="181">
        <v>2040.0</v>
      </c>
      <c r="P65" s="181">
        <v>2016.0</v>
      </c>
      <c r="Q65" s="181">
        <v>914050.0</v>
      </c>
      <c r="R65" s="181">
        <v>457025.0</v>
      </c>
      <c r="S65" s="181">
        <v>457025.0</v>
      </c>
      <c r="T65" s="181">
        <v>0.0</v>
      </c>
      <c r="U65" s="182">
        <v>65.30787885418377</v>
      </c>
      <c r="V65" s="182">
        <v>0.6531</v>
      </c>
      <c r="W65" s="179">
        <f t="shared" si="1"/>
        <v>-24</v>
      </c>
      <c r="X65" s="180"/>
      <c r="Y65" s="180"/>
      <c r="Z65" s="180"/>
    </row>
    <row r="66">
      <c r="A66" s="181" t="s">
        <v>406</v>
      </c>
      <c r="B66" s="181">
        <v>78.0</v>
      </c>
      <c r="C66" s="181" t="s">
        <v>410</v>
      </c>
      <c r="D66" s="181" t="s">
        <v>895</v>
      </c>
      <c r="E66" s="182" t="s">
        <v>683</v>
      </c>
      <c r="F66" s="179"/>
      <c r="G66" s="181" t="s">
        <v>899</v>
      </c>
      <c r="H66" s="181">
        <v>100.0</v>
      </c>
      <c r="I66" s="181">
        <v>1.0</v>
      </c>
      <c r="J66" s="181">
        <v>1.0</v>
      </c>
      <c r="K66" s="181">
        <v>1.0</v>
      </c>
      <c r="L66" s="181">
        <v>40.0</v>
      </c>
      <c r="M66" s="181">
        <v>0.4</v>
      </c>
      <c r="N66" s="181">
        <v>2010.0</v>
      </c>
      <c r="O66" s="181">
        <v>2030.0</v>
      </c>
      <c r="P66" s="181">
        <v>2016.0</v>
      </c>
      <c r="Q66" s="181">
        <v>8062275.0</v>
      </c>
      <c r="R66" s="181">
        <v>2687425.0</v>
      </c>
      <c r="S66" s="181">
        <v>2687425.0</v>
      </c>
      <c r="T66" s="181">
        <v>2687425.0</v>
      </c>
      <c r="U66" s="182">
        <v>104.80239758628922</v>
      </c>
      <c r="V66" s="182">
        <v>1.048</v>
      </c>
      <c r="W66" s="179">
        <f t="shared" si="1"/>
        <v>-14</v>
      </c>
      <c r="X66" s="180"/>
      <c r="Y66" s="180"/>
      <c r="Z66" s="180"/>
    </row>
    <row r="67">
      <c r="A67" s="181" t="s">
        <v>412</v>
      </c>
      <c r="B67" s="181">
        <v>79.0</v>
      </c>
      <c r="C67" s="181" t="s">
        <v>416</v>
      </c>
      <c r="D67" s="181" t="s">
        <v>895</v>
      </c>
      <c r="E67" s="182" t="s">
        <v>683</v>
      </c>
      <c r="F67" s="179"/>
      <c r="G67" s="181" t="s">
        <v>896</v>
      </c>
      <c r="H67" s="181">
        <v>100.0</v>
      </c>
      <c r="I67" s="181">
        <v>1.0</v>
      </c>
      <c r="J67" s="181">
        <v>1.0</v>
      </c>
      <c r="K67" s="181">
        <v>0.0</v>
      </c>
      <c r="L67" s="181">
        <v>50.0</v>
      </c>
      <c r="M67" s="181">
        <v>0.5</v>
      </c>
      <c r="N67" s="181">
        <v>2010.0</v>
      </c>
      <c r="O67" s="181">
        <v>2030.0</v>
      </c>
      <c r="P67" s="181">
        <v>2018.0</v>
      </c>
      <c r="Q67" s="181">
        <v>5422275.0</v>
      </c>
      <c r="R67" s="181">
        <v>2711137.5</v>
      </c>
      <c r="S67" s="181">
        <v>2711137.5</v>
      </c>
      <c r="T67" s="181">
        <v>0.0</v>
      </c>
      <c r="U67" s="182">
        <v>50.61620814141665</v>
      </c>
      <c r="V67" s="182">
        <v>0.5062</v>
      </c>
      <c r="W67" s="179">
        <f t="shared" si="1"/>
        <v>-12</v>
      </c>
      <c r="X67" s="180"/>
      <c r="Y67" s="180"/>
      <c r="Z67" s="180"/>
    </row>
    <row r="68">
      <c r="A68" s="181" t="s">
        <v>418</v>
      </c>
      <c r="B68" s="181">
        <v>80.0</v>
      </c>
      <c r="C68" s="181" t="s">
        <v>422</v>
      </c>
      <c r="D68" s="181" t="s">
        <v>895</v>
      </c>
      <c r="E68" s="182" t="s">
        <v>683</v>
      </c>
      <c r="F68" s="179"/>
      <c r="G68" s="181" t="s">
        <v>896</v>
      </c>
      <c r="H68" s="181">
        <v>100.0</v>
      </c>
      <c r="I68" s="181">
        <v>1.0</v>
      </c>
      <c r="J68" s="181">
        <v>1.0</v>
      </c>
      <c r="K68" s="181">
        <v>0.0</v>
      </c>
      <c r="L68" s="181">
        <v>30.0</v>
      </c>
      <c r="M68" s="181">
        <v>0.3</v>
      </c>
      <c r="N68" s="183">
        <v>2014.0</v>
      </c>
      <c r="O68" s="181">
        <v>2025.0</v>
      </c>
      <c r="P68" s="181">
        <v>2015.0</v>
      </c>
      <c r="Q68" s="181">
        <v>230637.0</v>
      </c>
      <c r="R68" s="181">
        <v>115318.5</v>
      </c>
      <c r="S68" s="181">
        <v>115318.5</v>
      </c>
      <c r="T68" s="181">
        <v>0.0</v>
      </c>
      <c r="U68" s="182">
        <v>59.670969243154104</v>
      </c>
      <c r="V68" s="182">
        <v>0.5967</v>
      </c>
      <c r="W68" s="179">
        <f t="shared" si="1"/>
        <v>-10</v>
      </c>
      <c r="X68" s="180"/>
      <c r="Y68" s="180"/>
      <c r="Z68" s="180"/>
    </row>
    <row r="69">
      <c r="A69" s="181" t="s">
        <v>427</v>
      </c>
      <c r="B69" s="181">
        <v>82.0</v>
      </c>
      <c r="C69" s="181" t="s">
        <v>430</v>
      </c>
      <c r="D69" s="181" t="s">
        <v>895</v>
      </c>
      <c r="E69" s="182" t="s">
        <v>683</v>
      </c>
      <c r="F69" s="179"/>
      <c r="G69" s="181" t="s">
        <v>896</v>
      </c>
      <c r="H69" s="181">
        <v>100.0</v>
      </c>
      <c r="I69" s="181">
        <v>1.0</v>
      </c>
      <c r="J69" s="181">
        <v>1.0</v>
      </c>
      <c r="K69" s="181">
        <v>0.0</v>
      </c>
      <c r="L69" s="181">
        <v>100.0</v>
      </c>
      <c r="M69" s="181">
        <v>1.0</v>
      </c>
      <c r="N69" s="183">
        <v>2015.0</v>
      </c>
      <c r="O69" s="181">
        <v>2050.0</v>
      </c>
      <c r="P69" s="181">
        <v>2016.0</v>
      </c>
      <c r="Q69" s="181">
        <v>106542.0</v>
      </c>
      <c r="R69" s="181">
        <v>53271.0</v>
      </c>
      <c r="S69" s="181">
        <v>53271.0</v>
      </c>
      <c r="T69" s="181">
        <v>0.0</v>
      </c>
      <c r="U69" s="182">
        <v>-31.878508006232288</v>
      </c>
      <c r="V69" s="185">
        <v>-0.3188</v>
      </c>
      <c r="W69" s="179"/>
      <c r="X69" s="180"/>
      <c r="Y69" s="180"/>
      <c r="Z69" s="180"/>
    </row>
    <row r="70">
      <c r="A70" s="186" t="s">
        <v>427</v>
      </c>
      <c r="B70" s="181">
        <v>82.0</v>
      </c>
      <c r="C70" s="186" t="s">
        <v>430</v>
      </c>
      <c r="D70" s="186" t="s">
        <v>895</v>
      </c>
      <c r="E70" s="182" t="s">
        <v>683</v>
      </c>
      <c r="F70" s="179"/>
      <c r="G70" s="186" t="s">
        <v>896</v>
      </c>
      <c r="H70" s="186">
        <v>100.0</v>
      </c>
      <c r="I70" s="181">
        <v>1.0</v>
      </c>
      <c r="J70" s="181">
        <v>1.0</v>
      </c>
      <c r="K70" s="181">
        <v>0.0</v>
      </c>
      <c r="L70" s="186">
        <v>50.0</v>
      </c>
      <c r="M70" s="181">
        <v>0.5</v>
      </c>
      <c r="N70" s="187">
        <v>2018.0</v>
      </c>
      <c r="O70" s="186">
        <v>2030.0</v>
      </c>
      <c r="P70" s="186">
        <v>2019.0</v>
      </c>
      <c r="Q70" s="186">
        <v>162938.0</v>
      </c>
      <c r="R70" s="186">
        <v>81469.0</v>
      </c>
      <c r="S70" s="186">
        <v>81469.0</v>
      </c>
      <c r="T70" s="186">
        <v>0.0</v>
      </c>
      <c r="U70" s="188">
        <v>27.534399587573187</v>
      </c>
      <c r="V70" s="188">
        <v>0.2753</v>
      </c>
      <c r="W70" s="189"/>
      <c r="X70" s="180"/>
      <c r="Y70" s="180"/>
      <c r="Z70" s="180"/>
    </row>
    <row r="71">
      <c r="A71" s="181" t="s">
        <v>427</v>
      </c>
      <c r="B71" s="181">
        <v>82.0</v>
      </c>
      <c r="C71" s="181" t="s">
        <v>430</v>
      </c>
      <c r="D71" s="181" t="s">
        <v>895</v>
      </c>
      <c r="E71" s="182" t="s">
        <v>683</v>
      </c>
      <c r="F71" s="179"/>
      <c r="G71" s="181" t="s">
        <v>689</v>
      </c>
      <c r="H71" s="181">
        <v>100.0</v>
      </c>
      <c r="I71" s="181">
        <v>0.0</v>
      </c>
      <c r="J71" s="181">
        <v>0.0</v>
      </c>
      <c r="K71" s="181">
        <v>1.0</v>
      </c>
      <c r="L71" s="181">
        <v>50.0</v>
      </c>
      <c r="M71" s="181">
        <v>0.5</v>
      </c>
      <c r="N71" s="183">
        <v>2018.0</v>
      </c>
      <c r="O71" s="181">
        <v>2030.0</v>
      </c>
      <c r="P71" s="181">
        <v>2018.0</v>
      </c>
      <c r="Q71" s="181">
        <v>67890.0</v>
      </c>
      <c r="R71" s="181">
        <v>0.0</v>
      </c>
      <c r="S71" s="181">
        <v>0.0</v>
      </c>
      <c r="T71" s="181">
        <v>67890.0</v>
      </c>
      <c r="U71" s="182">
        <v>18.694947709530123</v>
      </c>
      <c r="V71" s="182">
        <v>0.1869</v>
      </c>
      <c r="W71" s="179"/>
      <c r="X71" s="180"/>
      <c r="Y71" s="180"/>
      <c r="Z71" s="180"/>
    </row>
    <row r="72">
      <c r="A72" s="181" t="s">
        <v>435</v>
      </c>
      <c r="B72" s="181">
        <v>84.0</v>
      </c>
      <c r="C72" s="181" t="s">
        <v>439</v>
      </c>
      <c r="D72" s="181" t="s">
        <v>895</v>
      </c>
      <c r="E72" s="182" t="s">
        <v>683</v>
      </c>
      <c r="F72" s="179"/>
      <c r="G72" s="181" t="s">
        <v>896</v>
      </c>
      <c r="H72" s="181">
        <v>100.0</v>
      </c>
      <c r="I72" s="181">
        <v>1.0</v>
      </c>
      <c r="J72" s="181">
        <v>1.0</v>
      </c>
      <c r="K72" s="181">
        <v>0.0</v>
      </c>
      <c r="L72" s="181">
        <v>68.0</v>
      </c>
      <c r="M72" s="181">
        <v>0.68</v>
      </c>
      <c r="N72" s="183">
        <v>2019.0</v>
      </c>
      <c r="O72" s="181">
        <v>2035.0</v>
      </c>
      <c r="P72" s="181">
        <v>2020.0</v>
      </c>
      <c r="Q72" s="181">
        <v>266578.01</v>
      </c>
      <c r="R72" s="181">
        <v>133289.005</v>
      </c>
      <c r="S72" s="181">
        <v>133289.005</v>
      </c>
      <c r="T72" s="181">
        <v>0.0</v>
      </c>
      <c r="U72" s="182">
        <v>0.0</v>
      </c>
      <c r="V72" s="182">
        <v>0.0</v>
      </c>
      <c r="W72" s="179">
        <f t="shared" ref="W72:W102" si="2">P72-O72</f>
        <v>-15</v>
      </c>
      <c r="X72" s="180"/>
      <c r="Y72" s="180"/>
      <c r="Z72" s="180"/>
    </row>
    <row r="73">
      <c r="A73" s="181" t="s">
        <v>452</v>
      </c>
      <c r="B73" s="181">
        <v>87.0</v>
      </c>
      <c r="C73" s="181" t="s">
        <v>456</v>
      </c>
      <c r="D73" s="181" t="s">
        <v>895</v>
      </c>
      <c r="E73" s="182" t="s">
        <v>683</v>
      </c>
      <c r="F73" s="179"/>
      <c r="G73" s="181" t="s">
        <v>896</v>
      </c>
      <c r="H73" s="181">
        <v>100.0</v>
      </c>
      <c r="I73" s="181">
        <v>1.0</v>
      </c>
      <c r="J73" s="181">
        <v>1.0</v>
      </c>
      <c r="K73" s="181">
        <v>0.0</v>
      </c>
      <c r="L73" s="181">
        <v>30.0</v>
      </c>
      <c r="M73" s="181">
        <v>0.3</v>
      </c>
      <c r="N73" s="183">
        <v>2017.0</v>
      </c>
      <c r="O73" s="181">
        <v>2030.0</v>
      </c>
      <c r="P73" s="181">
        <v>2019.0</v>
      </c>
      <c r="Q73" s="181">
        <v>2567880.0</v>
      </c>
      <c r="R73" s="181">
        <v>1283940.0</v>
      </c>
      <c r="S73" s="181">
        <v>1283940.0</v>
      </c>
      <c r="T73" s="181">
        <v>0.0</v>
      </c>
      <c r="U73" s="182">
        <v>34.97437574964562</v>
      </c>
      <c r="V73" s="182">
        <v>0.3497</v>
      </c>
      <c r="W73" s="179">
        <f t="shared" si="2"/>
        <v>-11</v>
      </c>
      <c r="X73" s="180"/>
      <c r="Y73" s="180"/>
      <c r="Z73" s="180"/>
    </row>
    <row r="74">
      <c r="A74" s="181" t="s">
        <v>452</v>
      </c>
      <c r="B74" s="181">
        <v>87.0</v>
      </c>
      <c r="C74" s="181" t="s">
        <v>456</v>
      </c>
      <c r="D74" s="181" t="s">
        <v>895</v>
      </c>
      <c r="E74" s="182" t="s">
        <v>683</v>
      </c>
      <c r="F74" s="179"/>
      <c r="G74" s="181" t="s">
        <v>689</v>
      </c>
      <c r="H74" s="181">
        <v>100.0</v>
      </c>
      <c r="I74" s="181">
        <v>0.0</v>
      </c>
      <c r="J74" s="181">
        <v>0.0</v>
      </c>
      <c r="K74" s="181">
        <v>1.0</v>
      </c>
      <c r="L74" s="181">
        <v>30.0</v>
      </c>
      <c r="M74" s="181">
        <v>0.3</v>
      </c>
      <c r="N74" s="183">
        <v>2017.0</v>
      </c>
      <c r="O74" s="181">
        <v>2030.0</v>
      </c>
      <c r="P74" s="181">
        <v>2019.0</v>
      </c>
      <c r="Q74" s="181">
        <v>2.6939E7</v>
      </c>
      <c r="R74" s="181">
        <v>0.0</v>
      </c>
      <c r="S74" s="181">
        <v>0.0</v>
      </c>
      <c r="T74" s="181">
        <v>2.6939E7</v>
      </c>
      <c r="U74" s="182">
        <v>7.127213333828279</v>
      </c>
      <c r="V74" s="182">
        <v>0.0713</v>
      </c>
      <c r="W74" s="179">
        <f t="shared" si="2"/>
        <v>-11</v>
      </c>
      <c r="X74" s="180"/>
      <c r="Y74" s="180"/>
      <c r="Z74" s="180"/>
    </row>
    <row r="75">
      <c r="A75" s="181" t="s">
        <v>156</v>
      </c>
      <c r="B75" s="181">
        <v>29.0</v>
      </c>
      <c r="C75" s="181" t="s">
        <v>160</v>
      </c>
      <c r="D75" s="181" t="s">
        <v>895</v>
      </c>
      <c r="E75" s="182" t="s">
        <v>683</v>
      </c>
      <c r="F75" s="179"/>
      <c r="G75" s="181" t="s">
        <v>899</v>
      </c>
      <c r="H75" s="181">
        <v>100.0</v>
      </c>
      <c r="I75" s="181">
        <v>1.0</v>
      </c>
      <c r="J75" s="181">
        <v>1.0</v>
      </c>
      <c r="K75" s="181">
        <v>1.0</v>
      </c>
      <c r="L75" s="181">
        <v>25.0</v>
      </c>
      <c r="M75" s="181">
        <v>0.25</v>
      </c>
      <c r="N75" s="183">
        <v>2015.0</v>
      </c>
      <c r="O75" s="181">
        <v>2030.0</v>
      </c>
      <c r="P75" s="181">
        <v>2019.0</v>
      </c>
      <c r="Q75" s="181">
        <v>7.014441E7</v>
      </c>
      <c r="R75" s="181">
        <v>2.338147E7</v>
      </c>
      <c r="S75" s="181">
        <v>2.338147E7</v>
      </c>
      <c r="T75" s="181">
        <v>2.338147E7</v>
      </c>
      <c r="U75" s="182">
        <v>100.0</v>
      </c>
      <c r="V75" s="182">
        <v>1.0</v>
      </c>
      <c r="W75" s="179">
        <f t="shared" si="2"/>
        <v>-11</v>
      </c>
      <c r="X75" s="180"/>
      <c r="Y75" s="180"/>
      <c r="Z75" s="180"/>
    </row>
    <row r="76">
      <c r="A76" s="181" t="s">
        <v>190</v>
      </c>
      <c r="B76" s="181">
        <v>36.0</v>
      </c>
      <c r="C76" s="181" t="s">
        <v>192</v>
      </c>
      <c r="D76" s="181" t="s">
        <v>895</v>
      </c>
      <c r="E76" s="182" t="s">
        <v>683</v>
      </c>
      <c r="F76" s="179"/>
      <c r="G76" s="181" t="s">
        <v>896</v>
      </c>
      <c r="H76" s="181">
        <v>100.0</v>
      </c>
      <c r="I76" s="181">
        <v>1.0</v>
      </c>
      <c r="J76" s="181">
        <v>1.0</v>
      </c>
      <c r="K76" s="181">
        <v>0.0</v>
      </c>
      <c r="L76" s="181">
        <v>0.0</v>
      </c>
      <c r="M76" s="181">
        <v>0.0</v>
      </c>
      <c r="N76" s="183">
        <v>2006.0</v>
      </c>
      <c r="O76" s="181">
        <v>2025.0</v>
      </c>
      <c r="P76" s="181">
        <v>2015.0</v>
      </c>
      <c r="Q76" s="181">
        <v>4.21E7</v>
      </c>
      <c r="R76" s="181">
        <v>2.105E7</v>
      </c>
      <c r="S76" s="181">
        <v>2.105E7</v>
      </c>
      <c r="T76" s="181">
        <v>0.0</v>
      </c>
      <c r="U76" s="182" t="s">
        <v>683</v>
      </c>
      <c r="V76" s="190">
        <v>0.0</v>
      </c>
      <c r="W76" s="179">
        <f t="shared" si="2"/>
        <v>-10</v>
      </c>
      <c r="X76" s="180"/>
      <c r="Y76" s="180"/>
      <c r="Z76" s="180"/>
    </row>
    <row r="77">
      <c r="A77" s="181" t="s">
        <v>260</v>
      </c>
      <c r="B77" s="181">
        <v>51.0</v>
      </c>
      <c r="C77" s="181" t="s">
        <v>263</v>
      </c>
      <c r="D77" s="181" t="s">
        <v>895</v>
      </c>
      <c r="E77" s="182" t="s">
        <v>683</v>
      </c>
      <c r="F77" s="179"/>
      <c r="G77" s="181" t="s">
        <v>896</v>
      </c>
      <c r="H77" s="181">
        <v>100.0</v>
      </c>
      <c r="I77" s="181">
        <v>1.0</v>
      </c>
      <c r="J77" s="181">
        <v>1.0</v>
      </c>
      <c r="K77" s="181">
        <v>0.0</v>
      </c>
      <c r="L77" s="181">
        <v>39.9</v>
      </c>
      <c r="M77" s="181">
        <v>0.39899999999999997</v>
      </c>
      <c r="N77" s="181">
        <v>2011.0</v>
      </c>
      <c r="O77" s="181">
        <v>2030.0</v>
      </c>
      <c r="P77" s="181">
        <v>2018.0</v>
      </c>
      <c r="Q77" s="181">
        <v>3020011.0</v>
      </c>
      <c r="R77" s="181">
        <v>1510005.5</v>
      </c>
      <c r="S77" s="181">
        <v>1510005.5</v>
      </c>
      <c r="T77" s="181">
        <v>0.0</v>
      </c>
      <c r="U77" s="182">
        <v>88.94538466921168</v>
      </c>
      <c r="V77" s="182">
        <v>0.8895</v>
      </c>
      <c r="W77" s="179">
        <f t="shared" si="2"/>
        <v>-12</v>
      </c>
      <c r="X77" s="180"/>
      <c r="Y77" s="180"/>
      <c r="Z77" s="180"/>
    </row>
    <row r="78">
      <c r="A78" s="181" t="s">
        <v>260</v>
      </c>
      <c r="B78" s="181">
        <v>51.0</v>
      </c>
      <c r="C78" s="181" t="s">
        <v>263</v>
      </c>
      <c r="D78" s="181" t="s">
        <v>895</v>
      </c>
      <c r="E78" s="182" t="s">
        <v>683</v>
      </c>
      <c r="F78" s="179"/>
      <c r="G78" s="181" t="s">
        <v>896</v>
      </c>
      <c r="H78" s="181">
        <v>100.0</v>
      </c>
      <c r="I78" s="181">
        <v>1.0</v>
      </c>
      <c r="J78" s="181">
        <v>1.0</v>
      </c>
      <c r="K78" s="181">
        <v>0.0</v>
      </c>
      <c r="L78" s="181">
        <v>50.4</v>
      </c>
      <c r="M78" s="181">
        <v>0.504</v>
      </c>
      <c r="N78" s="181">
        <v>2011.0</v>
      </c>
      <c r="O78" s="181">
        <v>2035.0</v>
      </c>
      <c r="P78" s="181">
        <v>2018.0</v>
      </c>
      <c r="Q78" s="181">
        <v>3020011.0</v>
      </c>
      <c r="R78" s="181">
        <v>1510005.5</v>
      </c>
      <c r="S78" s="181">
        <v>1510005.5</v>
      </c>
      <c r="T78" s="181">
        <v>0.0</v>
      </c>
      <c r="U78" s="182">
        <v>70.41509619645925</v>
      </c>
      <c r="V78" s="182">
        <v>0.7042</v>
      </c>
      <c r="W78" s="179">
        <f t="shared" si="2"/>
        <v>-17</v>
      </c>
      <c r="X78" s="180"/>
      <c r="Y78" s="180"/>
      <c r="Z78" s="180"/>
    </row>
    <row r="79">
      <c r="A79" s="181" t="s">
        <v>441</v>
      </c>
      <c r="B79" s="181">
        <v>85.0</v>
      </c>
      <c r="C79" s="181" t="s">
        <v>444</v>
      </c>
      <c r="D79" s="181" t="s">
        <v>895</v>
      </c>
      <c r="E79" s="182" t="s">
        <v>683</v>
      </c>
      <c r="F79" s="179"/>
      <c r="G79" s="181" t="s">
        <v>900</v>
      </c>
      <c r="H79" s="181">
        <v>100.0</v>
      </c>
      <c r="I79" s="181">
        <v>1.0</v>
      </c>
      <c r="J79" s="181">
        <v>0.0</v>
      </c>
      <c r="K79" s="181">
        <v>0.0</v>
      </c>
      <c r="L79" s="181">
        <v>100.0</v>
      </c>
      <c r="M79" s="181">
        <v>1.0</v>
      </c>
      <c r="N79" s="181">
        <v>2007.0</v>
      </c>
      <c r="O79" s="181">
        <v>2050.0</v>
      </c>
      <c r="P79" s="181">
        <v>2018.0</v>
      </c>
      <c r="Q79" s="181">
        <v>1.56650363E8</v>
      </c>
      <c r="R79" s="181">
        <v>1.56650363E8</v>
      </c>
      <c r="S79" s="181">
        <v>0.0</v>
      </c>
      <c r="T79" s="181">
        <v>0.0</v>
      </c>
      <c r="U79" s="182">
        <v>43.68760894604502</v>
      </c>
      <c r="V79" s="182">
        <v>0.4369</v>
      </c>
      <c r="W79" s="179">
        <f t="shared" si="2"/>
        <v>-32</v>
      </c>
      <c r="X79" s="180"/>
      <c r="Y79" s="180"/>
      <c r="Z79" s="180"/>
    </row>
    <row r="80">
      <c r="A80" s="181" t="s">
        <v>441</v>
      </c>
      <c r="B80" s="181">
        <v>85.0</v>
      </c>
      <c r="C80" s="181" t="s">
        <v>444</v>
      </c>
      <c r="D80" s="181" t="s">
        <v>895</v>
      </c>
      <c r="E80" s="182" t="s">
        <v>683</v>
      </c>
      <c r="F80" s="179"/>
      <c r="G80" s="181" t="s">
        <v>900</v>
      </c>
      <c r="H80" s="181">
        <v>100.0</v>
      </c>
      <c r="I80" s="181">
        <v>1.0</v>
      </c>
      <c r="J80" s="181">
        <v>0.0</v>
      </c>
      <c r="K80" s="181">
        <v>0.0</v>
      </c>
      <c r="L80" s="181">
        <v>50.0</v>
      </c>
      <c r="M80" s="181">
        <v>0.5</v>
      </c>
      <c r="N80" s="181">
        <v>2007.0</v>
      </c>
      <c r="O80" s="181">
        <v>2030.0</v>
      </c>
      <c r="P80" s="181">
        <v>2018.0</v>
      </c>
      <c r="Q80" s="181">
        <v>1.56650363E8</v>
      </c>
      <c r="R80" s="181">
        <v>1.56650363E8</v>
      </c>
      <c r="S80" s="181">
        <v>0.0</v>
      </c>
      <c r="T80" s="181">
        <v>0.0</v>
      </c>
      <c r="U80" s="182">
        <v>87.37521789209003</v>
      </c>
      <c r="V80" s="182">
        <v>0.8738</v>
      </c>
      <c r="W80" s="179">
        <f t="shared" si="2"/>
        <v>-12</v>
      </c>
      <c r="X80" s="180"/>
      <c r="Y80" s="180"/>
      <c r="Z80" s="180"/>
    </row>
    <row r="81">
      <c r="A81" s="181" t="s">
        <v>495</v>
      </c>
      <c r="B81" s="181">
        <v>95.0</v>
      </c>
      <c r="C81" s="181" t="s">
        <v>498</v>
      </c>
      <c r="D81" s="181" t="s">
        <v>895</v>
      </c>
      <c r="E81" s="182" t="s">
        <v>683</v>
      </c>
      <c r="F81" s="179"/>
      <c r="G81" s="181" t="s">
        <v>896</v>
      </c>
      <c r="H81" s="181">
        <v>100.0</v>
      </c>
      <c r="I81" s="181">
        <v>1.0</v>
      </c>
      <c r="J81" s="181">
        <v>1.0</v>
      </c>
      <c r="K81" s="181">
        <v>0.0</v>
      </c>
      <c r="L81" s="181">
        <v>40.0</v>
      </c>
      <c r="M81" s="181">
        <v>0.4</v>
      </c>
      <c r="N81" s="181">
        <v>2014.0</v>
      </c>
      <c r="O81" s="181">
        <v>2029.0</v>
      </c>
      <c r="P81" s="181">
        <v>2016.0</v>
      </c>
      <c r="Q81" s="181">
        <v>415211.0</v>
      </c>
      <c r="R81" s="181">
        <v>207605.5</v>
      </c>
      <c r="S81" s="181">
        <v>207605.5</v>
      </c>
      <c r="T81" s="181">
        <v>0.0</v>
      </c>
      <c r="U81" s="182">
        <v>109.75323389794586</v>
      </c>
      <c r="V81" s="182">
        <v>1.0975</v>
      </c>
      <c r="W81" s="179">
        <f t="shared" si="2"/>
        <v>-13</v>
      </c>
      <c r="X81" s="180"/>
      <c r="Y81" s="180"/>
      <c r="Z81" s="180"/>
    </row>
    <row r="82">
      <c r="A82" s="181" t="s">
        <v>495</v>
      </c>
      <c r="B82" s="181">
        <v>95.0</v>
      </c>
      <c r="C82" s="181" t="s">
        <v>498</v>
      </c>
      <c r="D82" s="181" t="s">
        <v>895</v>
      </c>
      <c r="E82" s="182" t="s">
        <v>683</v>
      </c>
      <c r="F82" s="179"/>
      <c r="G82" s="181" t="s">
        <v>896</v>
      </c>
      <c r="H82" s="181">
        <v>100.0</v>
      </c>
      <c r="I82" s="181">
        <v>1.0</v>
      </c>
      <c r="J82" s="181">
        <v>1.0</v>
      </c>
      <c r="K82" s="181">
        <v>0.0</v>
      </c>
      <c r="L82" s="181">
        <v>60.0</v>
      </c>
      <c r="M82" s="181">
        <v>0.6</v>
      </c>
      <c r="N82" s="181">
        <v>2014.0</v>
      </c>
      <c r="O82" s="181">
        <v>2044.0</v>
      </c>
      <c r="P82" s="181">
        <v>2016.0</v>
      </c>
      <c r="Q82" s="181">
        <v>415211.0</v>
      </c>
      <c r="R82" s="181">
        <v>207605.5</v>
      </c>
      <c r="S82" s="181">
        <v>207605.5</v>
      </c>
      <c r="T82" s="181">
        <v>0.0</v>
      </c>
      <c r="U82" s="182">
        <v>73.16882259863058</v>
      </c>
      <c r="V82" s="182">
        <v>0.7317</v>
      </c>
      <c r="W82" s="179">
        <f t="shared" si="2"/>
        <v>-28</v>
      </c>
      <c r="X82" s="180"/>
      <c r="Y82" s="180"/>
      <c r="Z82" s="180"/>
    </row>
    <row r="83">
      <c r="A83" s="181" t="s">
        <v>484</v>
      </c>
      <c r="B83" s="181">
        <v>93.0</v>
      </c>
      <c r="C83" s="181" t="s">
        <v>487</v>
      </c>
      <c r="D83" s="181" t="s">
        <v>895</v>
      </c>
      <c r="E83" s="182" t="s">
        <v>683</v>
      </c>
      <c r="F83" s="179"/>
      <c r="G83" s="181" t="s">
        <v>896</v>
      </c>
      <c r="H83" s="181">
        <v>55.0</v>
      </c>
      <c r="I83" s="181">
        <v>0.55</v>
      </c>
      <c r="J83" s="181">
        <v>0.55</v>
      </c>
      <c r="K83" s="181">
        <v>0.0</v>
      </c>
      <c r="L83" s="181">
        <v>3.0</v>
      </c>
      <c r="M83" s="181">
        <v>0.03</v>
      </c>
      <c r="N83" s="181">
        <v>2017.0</v>
      </c>
      <c r="O83" s="181">
        <v>2023.0</v>
      </c>
      <c r="P83" s="181">
        <v>2019.0</v>
      </c>
      <c r="Q83" s="181">
        <v>95079.0</v>
      </c>
      <c r="R83" s="181">
        <v>47539.5</v>
      </c>
      <c r="S83" s="181">
        <v>47539.5</v>
      </c>
      <c r="T83" s="181">
        <v>0.0</v>
      </c>
      <c r="U83" s="182">
        <v>431.0100022086903</v>
      </c>
      <c r="V83" s="182">
        <v>4.3101</v>
      </c>
      <c r="W83" s="179">
        <f t="shared" si="2"/>
        <v>-4</v>
      </c>
      <c r="X83" s="180"/>
      <c r="Y83" s="180"/>
      <c r="Z83" s="180"/>
    </row>
    <row r="84">
      <c r="A84" s="181" t="s">
        <v>489</v>
      </c>
      <c r="B84" s="181">
        <v>94.0</v>
      </c>
      <c r="C84" s="181" t="s">
        <v>493</v>
      </c>
      <c r="D84" s="181" t="s">
        <v>895</v>
      </c>
      <c r="E84" s="182" t="s">
        <v>683</v>
      </c>
      <c r="F84" s="179"/>
      <c r="G84" s="181" t="s">
        <v>896</v>
      </c>
      <c r="H84" s="181">
        <v>43.0</v>
      </c>
      <c r="I84" s="181">
        <v>0.43</v>
      </c>
      <c r="J84" s="181">
        <v>0.43</v>
      </c>
      <c r="K84" s="181">
        <v>0.0</v>
      </c>
      <c r="L84" s="181">
        <v>12.0</v>
      </c>
      <c r="M84" s="181">
        <v>0.12</v>
      </c>
      <c r="N84" s="181">
        <v>2015.0</v>
      </c>
      <c r="O84" s="181">
        <v>2025.0</v>
      </c>
      <c r="P84" s="181">
        <v>2016.0</v>
      </c>
      <c r="Q84" s="181">
        <v>5636000.0</v>
      </c>
      <c r="R84" s="181">
        <v>2818000.0</v>
      </c>
      <c r="S84" s="181">
        <v>2818000.0</v>
      </c>
      <c r="T84" s="181">
        <v>0.0</v>
      </c>
      <c r="U84" s="182">
        <v>-44.653418500118285</v>
      </c>
      <c r="V84" s="182">
        <v>-0.4465</v>
      </c>
      <c r="W84" s="179">
        <f t="shared" si="2"/>
        <v>-9</v>
      </c>
      <c r="X84" s="180"/>
      <c r="Y84" s="180"/>
      <c r="Z84" s="180"/>
    </row>
    <row r="85">
      <c r="A85" s="181" t="s">
        <v>500</v>
      </c>
      <c r="B85" s="181">
        <v>96.0</v>
      </c>
      <c r="C85" s="181" t="s">
        <v>504</v>
      </c>
      <c r="D85" s="181" t="s">
        <v>895</v>
      </c>
      <c r="E85" s="182" t="s">
        <v>683</v>
      </c>
      <c r="F85" s="179"/>
      <c r="G85" s="181" t="s">
        <v>896</v>
      </c>
      <c r="H85" s="181">
        <v>100.0</v>
      </c>
      <c r="I85" s="181">
        <v>1.0</v>
      </c>
      <c r="J85" s="181">
        <v>1.0</v>
      </c>
      <c r="K85" s="181">
        <v>0.0</v>
      </c>
      <c r="L85" s="181">
        <v>100.0</v>
      </c>
      <c r="M85" s="181">
        <v>1.0</v>
      </c>
      <c r="N85" s="181">
        <v>2018.0</v>
      </c>
      <c r="O85" s="181">
        <v>2035.0</v>
      </c>
      <c r="P85" s="181">
        <v>2018.0</v>
      </c>
      <c r="Q85" s="181">
        <v>4418820.0</v>
      </c>
      <c r="R85" s="181">
        <v>2209410.0</v>
      </c>
      <c r="S85" s="181">
        <v>2209410.0</v>
      </c>
      <c r="T85" s="181">
        <v>0.0</v>
      </c>
      <c r="U85" s="182">
        <v>1.2037756686174068</v>
      </c>
      <c r="V85" s="182">
        <v>0.012</v>
      </c>
      <c r="W85" s="179">
        <f t="shared" si="2"/>
        <v>-17</v>
      </c>
      <c r="X85" s="180"/>
      <c r="Y85" s="180"/>
      <c r="Z85" s="180"/>
    </row>
    <row r="86">
      <c r="A86" s="181" t="s">
        <v>500</v>
      </c>
      <c r="B86" s="181">
        <v>96.0</v>
      </c>
      <c r="C86" s="181" t="s">
        <v>504</v>
      </c>
      <c r="D86" s="181" t="s">
        <v>895</v>
      </c>
      <c r="E86" s="182" t="s">
        <v>683</v>
      </c>
      <c r="F86" s="179"/>
      <c r="G86" s="181" t="s">
        <v>902</v>
      </c>
      <c r="H86" s="181">
        <v>100.0</v>
      </c>
      <c r="I86" s="181">
        <v>0.0</v>
      </c>
      <c r="J86" s="181">
        <v>1.0</v>
      </c>
      <c r="K86" s="181">
        <v>0.0</v>
      </c>
      <c r="L86" s="181">
        <v>50.0</v>
      </c>
      <c r="M86" s="181">
        <v>0.5</v>
      </c>
      <c r="N86" s="181">
        <v>2018.0</v>
      </c>
      <c r="O86" s="181">
        <v>2025.0</v>
      </c>
      <c r="P86" s="181">
        <v>2018.0</v>
      </c>
      <c r="Q86" s="181">
        <v>4033579.0</v>
      </c>
      <c r="R86" s="181">
        <v>0.0</v>
      </c>
      <c r="S86" s="181">
        <v>4033579.0</v>
      </c>
      <c r="T86" s="181">
        <v>0.0</v>
      </c>
      <c r="U86" s="182">
        <v>1.3241109198555325</v>
      </c>
      <c r="V86" s="182">
        <v>0.0132</v>
      </c>
      <c r="W86" s="179">
        <f t="shared" si="2"/>
        <v>-7</v>
      </c>
      <c r="X86" s="180"/>
      <c r="Y86" s="180"/>
      <c r="Z86" s="180"/>
    </row>
    <row r="87">
      <c r="A87" s="181" t="s">
        <v>518</v>
      </c>
      <c r="B87" s="181">
        <v>99.0</v>
      </c>
      <c r="C87" s="181" t="s">
        <v>521</v>
      </c>
      <c r="D87" s="181" t="s">
        <v>895</v>
      </c>
      <c r="E87" s="182" t="s">
        <v>683</v>
      </c>
      <c r="F87" s="179"/>
      <c r="G87" s="181" t="s">
        <v>896</v>
      </c>
      <c r="H87" s="181">
        <v>100.0</v>
      </c>
      <c r="I87" s="181">
        <v>1.0</v>
      </c>
      <c r="J87" s="181">
        <v>1.0</v>
      </c>
      <c r="K87" s="181">
        <v>0.0</v>
      </c>
      <c r="L87" s="181">
        <v>18.0</v>
      </c>
      <c r="M87" s="181">
        <v>0.18</v>
      </c>
      <c r="N87" s="181">
        <v>2015.0</v>
      </c>
      <c r="O87" s="181">
        <v>2025.0</v>
      </c>
      <c r="P87" s="181">
        <v>2016.0</v>
      </c>
      <c r="Q87" s="181">
        <v>1.9547272E7</v>
      </c>
      <c r="R87" s="181">
        <v>9773636.0</v>
      </c>
      <c r="S87" s="181">
        <v>9773636.0</v>
      </c>
      <c r="T87" s="181">
        <v>0.0</v>
      </c>
      <c r="U87" s="182">
        <v>56.378313159105886</v>
      </c>
      <c r="V87" s="182">
        <v>0.5638</v>
      </c>
      <c r="W87" s="179">
        <f t="shared" si="2"/>
        <v>-9</v>
      </c>
      <c r="X87" s="180"/>
      <c r="Y87" s="180"/>
      <c r="Z87" s="180"/>
    </row>
    <row r="88">
      <c r="A88" s="181" t="s">
        <v>518</v>
      </c>
      <c r="B88" s="181">
        <v>99.0</v>
      </c>
      <c r="C88" s="181" t="s">
        <v>521</v>
      </c>
      <c r="D88" s="181" t="s">
        <v>895</v>
      </c>
      <c r="E88" s="182" t="s">
        <v>683</v>
      </c>
      <c r="F88" s="179"/>
      <c r="G88" s="181" t="s">
        <v>689</v>
      </c>
      <c r="H88" s="181">
        <v>100.0</v>
      </c>
      <c r="I88" s="181">
        <v>0.0</v>
      </c>
      <c r="J88" s="181">
        <v>0.0</v>
      </c>
      <c r="K88" s="181">
        <v>1.0</v>
      </c>
      <c r="L88" s="181">
        <v>100.0</v>
      </c>
      <c r="M88" s="181">
        <v>1.0</v>
      </c>
      <c r="N88" s="181">
        <v>2015.0</v>
      </c>
      <c r="O88" s="181">
        <v>2030.0</v>
      </c>
      <c r="P88" s="181">
        <v>2016.0</v>
      </c>
      <c r="Q88" s="181">
        <v>1.0E9</v>
      </c>
      <c r="R88" s="181">
        <v>0.0</v>
      </c>
      <c r="S88" s="181">
        <v>0.0</v>
      </c>
      <c r="T88" s="181">
        <v>1.0E9</v>
      </c>
      <c r="U88" s="182">
        <v>23.0</v>
      </c>
      <c r="V88" s="182">
        <v>0.23</v>
      </c>
      <c r="W88" s="179">
        <f t="shared" si="2"/>
        <v>-14</v>
      </c>
      <c r="X88" s="180"/>
      <c r="Y88" s="180"/>
      <c r="Z88" s="180"/>
    </row>
    <row r="89">
      <c r="A89" s="181" t="s">
        <v>10</v>
      </c>
      <c r="B89" s="181">
        <v>1.0</v>
      </c>
      <c r="C89" s="181" t="s">
        <v>13</v>
      </c>
      <c r="D89" s="181" t="s">
        <v>903</v>
      </c>
      <c r="E89" s="182" t="s">
        <v>904</v>
      </c>
      <c r="F89" s="182" t="s">
        <v>905</v>
      </c>
      <c r="G89" s="181" t="s">
        <v>896</v>
      </c>
      <c r="H89" s="181">
        <v>50.0</v>
      </c>
      <c r="I89" s="181">
        <v>0.5</v>
      </c>
      <c r="J89" s="181">
        <v>0.5</v>
      </c>
      <c r="K89" s="181">
        <v>0.0</v>
      </c>
      <c r="L89" s="181">
        <v>30.0</v>
      </c>
      <c r="M89" s="181">
        <v>0.3</v>
      </c>
      <c r="N89" s="181">
        <v>2015.0</v>
      </c>
      <c r="O89" s="181">
        <v>2025.0</v>
      </c>
      <c r="P89" s="181">
        <v>2015.0</v>
      </c>
      <c r="Q89" s="181">
        <v>0.0</v>
      </c>
      <c r="R89" s="181">
        <v>0.0</v>
      </c>
      <c r="S89" s="181">
        <v>0.0</v>
      </c>
      <c r="T89" s="181">
        <v>0.0</v>
      </c>
      <c r="U89" s="182">
        <v>10.672358591248665</v>
      </c>
      <c r="V89" s="182">
        <v>0.1067</v>
      </c>
      <c r="W89" s="179">
        <f t="shared" si="2"/>
        <v>-10</v>
      </c>
      <c r="X89" s="180"/>
      <c r="Y89" s="180"/>
      <c r="Z89" s="180"/>
    </row>
    <row r="90">
      <c r="A90" s="181" t="s">
        <v>31</v>
      </c>
      <c r="B90" s="181">
        <v>5.0</v>
      </c>
      <c r="C90" s="181" t="s">
        <v>35</v>
      </c>
      <c r="D90" s="181" t="s">
        <v>903</v>
      </c>
      <c r="E90" s="182" t="s">
        <v>906</v>
      </c>
      <c r="F90" s="182" t="s">
        <v>905</v>
      </c>
      <c r="G90" s="181" t="s">
        <v>689</v>
      </c>
      <c r="H90" s="181">
        <v>100.0</v>
      </c>
      <c r="I90" s="181">
        <v>0.0</v>
      </c>
      <c r="J90" s="181">
        <v>0.0</v>
      </c>
      <c r="K90" s="181">
        <v>1.0</v>
      </c>
      <c r="L90" s="181">
        <v>5.0</v>
      </c>
      <c r="M90" s="181">
        <v>0.05</v>
      </c>
      <c r="N90" s="181">
        <v>2015.0</v>
      </c>
      <c r="O90" s="181">
        <v>2025.0</v>
      </c>
      <c r="P90" s="181">
        <v>2016.0</v>
      </c>
      <c r="Q90" s="181">
        <v>0.0</v>
      </c>
      <c r="R90" s="181">
        <v>0.0</v>
      </c>
      <c r="S90" s="181">
        <v>0.0</v>
      </c>
      <c r="T90" s="181">
        <v>0.0</v>
      </c>
      <c r="U90" s="182">
        <v>50.0</v>
      </c>
      <c r="V90" s="182">
        <v>0.5</v>
      </c>
      <c r="W90" s="179">
        <f t="shared" si="2"/>
        <v>-9</v>
      </c>
      <c r="X90" s="180"/>
      <c r="Y90" s="180"/>
      <c r="Z90" s="180"/>
    </row>
    <row r="91">
      <c r="A91" s="181" t="s">
        <v>31</v>
      </c>
      <c r="B91" s="181">
        <v>5.0</v>
      </c>
      <c r="C91" s="181" t="s">
        <v>35</v>
      </c>
      <c r="D91" s="181" t="s">
        <v>903</v>
      </c>
      <c r="E91" s="182" t="s">
        <v>907</v>
      </c>
      <c r="F91" s="182" t="s">
        <v>905</v>
      </c>
      <c r="G91" s="181" t="s">
        <v>689</v>
      </c>
      <c r="H91" s="181">
        <v>100.0</v>
      </c>
      <c r="I91" s="181">
        <v>0.0</v>
      </c>
      <c r="J91" s="181">
        <v>0.0</v>
      </c>
      <c r="K91" s="181">
        <v>1.0</v>
      </c>
      <c r="L91" s="181">
        <v>15.0</v>
      </c>
      <c r="M91" s="181">
        <v>0.15</v>
      </c>
      <c r="N91" s="181">
        <v>2015.0</v>
      </c>
      <c r="O91" s="181">
        <v>2025.0</v>
      </c>
      <c r="P91" s="181">
        <v>2016.0</v>
      </c>
      <c r="Q91" s="181">
        <v>0.0</v>
      </c>
      <c r="R91" s="181">
        <v>0.0</v>
      </c>
      <c r="S91" s="181">
        <v>0.0</v>
      </c>
      <c r="T91" s="181">
        <v>0.0</v>
      </c>
      <c r="U91" s="182">
        <v>102.21973512404404</v>
      </c>
      <c r="V91" s="182">
        <v>1.0222</v>
      </c>
      <c r="W91" s="179">
        <f t="shared" si="2"/>
        <v>-9</v>
      </c>
      <c r="X91" s="180"/>
      <c r="Y91" s="180"/>
      <c r="Z91" s="180"/>
    </row>
    <row r="92">
      <c r="A92" s="181" t="s">
        <v>67</v>
      </c>
      <c r="B92" s="181">
        <v>11.0</v>
      </c>
      <c r="C92" s="181" t="s">
        <v>71</v>
      </c>
      <c r="D92" s="181" t="s">
        <v>903</v>
      </c>
      <c r="E92" s="182" t="s">
        <v>907</v>
      </c>
      <c r="F92" s="182" t="s">
        <v>905</v>
      </c>
      <c r="G92" s="181" t="s">
        <v>902</v>
      </c>
      <c r="H92" s="181">
        <v>83.0</v>
      </c>
      <c r="I92" s="181">
        <v>0.0</v>
      </c>
      <c r="J92" s="181">
        <v>0.83</v>
      </c>
      <c r="K92" s="181">
        <v>0.0</v>
      </c>
      <c r="L92" s="181">
        <v>30.0</v>
      </c>
      <c r="M92" s="181">
        <v>0.3</v>
      </c>
      <c r="N92" s="181">
        <v>2011.0</v>
      </c>
      <c r="O92" s="181">
        <v>2023.0</v>
      </c>
      <c r="P92" s="181">
        <v>2012.0</v>
      </c>
      <c r="Q92" s="181">
        <v>0.0</v>
      </c>
      <c r="R92" s="181">
        <v>0.0</v>
      </c>
      <c r="S92" s="181">
        <v>0.0</v>
      </c>
      <c r="T92" s="181">
        <v>0.0</v>
      </c>
      <c r="U92" s="182">
        <v>133.70998116760825</v>
      </c>
      <c r="V92" s="182">
        <v>1.3371</v>
      </c>
      <c r="W92" s="179">
        <f t="shared" si="2"/>
        <v>-11</v>
      </c>
      <c r="X92" s="180"/>
      <c r="Y92" s="180"/>
      <c r="Z92" s="180"/>
    </row>
    <row r="93">
      <c r="A93" s="181" t="s">
        <v>90</v>
      </c>
      <c r="B93" s="181">
        <v>15.0</v>
      </c>
      <c r="C93" s="181" t="s">
        <v>94</v>
      </c>
      <c r="D93" s="181" t="s">
        <v>903</v>
      </c>
      <c r="E93" s="182" t="s">
        <v>908</v>
      </c>
      <c r="F93" s="182" t="s">
        <v>905</v>
      </c>
      <c r="G93" s="181" t="s">
        <v>909</v>
      </c>
      <c r="H93" s="181"/>
      <c r="I93" s="181">
        <v>0.0</v>
      </c>
      <c r="J93" s="181">
        <v>0.0</v>
      </c>
      <c r="K93" s="181">
        <v>0.0</v>
      </c>
      <c r="L93" s="181"/>
      <c r="M93" s="181">
        <v>0.0</v>
      </c>
      <c r="N93" s="184">
        <v>2015.0</v>
      </c>
      <c r="O93" s="181">
        <v>2025.0</v>
      </c>
      <c r="P93" s="181">
        <v>2015.0</v>
      </c>
      <c r="Q93" s="181">
        <v>0.0</v>
      </c>
      <c r="R93" s="181">
        <v>0.0</v>
      </c>
      <c r="S93" s="181">
        <v>0.0</v>
      </c>
      <c r="T93" s="181">
        <v>0.0</v>
      </c>
      <c r="U93" s="182"/>
      <c r="V93" s="182">
        <v>0.0</v>
      </c>
      <c r="W93" s="179">
        <f t="shared" si="2"/>
        <v>-10</v>
      </c>
      <c r="X93" s="180"/>
      <c r="Y93" s="180"/>
      <c r="Z93" s="180"/>
    </row>
    <row r="94">
      <c r="A94" s="181" t="s">
        <v>111</v>
      </c>
      <c r="B94" s="181">
        <v>19.0</v>
      </c>
      <c r="C94" s="181" t="s">
        <v>115</v>
      </c>
      <c r="D94" s="181" t="s">
        <v>903</v>
      </c>
      <c r="E94" s="182" t="s">
        <v>906</v>
      </c>
      <c r="F94" s="182" t="s">
        <v>905</v>
      </c>
      <c r="G94" s="181" t="s">
        <v>902</v>
      </c>
      <c r="H94" s="181">
        <v>12.0</v>
      </c>
      <c r="I94" s="181">
        <v>0.0</v>
      </c>
      <c r="J94" s="181">
        <v>0.12</v>
      </c>
      <c r="K94" s="181">
        <v>0.0</v>
      </c>
      <c r="L94" s="181">
        <v>30.0</v>
      </c>
      <c r="M94" s="181">
        <v>0.3</v>
      </c>
      <c r="N94" s="181">
        <v>2011.0</v>
      </c>
      <c r="O94" s="181">
        <v>2023.0</v>
      </c>
      <c r="P94" s="181">
        <v>2013.0</v>
      </c>
      <c r="Q94" s="181">
        <v>0.0</v>
      </c>
      <c r="R94" s="181">
        <v>0.0</v>
      </c>
      <c r="S94" s="181">
        <v>0.0</v>
      </c>
      <c r="T94" s="181">
        <v>0.0</v>
      </c>
      <c r="U94" s="182">
        <v>242.84077892325308</v>
      </c>
      <c r="V94" s="182">
        <v>2.4284</v>
      </c>
      <c r="W94" s="179">
        <f t="shared" si="2"/>
        <v>-10</v>
      </c>
      <c r="X94" s="180"/>
      <c r="Y94" s="180"/>
      <c r="Z94" s="180"/>
    </row>
    <row r="95">
      <c r="A95" s="181" t="s">
        <v>172</v>
      </c>
      <c r="B95" s="181">
        <v>32.0</v>
      </c>
      <c r="C95" s="181" t="s">
        <v>175</v>
      </c>
      <c r="D95" s="181" t="s">
        <v>903</v>
      </c>
      <c r="E95" s="182" t="s">
        <v>910</v>
      </c>
      <c r="F95" s="182" t="s">
        <v>911</v>
      </c>
      <c r="G95" s="181" t="s">
        <v>896</v>
      </c>
      <c r="H95" s="181">
        <v>99.0</v>
      </c>
      <c r="I95" s="181">
        <v>0.99</v>
      </c>
      <c r="J95" s="181">
        <v>0.99</v>
      </c>
      <c r="K95" s="181">
        <v>0.0</v>
      </c>
      <c r="L95" s="181">
        <v>10.0</v>
      </c>
      <c r="M95" s="181">
        <v>0.1</v>
      </c>
      <c r="N95" s="181">
        <v>2017.0</v>
      </c>
      <c r="O95" s="181">
        <v>2030.0</v>
      </c>
      <c r="P95" s="181">
        <v>2017.0</v>
      </c>
      <c r="Q95" s="181">
        <v>0.0</v>
      </c>
      <c r="R95" s="181">
        <v>0.0</v>
      </c>
      <c r="S95" s="181">
        <v>0.0</v>
      </c>
      <c r="T95" s="181">
        <v>0.0</v>
      </c>
      <c r="U95" s="182">
        <v>81.84143222506408</v>
      </c>
      <c r="V95" s="182">
        <v>0.8184</v>
      </c>
      <c r="W95" s="179">
        <f t="shared" si="2"/>
        <v>-13</v>
      </c>
      <c r="X95" s="180"/>
      <c r="Y95" s="180"/>
      <c r="Z95" s="180"/>
    </row>
    <row r="96">
      <c r="A96" s="181" t="s">
        <v>265</v>
      </c>
      <c r="B96" s="181">
        <v>52.0</v>
      </c>
      <c r="C96" s="181" t="s">
        <v>269</v>
      </c>
      <c r="D96" s="181" t="s">
        <v>903</v>
      </c>
      <c r="E96" s="182" t="s">
        <v>912</v>
      </c>
      <c r="F96" s="182" t="s">
        <v>913</v>
      </c>
      <c r="G96" s="181" t="s">
        <v>896</v>
      </c>
      <c r="H96" s="181">
        <v>0.0</v>
      </c>
      <c r="I96" s="181">
        <v>0.0</v>
      </c>
      <c r="J96" s="181">
        <v>0.0</v>
      </c>
      <c r="K96" s="181">
        <v>0.0</v>
      </c>
      <c r="L96" s="181">
        <v>10.0</v>
      </c>
      <c r="M96" s="181">
        <v>0.1</v>
      </c>
      <c r="N96" s="181">
        <v>2018.0</v>
      </c>
      <c r="O96" s="181">
        <v>2023.0</v>
      </c>
      <c r="P96" s="181">
        <v>2019.0</v>
      </c>
      <c r="Q96" s="181">
        <v>0.0</v>
      </c>
      <c r="R96" s="181">
        <v>0.0</v>
      </c>
      <c r="S96" s="181">
        <v>0.0</v>
      </c>
      <c r="T96" s="181">
        <v>0.0</v>
      </c>
      <c r="U96" s="182">
        <v>79.890335574465</v>
      </c>
      <c r="V96" s="182">
        <v>0.7989</v>
      </c>
      <c r="W96" s="179">
        <f t="shared" si="2"/>
        <v>-4</v>
      </c>
      <c r="X96" s="180"/>
      <c r="Y96" s="180"/>
      <c r="Z96" s="180"/>
    </row>
    <row r="97">
      <c r="A97" s="181" t="s">
        <v>322</v>
      </c>
      <c r="B97" s="181">
        <v>62.0</v>
      </c>
      <c r="C97" s="181" t="s">
        <v>326</v>
      </c>
      <c r="D97" s="181" t="s">
        <v>903</v>
      </c>
      <c r="E97" s="182" t="s">
        <v>914</v>
      </c>
      <c r="F97" s="182" t="s">
        <v>905</v>
      </c>
      <c r="G97" s="181" t="s">
        <v>689</v>
      </c>
      <c r="H97" s="181">
        <v>80.44</v>
      </c>
      <c r="I97" s="181">
        <v>0.0</v>
      </c>
      <c r="J97" s="181">
        <v>0.0</v>
      </c>
      <c r="K97" s="181">
        <v>0.8044</v>
      </c>
      <c r="L97" s="181">
        <v>31.0</v>
      </c>
      <c r="M97" s="181">
        <v>0.31</v>
      </c>
      <c r="N97" s="181">
        <v>2015.0</v>
      </c>
      <c r="O97" s="181">
        <v>2030.0</v>
      </c>
      <c r="P97" s="181">
        <v>2018.0</v>
      </c>
      <c r="Q97" s="181">
        <v>0.0</v>
      </c>
      <c r="R97" s="181">
        <v>0.0</v>
      </c>
      <c r="S97" s="181">
        <v>0.0</v>
      </c>
      <c r="T97" s="181">
        <v>0.0</v>
      </c>
      <c r="U97" s="182">
        <v>2.774035032099559</v>
      </c>
      <c r="V97" s="182">
        <v>0.0277</v>
      </c>
      <c r="W97" s="179">
        <f t="shared" si="2"/>
        <v>-12</v>
      </c>
      <c r="X97" s="180"/>
      <c r="Y97" s="180"/>
      <c r="Z97" s="180"/>
    </row>
    <row r="98">
      <c r="A98" s="181" t="s">
        <v>379</v>
      </c>
      <c r="B98" s="181">
        <v>73.0</v>
      </c>
      <c r="C98" s="181" t="s">
        <v>382</v>
      </c>
      <c r="D98" s="181" t="s">
        <v>903</v>
      </c>
      <c r="E98" s="182" t="s">
        <v>915</v>
      </c>
      <c r="F98" s="182" t="s">
        <v>911</v>
      </c>
      <c r="G98" s="181" t="s">
        <v>900</v>
      </c>
      <c r="H98" s="181">
        <v>100.0</v>
      </c>
      <c r="I98" s="181">
        <v>1.0</v>
      </c>
      <c r="J98" s="181">
        <v>0.0</v>
      </c>
      <c r="K98" s="181">
        <v>0.0</v>
      </c>
      <c r="L98" s="181">
        <v>13.0</v>
      </c>
      <c r="M98" s="181">
        <v>0.13</v>
      </c>
      <c r="N98" s="181">
        <v>2017.0</v>
      </c>
      <c r="O98" s="181">
        <v>2025.0</v>
      </c>
      <c r="P98" s="181">
        <v>2018.0</v>
      </c>
      <c r="Q98" s="181">
        <v>0.0</v>
      </c>
      <c r="R98" s="181">
        <v>0.0</v>
      </c>
      <c r="S98" s="181">
        <v>0.0</v>
      </c>
      <c r="T98" s="181">
        <v>0.0</v>
      </c>
      <c r="U98" s="182">
        <v>769.230769230769</v>
      </c>
      <c r="V98" s="182">
        <v>7.6923</v>
      </c>
      <c r="W98" s="179">
        <f t="shared" si="2"/>
        <v>-7</v>
      </c>
      <c r="X98" s="180"/>
      <c r="Y98" s="180"/>
      <c r="Z98" s="180"/>
    </row>
    <row r="99">
      <c r="A99" s="181" t="s">
        <v>379</v>
      </c>
      <c r="B99" s="181">
        <v>73.0</v>
      </c>
      <c r="C99" s="181" t="s">
        <v>382</v>
      </c>
      <c r="D99" s="181" t="s">
        <v>903</v>
      </c>
      <c r="E99" s="182" t="s">
        <v>916</v>
      </c>
      <c r="F99" s="182" t="s">
        <v>905</v>
      </c>
      <c r="G99" s="181" t="s">
        <v>900</v>
      </c>
      <c r="H99" s="181"/>
      <c r="I99" s="181">
        <v>0.0</v>
      </c>
      <c r="J99" s="181">
        <v>0.0</v>
      </c>
      <c r="K99" s="181">
        <v>0.0</v>
      </c>
      <c r="L99" s="181">
        <v>21.0</v>
      </c>
      <c r="M99" s="181">
        <v>0.21</v>
      </c>
      <c r="N99" s="181">
        <v>2018.0</v>
      </c>
      <c r="O99" s="181">
        <v>2025.0</v>
      </c>
      <c r="P99" s="181">
        <v>2017.0</v>
      </c>
      <c r="Q99" s="181">
        <v>0.0</v>
      </c>
      <c r="R99" s="181">
        <v>0.0</v>
      </c>
      <c r="S99" s="181">
        <v>0.0</v>
      </c>
      <c r="T99" s="181">
        <v>0.0</v>
      </c>
      <c r="U99" s="182">
        <v>476.1904761904762</v>
      </c>
      <c r="V99" s="182">
        <v>4.7619</v>
      </c>
      <c r="W99" s="179">
        <f t="shared" si="2"/>
        <v>-8</v>
      </c>
      <c r="X99" s="180"/>
      <c r="Y99" s="180"/>
      <c r="Z99" s="180"/>
    </row>
    <row r="100">
      <c r="A100" s="181" t="s">
        <v>379</v>
      </c>
      <c r="B100" s="181">
        <v>73.0</v>
      </c>
      <c r="C100" s="181" t="s">
        <v>382</v>
      </c>
      <c r="D100" s="181" t="s">
        <v>903</v>
      </c>
      <c r="E100" s="182" t="s">
        <v>914</v>
      </c>
      <c r="F100" s="182" t="s">
        <v>905</v>
      </c>
      <c r="G100" s="181" t="s">
        <v>896</v>
      </c>
      <c r="H100" s="181">
        <v>77.0</v>
      </c>
      <c r="I100" s="181">
        <v>0.77</v>
      </c>
      <c r="J100" s="181">
        <v>0.77</v>
      </c>
      <c r="K100" s="181">
        <v>0.0</v>
      </c>
      <c r="L100" s="181">
        <v>4.65</v>
      </c>
      <c r="M100" s="181">
        <v>0.04650000000000001</v>
      </c>
      <c r="N100" s="181">
        <v>2013.0</v>
      </c>
      <c r="O100" s="181">
        <v>2025.0</v>
      </c>
      <c r="P100" s="181">
        <v>2020.0</v>
      </c>
      <c r="Q100" s="181">
        <v>0.0</v>
      </c>
      <c r="R100" s="181">
        <v>0.0</v>
      </c>
      <c r="S100" s="181">
        <v>0.0</v>
      </c>
      <c r="T100" s="181">
        <v>0.0</v>
      </c>
      <c r="U100" s="182">
        <v>2150.537634408605</v>
      </c>
      <c r="V100" s="182">
        <v>21.5054</v>
      </c>
      <c r="W100" s="179">
        <f t="shared" si="2"/>
        <v>-5</v>
      </c>
      <c r="X100" s="180"/>
      <c r="Y100" s="180"/>
      <c r="Z100" s="180"/>
    </row>
    <row r="101">
      <c r="A101" s="181" t="s">
        <v>384</v>
      </c>
      <c r="B101" s="181">
        <v>74.0</v>
      </c>
      <c r="C101" s="181" t="s">
        <v>387</v>
      </c>
      <c r="D101" s="181" t="s">
        <v>903</v>
      </c>
      <c r="E101" s="182" t="s">
        <v>917</v>
      </c>
      <c r="F101" s="182" t="s">
        <v>905</v>
      </c>
      <c r="G101" s="181" t="s">
        <v>896</v>
      </c>
      <c r="H101" s="181">
        <v>100.0</v>
      </c>
      <c r="I101" s="181">
        <v>1.0</v>
      </c>
      <c r="J101" s="181">
        <v>1.0</v>
      </c>
      <c r="K101" s="181">
        <v>0.0</v>
      </c>
      <c r="L101" s="181">
        <v>55.0</v>
      </c>
      <c r="M101" s="181">
        <v>0.55</v>
      </c>
      <c r="N101" s="181">
        <v>2015.0</v>
      </c>
      <c r="O101" s="181">
        <v>2025.0</v>
      </c>
      <c r="P101" s="181">
        <v>2018.0</v>
      </c>
      <c r="Q101" s="181">
        <v>0.0</v>
      </c>
      <c r="R101" s="181">
        <v>0.0</v>
      </c>
      <c r="S101" s="181">
        <v>0.0</v>
      </c>
      <c r="T101" s="181">
        <v>0.0</v>
      </c>
      <c r="U101" s="182">
        <v>76.3551993250369</v>
      </c>
      <c r="V101" s="182">
        <v>0.7636</v>
      </c>
      <c r="W101" s="179">
        <f t="shared" si="2"/>
        <v>-7</v>
      </c>
      <c r="X101" s="180"/>
      <c r="Y101" s="180"/>
      <c r="Z101" s="180"/>
    </row>
    <row r="102">
      <c r="A102" s="181" t="s">
        <v>500</v>
      </c>
      <c r="B102" s="181">
        <v>96.0</v>
      </c>
      <c r="C102" s="181" t="s">
        <v>504</v>
      </c>
      <c r="D102" s="181" t="s">
        <v>903</v>
      </c>
      <c r="E102" s="182" t="s">
        <v>918</v>
      </c>
      <c r="F102" s="182" t="s">
        <v>905</v>
      </c>
      <c r="G102" s="181" t="s">
        <v>896</v>
      </c>
      <c r="H102" s="181">
        <v>100.0</v>
      </c>
      <c r="I102" s="181">
        <v>1.0</v>
      </c>
      <c r="J102" s="181">
        <v>1.0</v>
      </c>
      <c r="K102" s="181">
        <v>0.0</v>
      </c>
      <c r="L102" s="181">
        <v>50.0</v>
      </c>
      <c r="M102" s="181">
        <v>0.5</v>
      </c>
      <c r="N102" s="181">
        <v>2016.0</v>
      </c>
      <c r="O102" s="181">
        <v>2025.0</v>
      </c>
      <c r="P102" s="181">
        <v>2016.0</v>
      </c>
      <c r="Q102" s="181">
        <v>0.0</v>
      </c>
      <c r="R102" s="181">
        <v>0.0</v>
      </c>
      <c r="S102" s="181">
        <v>0.0</v>
      </c>
      <c r="T102" s="181">
        <v>0.0</v>
      </c>
      <c r="U102" s="182">
        <v>105.35256842389104</v>
      </c>
      <c r="V102" s="182">
        <v>1.0535</v>
      </c>
      <c r="W102" s="179">
        <f t="shared" si="2"/>
        <v>-9</v>
      </c>
      <c r="X102" s="180"/>
      <c r="Y102" s="180"/>
      <c r="Z102" s="180"/>
    </row>
    <row r="103">
      <c r="A103" s="191"/>
      <c r="B103" s="181"/>
      <c r="C103" s="181"/>
      <c r="D103" s="181"/>
      <c r="E103" s="181"/>
      <c r="F103" s="179"/>
      <c r="G103" s="181"/>
      <c r="H103" s="181"/>
      <c r="I103" s="181"/>
      <c r="J103" s="181"/>
      <c r="K103" s="181"/>
      <c r="L103" s="181"/>
      <c r="M103" s="181"/>
      <c r="N103" s="181"/>
      <c r="O103" s="181"/>
      <c r="P103" s="181"/>
      <c r="Q103" s="183"/>
      <c r="R103" s="179"/>
      <c r="S103" s="179"/>
      <c r="T103" s="179"/>
      <c r="U103" s="182"/>
      <c r="V103" s="182"/>
      <c r="W103" s="179"/>
      <c r="X103" s="180"/>
      <c r="Y103" s="180"/>
      <c r="Z103" s="180"/>
    </row>
    <row r="104" ht="14.2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4.2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4.2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4.2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4.2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4.2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4.2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4.2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4.2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4.25" customHeight="1">
      <c r="A113" s="180"/>
      <c r="B113" s="180"/>
      <c r="C113" s="180"/>
      <c r="D113" s="180"/>
      <c r="E113" s="180"/>
      <c r="F113" s="180"/>
      <c r="G113" s="180"/>
      <c r="H113" s="180"/>
      <c r="I113" s="180"/>
      <c r="J113" s="180"/>
      <c r="K113" s="180"/>
      <c r="L113" s="180"/>
      <c r="M113" s="180"/>
      <c r="N113" s="180"/>
      <c r="O113" s="180"/>
      <c r="P113" s="180"/>
      <c r="Q113" s="180"/>
      <c r="R113" s="192"/>
      <c r="S113" s="180"/>
      <c r="T113" s="180"/>
      <c r="U113" s="180"/>
      <c r="V113" s="180"/>
      <c r="W113" s="180"/>
      <c r="X113" s="180"/>
      <c r="Y113" s="180"/>
      <c r="Z113" s="180"/>
    </row>
    <row r="114" ht="14.25" customHeight="1">
      <c r="A114" s="180"/>
      <c r="B114" s="180"/>
      <c r="C114" s="180"/>
      <c r="D114" s="180"/>
      <c r="E114" s="180"/>
      <c r="F114" s="180"/>
      <c r="G114" s="180"/>
      <c r="H114" s="180"/>
      <c r="I114" s="180"/>
      <c r="J114" s="180"/>
      <c r="K114" s="180"/>
      <c r="L114" s="180"/>
      <c r="M114" s="180"/>
      <c r="N114" s="180"/>
      <c r="O114" s="180"/>
      <c r="P114" s="180"/>
      <c r="Q114" s="180"/>
      <c r="R114" s="192"/>
      <c r="S114" s="180"/>
      <c r="T114" s="180"/>
      <c r="U114" s="180"/>
      <c r="V114" s="180"/>
      <c r="W114" s="180"/>
      <c r="X114" s="180"/>
      <c r="Y114" s="180"/>
      <c r="Z114" s="180"/>
    </row>
    <row r="115" ht="14.2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4.2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4.2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4.2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4.2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4.2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4.2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4.2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4.2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4.2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4.2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4.2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4.2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4.2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4.2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4.2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4.2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4.2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4.2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4.2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4.2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4.2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4.2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4.2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4.2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4.2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4.2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4.2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4.2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4.2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4.2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4.2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4.2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4.2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4.2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4.2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4.2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4.2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4.2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4.2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4.2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4.2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4.2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4.2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4.2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4.2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4.2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4.2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4.2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4.2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4.2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4.2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4.2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4.2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4.2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4.2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4.2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4.2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4.2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4.2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4.2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4.2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4.2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4.2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4.2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4.2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4.2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4.2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4.2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4.2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4.2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4.2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4.2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4.2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4.2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4.2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4.2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4.2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4.2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4.2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4.2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4.2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4.2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4.2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4.2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4.2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4.2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4.2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4.2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4.2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4.2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4.2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4.2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4.2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4.2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4.2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4.2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4.2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4.2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4.2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4.2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4.2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4.2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4.2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4.2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4.2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4.2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4.2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4.2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4.2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4.2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4.2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4.2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4.2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4.2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4.2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4.2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4.2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4.2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4.2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4.2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4.2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4.2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4.2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4.2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4.2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4.2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4.2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4.2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4.2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4.2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4.2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4.2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4.2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4.2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4.2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4.2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4.2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4.2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4.2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4.2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4.2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4.2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4.2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4.2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4.2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4.2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4.2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4.2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4.2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4.2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4.2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4.2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4.2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4.2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4.2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4.2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4.2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4.2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4.2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4.2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4.2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4.2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4.2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4.2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4.2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4.2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4.2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4.2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4.2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4.2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4.2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4.2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4.2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4.2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4.2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4.2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4.2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4.2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4.2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4.2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4.2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4.2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4.2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4.2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4.2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4.2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4.2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4.2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4.2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4.2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4.2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4.2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4.2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4.2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4.2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4.2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4.2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4.2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4.2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4.2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4.2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4.2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4.2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4.2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4.2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4.2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4.2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4.2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4.2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4.2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4.2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4.2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4.2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4.2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4.2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4.2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4.2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4.2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4.2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4.2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4.2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4.2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4.2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4.2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4.2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4.2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4.2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4.2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4.2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4.2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4.2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4.2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4.2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4.2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4.2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4.2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4.2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4.2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4.2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4.2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4.2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4.2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4.2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4.2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4.2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4.2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4.2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4.2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4.2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4.2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4.2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4.2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4.2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4.2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4.2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4.2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4.2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4.2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4.2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4.2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4.2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4.2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4.2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4.2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4.2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4.2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4.2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4.2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4.2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4.2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4.2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4.2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4.2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4.2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4.2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4.2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4.2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4.2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4.2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4.2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4.2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4.2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4.2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4.2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4.2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4.2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4.2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4.2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4.2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4.2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4.2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4.2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4.2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4.2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4.2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4.2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4.2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4.2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4.2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4.2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4.2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4.2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4.2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4.2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4.2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4.2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4.2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4.2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4.2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4.2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4.2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4.2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4.2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4.2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4.2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4.2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4.2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4.2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4.2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4.2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4.2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4.2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4.2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4.2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4.2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4.2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4.2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4.2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4.2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4.2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4.2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4.2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4.2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4.2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4.2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4.2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4.2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4.2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4.2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4.2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4.2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4.2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4.2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4.2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4.2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4.2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4.2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4.2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4.2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4.2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4.2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4.2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4.2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4.2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4.2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4.2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4.2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4.2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4.2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4.2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4.2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4.2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4.2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4.2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4.2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4.2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4.2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4.2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4.2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4.2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4.2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4.2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4.2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4.2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4.2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4.2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4.2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4.2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4.2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4.2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4.2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4.2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4.2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4.2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4.2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4.2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4.2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4.2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4.2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4.2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4.2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4.2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4.2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4.2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4.2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4.2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4.2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4.2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4.2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4.2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4.2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4.2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4.2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4.2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4.2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4.2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4.2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4.2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4.2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4.2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4.2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4.2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4.2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4.2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4.2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4.2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4.2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4.2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4.2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4.2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4.2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4.2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4.2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4.2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4.2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4.2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4.2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4.2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4.2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4.2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4.2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4.2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4.2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4.2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4.2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4.2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4.2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4.2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4.2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4.2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4.2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4.2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4.2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4.2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4.2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4.2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4.2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4.2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4.2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4.2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4.2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4.2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4.2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4.2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4.2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4.2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4.2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4.2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4.2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4.2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4.2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4.2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4.2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4.2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4.2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4.2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4.2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4.2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4.2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4.2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4.2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4.2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4.2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4.2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4.2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4.2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4.2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4.2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4.2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4.2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4.2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4.2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4.2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4.2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4.2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4.2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4.2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4.2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4.2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4.2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4.2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4.2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4.2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4.2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4.2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4.2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4.2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4.2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4.2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4.2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4.2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4.2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4.2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4.2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4.2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4.2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4.2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4.2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4.2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4.2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4.2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4.2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4.2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4.2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4.2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4.2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4.2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4.2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4.2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4.2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4.2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4.2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4.2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4.2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4.2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4.2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4.2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4.2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4.2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4.2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4.2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4.2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4.2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4.2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4.2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4.2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4.2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4.2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4.2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4.2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4.2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4.2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4.2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4.2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4.2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4.2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4.2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4.2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4.2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4.2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4.2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4.2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4.2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4.2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4.2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4.2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4.2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4.2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4.2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4.2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4.2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4.2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4.2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4.2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4.2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4.2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4.2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4.2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4.2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4.2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4.2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4.2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4.2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4.2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4.2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4.2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4.2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4.2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4.2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4.2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4.2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4.2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4.2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4.2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4.2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4.2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4.2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4.2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4.2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4.2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4.2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4.2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4.2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4.2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4.2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4.2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4.2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4.2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4.2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4.2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4.2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4.2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4.2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4.2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4.2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4.2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4.2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4.2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4.2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4.2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4.2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4.2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4.2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4.2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4.2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4.2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4.2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4.2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4.2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4.2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4.2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4.2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4.2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4.2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4.2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4.2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4.2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4.2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4.2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4.2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4.2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4.2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4.2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4.2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4.2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4.2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4.2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4.2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4.2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4.2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4.2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4.2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4.2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4.2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4.2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4.2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4.2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4.2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4.2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4.2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4.2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4.2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4.2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4.2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4.2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4.2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4.2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4.2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4.2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4.2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4.2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4.2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4.2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4.2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4.2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4.2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4.2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4.2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4.2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4.2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4.2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4.2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4.2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4.2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4.2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4.2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4.2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4.2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4.2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4.2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4.2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4.2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4.2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4.2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4.2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4.2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4.2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4.2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4.2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4.2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4.2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4.2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4.2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4.2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4.2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4.2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4.2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4.2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4.2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4.2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4.2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4.2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4.2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4.2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4.2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4.2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4.2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4.2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4.2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4.2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4.2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4.2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4.2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4.2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4.2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4.2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4.2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4.2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4.2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4.2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4.2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4.2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4.2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4.2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4.2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4.2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4.2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4.2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4.2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4.2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4.2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4.2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4.2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4.2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4.2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4.2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4.2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4.2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4.2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4.2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4.2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4.2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4.2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4.2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4.2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4.2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4.2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4.2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4.2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4.2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4.2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4.2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4.2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4.2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4.2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4.2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4.2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4.2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4.2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4.2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4.2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4.2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4.2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4.2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4.2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4.2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4.2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4.2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4.2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4.2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4.2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4.2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4.2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4.2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4.2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4.2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4.2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4.2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4.2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4.2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4.2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4.2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4.2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4.2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4.2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4.2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4.2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4.2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4.2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4.2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4.2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4.2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4.2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4.2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4.2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4.2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4.2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4.2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4.2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4.2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4.2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4.2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4.2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4.2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4.2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4.2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4.2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4.2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4.2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4.2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4.2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4.2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4.2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4.2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4.2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4.2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4.2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4.2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4.2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4.2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4.2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4.2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4.2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4.2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4.2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4.2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4.2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4.2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4.2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4.2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4.2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4.2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4.2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4.2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4.2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4.2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4.2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4.2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4.2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4.2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4.2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4.2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4.2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4.2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4.2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4.2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4.2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4.2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4.2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4.2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4.2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4.2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4.2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4.2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4.2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4.2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4.2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4.2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4.2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4.2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4.2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4.2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4.2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4.2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4.2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4.2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4.2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4.2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4.2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4.2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4.2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4.2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4.2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4.2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4.2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4.2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4.2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4.2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4.2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4.2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4.2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4.2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4.2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4.2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4.2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79" t="s">
        <v>3</v>
      </c>
      <c r="B1" s="179" t="s">
        <v>2</v>
      </c>
      <c r="C1" s="179" t="s">
        <v>919</v>
      </c>
      <c r="D1" s="179" t="s">
        <v>920</v>
      </c>
      <c r="E1" s="179" t="s">
        <v>921</v>
      </c>
      <c r="F1" s="179" t="s">
        <v>922</v>
      </c>
      <c r="G1" s="179" t="s">
        <v>923</v>
      </c>
      <c r="H1" s="179" t="s">
        <v>924</v>
      </c>
      <c r="I1" s="179" t="s">
        <v>925</v>
      </c>
      <c r="J1" s="179" t="s">
        <v>926</v>
      </c>
      <c r="K1" s="179" t="s">
        <v>927</v>
      </c>
      <c r="L1" s="179" t="s">
        <v>928</v>
      </c>
      <c r="M1" s="179" t="s">
        <v>929</v>
      </c>
      <c r="N1" s="179" t="s">
        <v>930</v>
      </c>
      <c r="O1" s="179" t="s">
        <v>931</v>
      </c>
      <c r="P1" s="179" t="s">
        <v>932</v>
      </c>
      <c r="Q1" s="193" t="s">
        <v>933</v>
      </c>
      <c r="R1" s="179" t="s">
        <v>934</v>
      </c>
      <c r="S1" s="179" t="s">
        <v>935</v>
      </c>
      <c r="T1" s="179" t="s">
        <v>936</v>
      </c>
      <c r="U1" s="180"/>
      <c r="V1" s="180"/>
      <c r="W1" s="180"/>
      <c r="X1" s="180"/>
      <c r="Y1" s="180"/>
      <c r="Z1" s="180"/>
    </row>
    <row r="2" ht="14.25" customHeight="1">
      <c r="A2" s="182" t="s">
        <v>10</v>
      </c>
      <c r="B2" s="182" t="s">
        <v>13</v>
      </c>
      <c r="C2" s="182" t="s">
        <v>13</v>
      </c>
      <c r="D2" s="182" t="s">
        <v>937</v>
      </c>
      <c r="E2" s="182" t="s">
        <v>938</v>
      </c>
      <c r="F2" s="182" t="s">
        <v>939</v>
      </c>
      <c r="G2" s="182"/>
      <c r="H2" s="179"/>
      <c r="I2" s="179"/>
      <c r="J2" s="182" t="s">
        <v>940</v>
      </c>
      <c r="K2" s="182">
        <v>4050000.0</v>
      </c>
      <c r="L2" s="182">
        <v>1780000.0</v>
      </c>
      <c r="M2" s="182">
        <v>1320000.0</v>
      </c>
      <c r="N2" s="182">
        <v>5370000.0</v>
      </c>
      <c r="O2" s="182">
        <v>8925800.0</v>
      </c>
      <c r="P2" s="182">
        <v>3.2136E10</v>
      </c>
      <c r="Q2" s="179"/>
      <c r="R2" s="179">
        <f t="shared" ref="R2:R101" si="1">N2+O2</f>
        <v>14295800</v>
      </c>
      <c r="S2" s="179">
        <f t="shared" ref="S2:S101" si="2">O2/R2</f>
        <v>0.6243651982</v>
      </c>
      <c r="T2" s="179"/>
      <c r="U2" s="180"/>
      <c r="V2" s="180"/>
      <c r="W2" s="180"/>
      <c r="X2" s="180"/>
      <c r="Y2" s="180"/>
      <c r="Z2" s="180"/>
    </row>
    <row r="3" ht="14.25" customHeight="1">
      <c r="A3" s="182" t="s">
        <v>15</v>
      </c>
      <c r="B3" s="182" t="s">
        <v>18</v>
      </c>
      <c r="C3" s="182" t="s">
        <v>18</v>
      </c>
      <c r="D3" s="182" t="s">
        <v>937</v>
      </c>
      <c r="E3" s="182" t="s">
        <v>938</v>
      </c>
      <c r="F3" s="182" t="s">
        <v>941</v>
      </c>
      <c r="G3" s="182"/>
      <c r="H3" s="179"/>
      <c r="I3" s="179"/>
      <c r="J3" s="182" t="s">
        <v>942</v>
      </c>
      <c r="K3" s="182">
        <v>533000.0</v>
      </c>
      <c r="L3" s="182">
        <v>518000.0</v>
      </c>
      <c r="M3" s="182">
        <v>439000.0</v>
      </c>
      <c r="N3" s="182">
        <v>972000.0</v>
      </c>
      <c r="O3" s="182">
        <v>1.4363E7</v>
      </c>
      <c r="P3" s="182">
        <v>3.1904E10</v>
      </c>
      <c r="Q3" s="179"/>
      <c r="R3" s="179">
        <f t="shared" si="1"/>
        <v>15335000</v>
      </c>
      <c r="S3" s="179">
        <f t="shared" si="2"/>
        <v>0.9366155853</v>
      </c>
      <c r="T3" s="179"/>
      <c r="U3" s="180"/>
      <c r="V3" s="180"/>
      <c r="W3" s="180"/>
      <c r="X3" s="180"/>
      <c r="Y3" s="180"/>
      <c r="Z3" s="180"/>
    </row>
    <row r="4" ht="14.25" customHeight="1">
      <c r="A4" s="182" t="s">
        <v>20</v>
      </c>
      <c r="B4" s="182" t="s">
        <v>24</v>
      </c>
      <c r="C4" s="182" t="s">
        <v>24</v>
      </c>
      <c r="D4" s="182" t="s">
        <v>937</v>
      </c>
      <c r="E4" s="182" t="s">
        <v>938</v>
      </c>
      <c r="F4" s="182" t="s">
        <v>941</v>
      </c>
      <c r="G4" s="182"/>
      <c r="H4" s="179"/>
      <c r="I4" s="179"/>
      <c r="J4" s="182" t="s">
        <v>943</v>
      </c>
      <c r="K4" s="182">
        <v>314421.0</v>
      </c>
      <c r="L4" s="182">
        <v>308204.0</v>
      </c>
      <c r="M4" s="182">
        <v>249777.0</v>
      </c>
      <c r="N4" s="182">
        <v>564198.0</v>
      </c>
      <c r="O4" s="182">
        <v>1334209.0</v>
      </c>
      <c r="P4" s="182">
        <v>3.3266E10</v>
      </c>
      <c r="Q4" s="179"/>
      <c r="R4" s="179">
        <f t="shared" si="1"/>
        <v>1898407</v>
      </c>
      <c r="S4" s="179">
        <f t="shared" si="2"/>
        <v>0.7028045093</v>
      </c>
      <c r="T4" s="179"/>
      <c r="U4" s="180"/>
      <c r="V4" s="180"/>
      <c r="W4" s="180"/>
      <c r="X4" s="180"/>
      <c r="Y4" s="180"/>
      <c r="Z4" s="180"/>
    </row>
    <row r="5" ht="14.25" customHeight="1">
      <c r="A5" s="182" t="s">
        <v>26</v>
      </c>
      <c r="B5" s="182" t="s">
        <v>29</v>
      </c>
      <c r="C5" s="182" t="s">
        <v>29</v>
      </c>
      <c r="D5" s="182" t="s">
        <v>944</v>
      </c>
      <c r="E5" s="182" t="s">
        <v>945</v>
      </c>
      <c r="F5" s="182" t="s">
        <v>946</v>
      </c>
      <c r="G5" s="182"/>
      <c r="H5" s="179"/>
      <c r="I5" s="179"/>
      <c r="J5" s="182" t="s">
        <v>947</v>
      </c>
      <c r="K5" s="182">
        <v>18923.0</v>
      </c>
      <c r="L5" s="182">
        <v>281489.0</v>
      </c>
      <c r="M5" s="182">
        <v>214680.0</v>
      </c>
      <c r="N5" s="182">
        <v>233603.0</v>
      </c>
      <c r="O5" s="182">
        <v>932653.0</v>
      </c>
      <c r="P5" s="182">
        <v>4.32E10</v>
      </c>
      <c r="Q5" s="179"/>
      <c r="R5" s="179">
        <f t="shared" si="1"/>
        <v>1166256</v>
      </c>
      <c r="S5" s="179">
        <f t="shared" si="2"/>
        <v>0.799698351</v>
      </c>
      <c r="T5" s="179"/>
      <c r="U5" s="180"/>
      <c r="V5" s="180"/>
      <c r="W5" s="180"/>
      <c r="X5" s="180"/>
      <c r="Y5" s="180"/>
      <c r="Z5" s="180"/>
    </row>
    <row r="6" ht="14.25" customHeight="1">
      <c r="A6" s="182" t="s">
        <v>31</v>
      </c>
      <c r="B6" s="182" t="s">
        <v>35</v>
      </c>
      <c r="C6" s="182" t="s">
        <v>35</v>
      </c>
      <c r="D6" s="182" t="s">
        <v>937</v>
      </c>
      <c r="E6" s="182" t="s">
        <v>938</v>
      </c>
      <c r="F6" s="182" t="s">
        <v>946</v>
      </c>
      <c r="G6" s="182"/>
      <c r="H6" s="179"/>
      <c r="I6" s="179"/>
      <c r="J6" s="182" t="s">
        <v>947</v>
      </c>
      <c r="K6" s="182">
        <v>11816.0</v>
      </c>
      <c r="L6" s="182">
        <v>56113.0</v>
      </c>
      <c r="M6" s="182">
        <v>43526.0</v>
      </c>
      <c r="N6" s="182">
        <v>55342.0</v>
      </c>
      <c r="O6" s="182">
        <v>543411.87</v>
      </c>
      <c r="P6" s="182">
        <v>1.1171E10</v>
      </c>
      <c r="Q6" s="179"/>
      <c r="R6" s="179">
        <f t="shared" si="1"/>
        <v>598753.87</v>
      </c>
      <c r="S6" s="179">
        <f t="shared" si="2"/>
        <v>0.9075713699</v>
      </c>
      <c r="T6" s="179"/>
      <c r="U6" s="180"/>
      <c r="V6" s="180"/>
      <c r="W6" s="180"/>
      <c r="X6" s="180"/>
      <c r="Y6" s="180"/>
      <c r="Z6" s="180"/>
    </row>
    <row r="7" ht="14.25" customHeight="1">
      <c r="A7" s="182" t="s">
        <v>38</v>
      </c>
      <c r="B7" s="182" t="s">
        <v>42</v>
      </c>
      <c r="C7" s="182" t="s">
        <v>42</v>
      </c>
      <c r="D7" s="182" t="s">
        <v>937</v>
      </c>
      <c r="E7" s="182" t="s">
        <v>938</v>
      </c>
      <c r="F7" s="182" t="s">
        <v>946</v>
      </c>
      <c r="G7" s="182"/>
      <c r="H7" s="179"/>
      <c r="I7" s="179"/>
      <c r="J7" s="182" t="s">
        <v>948</v>
      </c>
      <c r="K7" s="182">
        <v>39230.0</v>
      </c>
      <c r="L7" s="182">
        <v>86863.0</v>
      </c>
      <c r="M7" s="182">
        <v>74230.0</v>
      </c>
      <c r="N7" s="182">
        <v>113460.0</v>
      </c>
      <c r="O7" s="182">
        <v>37589.0</v>
      </c>
      <c r="P7" s="182">
        <v>4.4675E10</v>
      </c>
      <c r="Q7" s="179"/>
      <c r="R7" s="179">
        <f t="shared" si="1"/>
        <v>151049</v>
      </c>
      <c r="S7" s="179">
        <f t="shared" si="2"/>
        <v>0.2488530212</v>
      </c>
      <c r="T7" s="179"/>
      <c r="U7" s="180"/>
      <c r="V7" s="180"/>
      <c r="W7" s="180"/>
      <c r="X7" s="180"/>
      <c r="Y7" s="180"/>
      <c r="Z7" s="180"/>
    </row>
    <row r="8" ht="14.25" customHeight="1">
      <c r="A8" s="182" t="s">
        <v>897</v>
      </c>
      <c r="B8" s="182" t="s">
        <v>898</v>
      </c>
      <c r="C8" s="182" t="s">
        <v>898</v>
      </c>
      <c r="D8" s="182" t="s">
        <v>937</v>
      </c>
      <c r="E8" s="182" t="s">
        <v>938</v>
      </c>
      <c r="F8" s="182" t="s">
        <v>946</v>
      </c>
      <c r="G8" s="182"/>
      <c r="H8" s="179"/>
      <c r="I8" s="179"/>
      <c r="J8" s="182" t="s">
        <v>949</v>
      </c>
      <c r="K8" s="182">
        <v>66686.0</v>
      </c>
      <c r="L8" s="182">
        <v>5116949.0</v>
      </c>
      <c r="M8" s="182">
        <v>794267.0</v>
      </c>
      <c r="N8" s="182">
        <v>860953.0</v>
      </c>
      <c r="O8" s="182">
        <v>1.1669E7</v>
      </c>
      <c r="P8" s="182">
        <v>1.61857E11</v>
      </c>
      <c r="Q8" s="179"/>
      <c r="R8" s="179">
        <f t="shared" si="1"/>
        <v>12529953</v>
      </c>
      <c r="S8" s="179">
        <f t="shared" si="2"/>
        <v>0.9312884095</v>
      </c>
      <c r="T8" s="179"/>
      <c r="U8" s="180"/>
      <c r="V8" s="180"/>
      <c r="W8" s="180"/>
      <c r="X8" s="180"/>
      <c r="Y8" s="180"/>
      <c r="Z8" s="180"/>
    </row>
    <row r="9" ht="14.25" customHeight="1">
      <c r="A9" s="182" t="s">
        <v>51</v>
      </c>
      <c r="B9" s="182" t="s">
        <v>55</v>
      </c>
      <c r="C9" s="182" t="s">
        <v>55</v>
      </c>
      <c r="D9" s="182" t="s">
        <v>937</v>
      </c>
      <c r="E9" s="182" t="s">
        <v>938</v>
      </c>
      <c r="F9" s="182" t="s">
        <v>950</v>
      </c>
      <c r="G9" s="182"/>
      <c r="H9" s="179"/>
      <c r="I9" s="179"/>
      <c r="J9" s="182" t="s">
        <v>951</v>
      </c>
      <c r="K9" s="182">
        <v>154507.0</v>
      </c>
      <c r="L9" s="182">
        <v>151259.0</v>
      </c>
      <c r="M9" s="182">
        <v>147909.0</v>
      </c>
      <c r="N9" s="182">
        <v>302416.0</v>
      </c>
      <c r="O9" s="182">
        <v>5568021.0</v>
      </c>
      <c r="P9" s="182">
        <v>2.5364E10</v>
      </c>
      <c r="Q9" s="179"/>
      <c r="R9" s="179">
        <f t="shared" si="1"/>
        <v>5870437</v>
      </c>
      <c r="S9" s="179">
        <f t="shared" si="2"/>
        <v>0.9484849254</v>
      </c>
      <c r="T9" s="179"/>
      <c r="U9" s="180"/>
      <c r="V9" s="180"/>
      <c r="W9" s="180"/>
      <c r="X9" s="180"/>
      <c r="Y9" s="180"/>
      <c r="Z9" s="180"/>
    </row>
    <row r="10" ht="14.25" customHeight="1">
      <c r="A10" s="182" t="s">
        <v>58</v>
      </c>
      <c r="B10" s="182" t="s">
        <v>60</v>
      </c>
      <c r="C10" s="182" t="s">
        <v>60</v>
      </c>
      <c r="D10" s="182" t="s">
        <v>937</v>
      </c>
      <c r="E10" s="182" t="s">
        <v>938</v>
      </c>
      <c r="F10" s="190"/>
      <c r="G10" s="182"/>
      <c r="H10" s="179"/>
      <c r="I10" s="179"/>
      <c r="J10" s="182"/>
      <c r="K10" s="182">
        <f>'GHG19'!C10</f>
        <v>5760000</v>
      </c>
      <c r="L10" s="182">
        <v>0.0</v>
      </c>
      <c r="M10" s="182">
        <f>'GHG19'!D10</f>
        <v>5500000</v>
      </c>
      <c r="N10" s="182">
        <f>M10+K10</f>
        <v>11260000</v>
      </c>
      <c r="O10" s="194">
        <f>'GHG19'!W10</f>
        <v>39910000</v>
      </c>
      <c r="P10" s="182">
        <v>2.8E11</v>
      </c>
      <c r="Q10" s="179"/>
      <c r="R10" s="195">
        <f t="shared" si="1"/>
        <v>51170000</v>
      </c>
      <c r="S10" s="179">
        <f t="shared" si="2"/>
        <v>0.779949189</v>
      </c>
      <c r="T10" s="179"/>
      <c r="U10" s="180"/>
      <c r="V10" s="180"/>
      <c r="W10" s="180"/>
      <c r="X10" s="180"/>
      <c r="Y10" s="180"/>
      <c r="Z10" s="180"/>
    </row>
    <row r="11" ht="14.25" customHeight="1">
      <c r="A11" s="182" t="s">
        <v>62</v>
      </c>
      <c r="B11" s="182" t="s">
        <v>65</v>
      </c>
      <c r="C11" s="182" t="s">
        <v>65</v>
      </c>
      <c r="D11" s="182" t="s">
        <v>937</v>
      </c>
      <c r="E11" s="182" t="s">
        <v>938</v>
      </c>
      <c r="F11" s="182" t="s">
        <v>946</v>
      </c>
      <c r="G11" s="182"/>
      <c r="H11" s="179"/>
      <c r="I11" s="179"/>
      <c r="J11" s="182" t="s">
        <v>948</v>
      </c>
      <c r="K11" s="182">
        <v>24363.0</v>
      </c>
      <c r="L11" s="182">
        <v>113964.0</v>
      </c>
      <c r="M11" s="182">
        <v>3153.0</v>
      </c>
      <c r="N11" s="182">
        <v>27516.0</v>
      </c>
      <c r="O11" s="182">
        <v>2169197.679</v>
      </c>
      <c r="P11" s="182">
        <v>4.3556E10</v>
      </c>
      <c r="Q11" s="179"/>
      <c r="R11" s="179">
        <f t="shared" si="1"/>
        <v>2196713.679</v>
      </c>
      <c r="S11" s="179">
        <f t="shared" si="2"/>
        <v>0.9874740162</v>
      </c>
      <c r="T11" s="179"/>
      <c r="U11" s="180"/>
      <c r="V11" s="180"/>
      <c r="W11" s="180"/>
      <c r="X11" s="180"/>
      <c r="Y11" s="180"/>
      <c r="Z11" s="180"/>
    </row>
    <row r="12" ht="14.25" customHeight="1">
      <c r="A12" s="182" t="s">
        <v>67</v>
      </c>
      <c r="B12" s="182" t="s">
        <v>71</v>
      </c>
      <c r="C12" s="182" t="s">
        <v>71</v>
      </c>
      <c r="D12" s="182" t="s">
        <v>937</v>
      </c>
      <c r="E12" s="182" t="s">
        <v>938</v>
      </c>
      <c r="F12" s="182" t="s">
        <v>946</v>
      </c>
      <c r="G12" s="182"/>
      <c r="H12" s="179"/>
      <c r="I12" s="179"/>
      <c r="J12" s="182" t="s">
        <v>948</v>
      </c>
      <c r="K12" s="182">
        <v>17121.0</v>
      </c>
      <c r="L12" s="182">
        <v>93781.0</v>
      </c>
      <c r="M12" s="182">
        <v>0.0</v>
      </c>
      <c r="N12" s="182">
        <v>110902.0</v>
      </c>
      <c r="O12" s="182">
        <v>44695.0</v>
      </c>
      <c r="P12" s="182">
        <v>4.975E10</v>
      </c>
      <c r="Q12" s="179"/>
      <c r="R12" s="179">
        <f t="shared" si="1"/>
        <v>155597</v>
      </c>
      <c r="S12" s="179">
        <f t="shared" si="2"/>
        <v>0.2872484688</v>
      </c>
      <c r="T12" s="179"/>
      <c r="U12" s="180"/>
      <c r="V12" s="180"/>
      <c r="W12" s="180"/>
      <c r="X12" s="180"/>
      <c r="Y12" s="180"/>
      <c r="Z12" s="180"/>
    </row>
    <row r="13" ht="14.25" customHeight="1">
      <c r="A13" s="182" t="s">
        <v>73</v>
      </c>
      <c r="B13" s="182" t="s">
        <v>76</v>
      </c>
      <c r="C13" s="182" t="s">
        <v>76</v>
      </c>
      <c r="D13" s="182" t="s">
        <v>937</v>
      </c>
      <c r="E13" s="182" t="s">
        <v>938</v>
      </c>
      <c r="F13" s="182" t="s">
        <v>952</v>
      </c>
      <c r="G13" s="182"/>
      <c r="H13" s="179"/>
      <c r="I13" s="179"/>
      <c r="J13" s="182" t="s">
        <v>953</v>
      </c>
      <c r="K13" s="182">
        <v>556281.0</v>
      </c>
      <c r="L13" s="182">
        <v>1780621.0</v>
      </c>
      <c r="M13" s="182">
        <v>0.0</v>
      </c>
      <c r="N13" s="182">
        <v>2336902.0</v>
      </c>
      <c r="O13" s="182">
        <v>0.0</v>
      </c>
      <c r="P13" s="182">
        <v>7.58E9</v>
      </c>
      <c r="Q13" s="179"/>
      <c r="R13" s="179">
        <f t="shared" si="1"/>
        <v>2336902</v>
      </c>
      <c r="S13" s="179">
        <f t="shared" si="2"/>
        <v>0</v>
      </c>
      <c r="T13" s="179"/>
      <c r="U13" s="180"/>
      <c r="V13" s="180"/>
      <c r="W13" s="180"/>
      <c r="X13" s="180"/>
      <c r="Y13" s="180"/>
      <c r="Z13" s="180"/>
    </row>
    <row r="14" ht="14.25" customHeight="1">
      <c r="A14" s="182" t="s">
        <v>78</v>
      </c>
      <c r="B14" s="182" t="s">
        <v>82</v>
      </c>
      <c r="C14" s="182" t="s">
        <v>82</v>
      </c>
      <c r="D14" s="182" t="s">
        <v>937</v>
      </c>
      <c r="E14" s="182" t="s">
        <v>938</v>
      </c>
      <c r="F14" s="182" t="s">
        <v>941</v>
      </c>
      <c r="G14" s="182"/>
      <c r="H14" s="179"/>
      <c r="I14" s="179"/>
      <c r="J14" s="182" t="s">
        <v>943</v>
      </c>
      <c r="K14" s="182">
        <v>135954.0</v>
      </c>
      <c r="L14" s="182">
        <v>173922.0</v>
      </c>
      <c r="M14" s="182">
        <v>160360.0</v>
      </c>
      <c r="N14" s="182">
        <v>296314.0</v>
      </c>
      <c r="O14" s="182">
        <v>2829355.0</v>
      </c>
      <c r="P14" s="182">
        <v>2.34E10</v>
      </c>
      <c r="Q14" s="179"/>
      <c r="R14" s="179">
        <f t="shared" si="1"/>
        <v>3125669</v>
      </c>
      <c r="S14" s="179">
        <f t="shared" si="2"/>
        <v>0.9051998148</v>
      </c>
      <c r="T14" s="179"/>
      <c r="U14" s="180"/>
      <c r="V14" s="180"/>
      <c r="W14" s="180"/>
      <c r="X14" s="180"/>
      <c r="Y14" s="180"/>
      <c r="Z14" s="180"/>
    </row>
    <row r="15" ht="14.25" customHeight="1">
      <c r="A15" s="182" t="s">
        <v>84</v>
      </c>
      <c r="B15" s="182" t="s">
        <v>88</v>
      </c>
      <c r="C15" s="182" t="s">
        <v>88</v>
      </c>
      <c r="D15" s="182" t="s">
        <v>937</v>
      </c>
      <c r="E15" s="182" t="s">
        <v>938</v>
      </c>
      <c r="F15" s="182" t="s">
        <v>954</v>
      </c>
      <c r="G15" s="182"/>
      <c r="H15" s="179"/>
      <c r="I15" s="179"/>
      <c r="J15" s="182" t="s">
        <v>955</v>
      </c>
      <c r="K15" s="182">
        <v>50549.0</v>
      </c>
      <c r="L15" s="182">
        <v>862127.0</v>
      </c>
      <c r="M15" s="182">
        <v>0.0</v>
      </c>
      <c r="N15" s="182">
        <v>912676.0</v>
      </c>
      <c r="O15" s="182">
        <v>2.50652E7</v>
      </c>
      <c r="P15" s="182">
        <v>2.60174E11</v>
      </c>
      <c r="Q15" s="179"/>
      <c r="R15" s="179">
        <f t="shared" si="1"/>
        <v>25977876</v>
      </c>
      <c r="S15" s="179">
        <f t="shared" si="2"/>
        <v>0.9648671816</v>
      </c>
      <c r="T15" s="179"/>
      <c r="U15" s="180"/>
      <c r="V15" s="180"/>
      <c r="W15" s="180"/>
      <c r="X15" s="180"/>
      <c r="Y15" s="180"/>
      <c r="Z15" s="180"/>
    </row>
    <row r="16" ht="14.25" customHeight="1">
      <c r="A16" s="182" t="s">
        <v>90</v>
      </c>
      <c r="B16" s="182" t="s">
        <v>94</v>
      </c>
      <c r="C16" s="182" t="s">
        <v>94</v>
      </c>
      <c r="D16" s="182" t="s">
        <v>937</v>
      </c>
      <c r="E16" s="182" t="s">
        <v>938</v>
      </c>
      <c r="F16" s="182" t="s">
        <v>946</v>
      </c>
      <c r="G16" s="182"/>
      <c r="H16" s="179"/>
      <c r="I16" s="179"/>
      <c r="J16" s="182" t="s">
        <v>956</v>
      </c>
      <c r="K16" s="182">
        <v>990955.0</v>
      </c>
      <c r="L16" s="182">
        <v>6015122.0</v>
      </c>
      <c r="M16" s="182">
        <v>5534088.0</v>
      </c>
      <c r="N16" s="182">
        <v>6525043.0</v>
      </c>
      <c r="O16" s="182">
        <v>6291545.0</v>
      </c>
      <c r="P16" s="182">
        <v>1.812E11</v>
      </c>
      <c r="Q16" s="179"/>
      <c r="R16" s="179">
        <f t="shared" si="1"/>
        <v>12816588</v>
      </c>
      <c r="S16" s="179">
        <f t="shared" si="2"/>
        <v>0.4908907893</v>
      </c>
      <c r="T16" s="179"/>
      <c r="U16" s="180"/>
      <c r="V16" s="180"/>
      <c r="W16" s="180"/>
      <c r="X16" s="180"/>
      <c r="Y16" s="180"/>
      <c r="Z16" s="180"/>
    </row>
    <row r="17" ht="14.25" customHeight="1">
      <c r="A17" s="182" t="s">
        <v>96</v>
      </c>
      <c r="B17" s="182" t="s">
        <v>99</v>
      </c>
      <c r="C17" s="182" t="s">
        <v>99</v>
      </c>
      <c r="D17" s="182" t="s">
        <v>937</v>
      </c>
      <c r="E17" s="182" t="s">
        <v>938</v>
      </c>
      <c r="F17" s="182" t="s">
        <v>946</v>
      </c>
      <c r="G17" s="182"/>
      <c r="H17" s="179"/>
      <c r="I17" s="179"/>
      <c r="J17" s="182" t="s">
        <v>948</v>
      </c>
      <c r="K17" s="182">
        <v>62639.0</v>
      </c>
      <c r="L17" s="182">
        <v>728771.0</v>
      </c>
      <c r="M17" s="182">
        <v>17523.0</v>
      </c>
      <c r="N17" s="182">
        <v>80162.0</v>
      </c>
      <c r="O17" s="182">
        <v>4867841.0</v>
      </c>
      <c r="P17" s="182">
        <v>9.124E10</v>
      </c>
      <c r="Q17" s="179"/>
      <c r="R17" s="179">
        <f t="shared" si="1"/>
        <v>4948003</v>
      </c>
      <c r="S17" s="179">
        <f t="shared" si="2"/>
        <v>0.9837991206</v>
      </c>
      <c r="T17" s="179"/>
      <c r="U17" s="180"/>
      <c r="V17" s="180"/>
      <c r="W17" s="180"/>
      <c r="X17" s="180"/>
      <c r="Y17" s="180"/>
      <c r="Z17" s="180"/>
    </row>
    <row r="18" ht="14.25" customHeight="1">
      <c r="A18" s="182" t="s">
        <v>101</v>
      </c>
      <c r="B18" s="182" t="s">
        <v>957</v>
      </c>
      <c r="C18" s="182" t="s">
        <v>957</v>
      </c>
      <c r="D18" s="182" t="s">
        <v>937</v>
      </c>
      <c r="E18" s="182" t="s">
        <v>938</v>
      </c>
      <c r="F18" s="182"/>
      <c r="G18" s="182"/>
      <c r="H18" s="179"/>
      <c r="I18" s="179"/>
      <c r="J18" s="182"/>
      <c r="K18" s="196">
        <v>1.0</v>
      </c>
      <c r="L18" s="196">
        <v>1.0</v>
      </c>
      <c r="M18" s="196">
        <v>1.0</v>
      </c>
      <c r="N18" s="196">
        <v>1.0</v>
      </c>
      <c r="O18" s="196">
        <v>1.0</v>
      </c>
      <c r="P18" s="182">
        <v>2.54616E11</v>
      </c>
      <c r="Q18" s="179"/>
      <c r="R18" s="197">
        <f t="shared" si="1"/>
        <v>2</v>
      </c>
      <c r="S18" s="179">
        <f t="shared" si="2"/>
        <v>0.5</v>
      </c>
      <c r="T18" s="179"/>
      <c r="U18" s="180"/>
      <c r="V18" s="180"/>
      <c r="W18" s="180"/>
      <c r="X18" s="180"/>
      <c r="Y18" s="180"/>
      <c r="Z18" s="180"/>
    </row>
    <row r="19" ht="14.25" customHeight="1">
      <c r="A19" s="182" t="s">
        <v>105</v>
      </c>
      <c r="B19" s="182" t="s">
        <v>109</v>
      </c>
      <c r="C19" s="182" t="s">
        <v>109</v>
      </c>
      <c r="D19" s="182" t="s">
        <v>937</v>
      </c>
      <c r="E19" s="182" t="s">
        <v>938</v>
      </c>
      <c r="F19" s="182" t="s">
        <v>941</v>
      </c>
      <c r="G19" s="182"/>
      <c r="H19" s="179"/>
      <c r="I19" s="179"/>
      <c r="J19" s="182" t="s">
        <v>943</v>
      </c>
      <c r="K19" s="182">
        <v>67031.0</v>
      </c>
      <c r="L19" s="182">
        <v>36802.0</v>
      </c>
      <c r="M19" s="182">
        <v>106.0</v>
      </c>
      <c r="N19" s="182">
        <v>67137.0</v>
      </c>
      <c r="O19" s="182">
        <v>424537.0</v>
      </c>
      <c r="P19" s="182">
        <v>1.35E10</v>
      </c>
      <c r="Q19" s="179"/>
      <c r="R19" s="179">
        <f t="shared" si="1"/>
        <v>491674</v>
      </c>
      <c r="S19" s="179">
        <f t="shared" si="2"/>
        <v>0.8634522061</v>
      </c>
      <c r="T19" s="179"/>
      <c r="U19" s="180"/>
      <c r="V19" s="180"/>
      <c r="W19" s="180"/>
      <c r="X19" s="180"/>
      <c r="Y19" s="180"/>
      <c r="Z19" s="180"/>
    </row>
    <row r="20" ht="14.25" customHeight="1">
      <c r="A20" s="182" t="s">
        <v>111</v>
      </c>
      <c r="B20" s="182" t="s">
        <v>115</v>
      </c>
      <c r="C20" s="182" t="s">
        <v>115</v>
      </c>
      <c r="D20" s="182" t="s">
        <v>937</v>
      </c>
      <c r="E20" s="182" t="s">
        <v>938</v>
      </c>
      <c r="F20" s="182" t="s">
        <v>946</v>
      </c>
      <c r="G20" s="182"/>
      <c r="H20" s="179"/>
      <c r="I20" s="179"/>
      <c r="J20" s="182" t="s">
        <v>948</v>
      </c>
      <c r="K20" s="182">
        <v>5589.0</v>
      </c>
      <c r="L20" s="182">
        <v>20369.0</v>
      </c>
      <c r="M20" s="182">
        <v>0.0</v>
      </c>
      <c r="N20" s="182">
        <v>25958.0</v>
      </c>
      <c r="O20" s="182">
        <v>420014.0</v>
      </c>
      <c r="P20" s="182">
        <v>1.4539E10</v>
      </c>
      <c r="Q20" s="179"/>
      <c r="R20" s="179">
        <f t="shared" si="1"/>
        <v>445972</v>
      </c>
      <c r="S20" s="179">
        <f t="shared" si="2"/>
        <v>0.9417945521</v>
      </c>
      <c r="T20" s="179"/>
      <c r="U20" s="180"/>
      <c r="V20" s="180"/>
      <c r="W20" s="180"/>
      <c r="X20" s="180"/>
      <c r="Y20" s="180"/>
      <c r="Z20" s="180"/>
    </row>
    <row r="21" ht="14.25" customHeight="1">
      <c r="A21" s="182" t="s">
        <v>117</v>
      </c>
      <c r="B21" s="182" t="s">
        <v>120</v>
      </c>
      <c r="C21" s="182" t="s">
        <v>120</v>
      </c>
      <c r="D21" s="182" t="s">
        <v>937</v>
      </c>
      <c r="E21" s="182" t="s">
        <v>938</v>
      </c>
      <c r="F21" s="182" t="s">
        <v>954</v>
      </c>
      <c r="G21" s="182"/>
      <c r="H21" s="179"/>
      <c r="I21" s="179"/>
      <c r="J21" s="182" t="s">
        <v>958</v>
      </c>
      <c r="K21" s="182">
        <v>613000.0</v>
      </c>
      <c r="L21" s="182">
        <v>871000.0</v>
      </c>
      <c r="M21" s="182">
        <v>733000.0</v>
      </c>
      <c r="N21" s="182">
        <v>1346000.0</v>
      </c>
      <c r="O21" s="182">
        <v>290000.0</v>
      </c>
      <c r="P21" s="182">
        <v>7.6559E10</v>
      </c>
      <c r="Q21" s="179"/>
      <c r="R21" s="179">
        <f t="shared" si="1"/>
        <v>1636000</v>
      </c>
      <c r="S21" s="179">
        <f t="shared" si="2"/>
        <v>0.1772616137</v>
      </c>
      <c r="T21" s="179"/>
      <c r="U21" s="180"/>
      <c r="V21" s="180"/>
      <c r="W21" s="180"/>
      <c r="X21" s="180"/>
      <c r="Y21" s="180"/>
      <c r="Z21" s="180"/>
    </row>
    <row r="22" ht="14.25" customHeight="1">
      <c r="A22" s="182" t="s">
        <v>122</v>
      </c>
      <c r="B22" s="182" t="s">
        <v>124</v>
      </c>
      <c r="C22" s="182" t="s">
        <v>124</v>
      </c>
      <c r="D22" s="182" t="s">
        <v>937</v>
      </c>
      <c r="E22" s="182" t="s">
        <v>938</v>
      </c>
      <c r="F22" s="182"/>
      <c r="G22" s="182"/>
      <c r="H22" s="179"/>
      <c r="I22" s="179"/>
      <c r="J22" s="182"/>
      <c r="K22" s="196">
        <v>10.0</v>
      </c>
      <c r="L22" s="196">
        <v>10.0</v>
      </c>
      <c r="M22" s="196">
        <v>10.0</v>
      </c>
      <c r="N22" s="196">
        <v>10.0</v>
      </c>
      <c r="O22" s="196">
        <v>10.0</v>
      </c>
      <c r="P22" s="182">
        <v>1.5066E10</v>
      </c>
      <c r="Q22" s="179"/>
      <c r="R22" s="197">
        <f t="shared" si="1"/>
        <v>20</v>
      </c>
      <c r="S22" s="179">
        <f t="shared" si="2"/>
        <v>0.5</v>
      </c>
      <c r="T22" s="179"/>
      <c r="U22" s="180"/>
      <c r="V22" s="180"/>
      <c r="W22" s="180"/>
      <c r="X22" s="180"/>
      <c r="Y22" s="180"/>
      <c r="Z22" s="180"/>
    </row>
    <row r="23" ht="14.25" customHeight="1">
      <c r="A23" s="182" t="s">
        <v>125</v>
      </c>
      <c r="B23" s="182" t="s">
        <v>128</v>
      </c>
      <c r="C23" s="182" t="s">
        <v>128</v>
      </c>
      <c r="D23" s="182" t="s">
        <v>937</v>
      </c>
      <c r="E23" s="182" t="s">
        <v>938</v>
      </c>
      <c r="F23" s="182" t="s">
        <v>941</v>
      </c>
      <c r="G23" s="182"/>
      <c r="H23" s="179"/>
      <c r="I23" s="179"/>
      <c r="J23" s="182" t="s">
        <v>943</v>
      </c>
      <c r="K23" s="182">
        <v>189193.665</v>
      </c>
      <c r="L23" s="182">
        <v>122295.068</v>
      </c>
      <c r="M23" s="182">
        <v>111155.772</v>
      </c>
      <c r="N23" s="182">
        <v>300349.43700000003</v>
      </c>
      <c r="O23" s="182">
        <v>1.71849235E7</v>
      </c>
      <c r="P23" s="182">
        <v>2.6145E10</v>
      </c>
      <c r="Q23" s="179"/>
      <c r="R23" s="179">
        <f t="shared" si="1"/>
        <v>17485272.94</v>
      </c>
      <c r="S23" s="179">
        <f t="shared" si="2"/>
        <v>0.9828227195</v>
      </c>
      <c r="T23" s="179"/>
      <c r="U23" s="180"/>
      <c r="V23" s="180"/>
      <c r="W23" s="180"/>
      <c r="X23" s="180"/>
      <c r="Y23" s="180"/>
      <c r="Z23" s="180"/>
    </row>
    <row r="24" ht="14.25" customHeight="1">
      <c r="A24" s="182" t="s">
        <v>130</v>
      </c>
      <c r="B24" s="182" t="s">
        <v>134</v>
      </c>
      <c r="C24" s="182" t="s">
        <v>134</v>
      </c>
      <c r="D24" s="182" t="s">
        <v>937</v>
      </c>
      <c r="E24" s="182" t="s">
        <v>938</v>
      </c>
      <c r="F24" s="182" t="s">
        <v>946</v>
      </c>
      <c r="G24" s="182"/>
      <c r="H24" s="179"/>
      <c r="I24" s="179"/>
      <c r="J24" s="182" t="s">
        <v>948</v>
      </c>
      <c r="K24" s="182">
        <v>9495.0</v>
      </c>
      <c r="L24" s="182">
        <v>146671.0</v>
      </c>
      <c r="M24" s="182">
        <v>135.0</v>
      </c>
      <c r="N24" s="182">
        <v>9630.0</v>
      </c>
      <c r="O24" s="182">
        <v>390974.51</v>
      </c>
      <c r="P24" s="182">
        <v>2.86E10</v>
      </c>
      <c r="Q24" s="179"/>
      <c r="R24" s="179">
        <f t="shared" si="1"/>
        <v>400604.51</v>
      </c>
      <c r="S24" s="179">
        <f t="shared" si="2"/>
        <v>0.975961329</v>
      </c>
      <c r="T24" s="179"/>
      <c r="U24" s="180"/>
      <c r="V24" s="180"/>
      <c r="W24" s="180"/>
      <c r="X24" s="180"/>
      <c r="Y24" s="180"/>
      <c r="Z24" s="180"/>
    </row>
    <row r="25" ht="14.25" customHeight="1">
      <c r="A25" s="182" t="s">
        <v>136</v>
      </c>
      <c r="B25" s="182" t="s">
        <v>138</v>
      </c>
      <c r="C25" s="182" t="s">
        <v>138</v>
      </c>
      <c r="D25" s="182" t="s">
        <v>937</v>
      </c>
      <c r="E25" s="182" t="s">
        <v>938</v>
      </c>
      <c r="F25" s="182"/>
      <c r="G25" s="182"/>
      <c r="H25" s="179"/>
      <c r="I25" s="179"/>
      <c r="J25" s="182"/>
      <c r="K25" s="196">
        <v>10.0</v>
      </c>
      <c r="L25" s="196">
        <v>10.0</v>
      </c>
      <c r="M25" s="196">
        <v>10.0</v>
      </c>
      <c r="N25" s="196">
        <v>10.0</v>
      </c>
      <c r="O25" s="196">
        <v>10.0</v>
      </c>
      <c r="P25" s="182">
        <v>5.38E10</v>
      </c>
      <c r="Q25" s="179"/>
      <c r="R25" s="197">
        <f t="shared" si="1"/>
        <v>20</v>
      </c>
      <c r="S25" s="179">
        <f t="shared" si="2"/>
        <v>0.5</v>
      </c>
      <c r="T25" s="179"/>
      <c r="U25" s="180"/>
      <c r="V25" s="180"/>
      <c r="W25" s="180"/>
      <c r="X25" s="180"/>
      <c r="Y25" s="180"/>
      <c r="Z25" s="180"/>
    </row>
    <row r="26" ht="14.25" customHeight="1">
      <c r="A26" s="182" t="s">
        <v>139</v>
      </c>
      <c r="B26" s="182" t="s">
        <v>141</v>
      </c>
      <c r="C26" s="182" t="s">
        <v>141</v>
      </c>
      <c r="D26" s="182" t="s">
        <v>937</v>
      </c>
      <c r="E26" s="182" t="s">
        <v>938</v>
      </c>
      <c r="F26" s="182"/>
      <c r="G26" s="182"/>
      <c r="H26" s="179"/>
      <c r="I26" s="179"/>
      <c r="J26" s="182"/>
      <c r="K26" s="196">
        <v>10.0</v>
      </c>
      <c r="L26" s="196">
        <v>10.0</v>
      </c>
      <c r="M26" s="196">
        <v>10.0</v>
      </c>
      <c r="N26" s="196">
        <v>10.0</v>
      </c>
      <c r="O26" s="196">
        <v>10.0</v>
      </c>
      <c r="P26" s="182">
        <v>4.5764E10</v>
      </c>
      <c r="Q26" s="179"/>
      <c r="R26" s="197">
        <f t="shared" si="1"/>
        <v>20</v>
      </c>
      <c r="S26" s="179">
        <f t="shared" si="2"/>
        <v>0.5</v>
      </c>
      <c r="T26" s="179"/>
      <c r="U26" s="180"/>
      <c r="V26" s="180"/>
      <c r="W26" s="180"/>
      <c r="X26" s="180"/>
      <c r="Y26" s="180"/>
      <c r="Z26" s="180"/>
    </row>
    <row r="27" ht="14.25" customHeight="1">
      <c r="A27" s="182" t="s">
        <v>142</v>
      </c>
      <c r="B27" s="182" t="s">
        <v>143</v>
      </c>
      <c r="C27" s="182" t="s">
        <v>143</v>
      </c>
      <c r="D27" s="182" t="s">
        <v>937</v>
      </c>
      <c r="E27" s="182" t="s">
        <v>938</v>
      </c>
      <c r="F27" s="182"/>
      <c r="G27" s="182"/>
      <c r="H27" s="179"/>
      <c r="I27" s="179"/>
      <c r="J27" s="182"/>
      <c r="K27" s="196">
        <v>10.0</v>
      </c>
      <c r="L27" s="196">
        <v>10.0</v>
      </c>
      <c r="M27" s="196">
        <v>10.0</v>
      </c>
      <c r="N27" s="196">
        <v>10.0</v>
      </c>
      <c r="O27" s="196">
        <v>10.0</v>
      </c>
      <c r="P27" s="182">
        <v>1.46516E11</v>
      </c>
      <c r="Q27" s="179"/>
      <c r="R27" s="197">
        <f t="shared" si="1"/>
        <v>20</v>
      </c>
      <c r="S27" s="179">
        <f t="shared" si="2"/>
        <v>0.5</v>
      </c>
      <c r="T27" s="179"/>
      <c r="U27" s="180"/>
      <c r="V27" s="180"/>
      <c r="W27" s="180"/>
      <c r="X27" s="180"/>
      <c r="Y27" s="180"/>
      <c r="Z27" s="180"/>
    </row>
    <row r="28" ht="14.25" customHeight="1">
      <c r="A28" s="182" t="s">
        <v>144</v>
      </c>
      <c r="B28" s="182" t="s">
        <v>148</v>
      </c>
      <c r="C28" s="182" t="s">
        <v>148</v>
      </c>
      <c r="D28" s="182" t="s">
        <v>937</v>
      </c>
      <c r="E28" s="182" t="s">
        <v>938</v>
      </c>
      <c r="F28" s="182" t="s">
        <v>946</v>
      </c>
      <c r="G28" s="182"/>
      <c r="H28" s="179"/>
      <c r="I28" s="179"/>
      <c r="J28" s="182" t="s">
        <v>947</v>
      </c>
      <c r="K28" s="182">
        <v>41181.0</v>
      </c>
      <c r="L28" s="182">
        <v>651331.0</v>
      </c>
      <c r="M28" s="182">
        <v>187428.0</v>
      </c>
      <c r="N28" s="182">
        <v>228609.0</v>
      </c>
      <c r="O28" s="182">
        <v>2.6570997E7</v>
      </c>
      <c r="P28" s="182">
        <v>5.19E10</v>
      </c>
      <c r="Q28" s="179"/>
      <c r="R28" s="179">
        <f t="shared" si="1"/>
        <v>26799606</v>
      </c>
      <c r="S28" s="179">
        <f t="shared" si="2"/>
        <v>0.991469688</v>
      </c>
      <c r="T28" s="179"/>
      <c r="U28" s="180"/>
      <c r="V28" s="180"/>
      <c r="W28" s="180"/>
      <c r="X28" s="180"/>
      <c r="Y28" s="180"/>
      <c r="Z28" s="180"/>
    </row>
    <row r="29" ht="14.25" customHeight="1">
      <c r="A29" s="182" t="s">
        <v>150</v>
      </c>
      <c r="B29" s="182" t="s">
        <v>154</v>
      </c>
      <c r="C29" s="182" t="s">
        <v>154</v>
      </c>
      <c r="D29" s="182" t="s">
        <v>937</v>
      </c>
      <c r="E29" s="182" t="s">
        <v>938</v>
      </c>
      <c r="F29" s="182" t="s">
        <v>946</v>
      </c>
      <c r="G29" s="182"/>
      <c r="H29" s="179"/>
      <c r="I29" s="179"/>
      <c r="J29" s="182" t="s">
        <v>948</v>
      </c>
      <c r="K29" s="182">
        <v>23289.0</v>
      </c>
      <c r="L29" s="182">
        <v>593611.0</v>
      </c>
      <c r="M29" s="182">
        <v>359748.0</v>
      </c>
      <c r="N29" s="182">
        <v>383037.0</v>
      </c>
      <c r="O29" s="182">
        <v>747913.3099999999</v>
      </c>
      <c r="P29" s="182">
        <v>1.03449E11</v>
      </c>
      <c r="Q29" s="179"/>
      <c r="R29" s="179">
        <f t="shared" si="1"/>
        <v>1130950.31</v>
      </c>
      <c r="S29" s="179">
        <f t="shared" si="2"/>
        <v>0.6613140324</v>
      </c>
      <c r="T29" s="179"/>
      <c r="U29" s="180"/>
      <c r="V29" s="180"/>
      <c r="W29" s="180"/>
      <c r="X29" s="180"/>
      <c r="Y29" s="180"/>
      <c r="Z29" s="180"/>
    </row>
    <row r="30" ht="14.25" customHeight="1">
      <c r="A30" s="182" t="s">
        <v>156</v>
      </c>
      <c r="B30" s="182" t="s">
        <v>160</v>
      </c>
      <c r="C30" s="182" t="s">
        <v>160</v>
      </c>
      <c r="D30" s="182" t="s">
        <v>937</v>
      </c>
      <c r="E30" s="182" t="s">
        <v>938</v>
      </c>
      <c r="F30" s="182" t="s">
        <v>950</v>
      </c>
      <c r="G30" s="182"/>
      <c r="H30" s="179"/>
      <c r="I30" s="179"/>
      <c r="J30" s="182" t="s">
        <v>959</v>
      </c>
      <c r="K30" s="182">
        <v>687597.0</v>
      </c>
      <c r="L30" s="182">
        <v>868343.0</v>
      </c>
      <c r="M30" s="182">
        <v>871304.0</v>
      </c>
      <c r="N30" s="182">
        <v>1558901.0</v>
      </c>
      <c r="O30" s="182">
        <v>5.4039041E7</v>
      </c>
      <c r="P30" s="182">
        <v>3.7266E10</v>
      </c>
      <c r="Q30" s="179"/>
      <c r="R30" s="179">
        <f t="shared" si="1"/>
        <v>55597942</v>
      </c>
      <c r="S30" s="179">
        <f t="shared" si="2"/>
        <v>0.9719611744</v>
      </c>
      <c r="T30" s="179"/>
      <c r="U30" s="180"/>
      <c r="V30" s="180"/>
      <c r="W30" s="180"/>
      <c r="X30" s="180"/>
      <c r="Y30" s="180"/>
      <c r="Z30" s="180"/>
    </row>
    <row r="31" ht="14.25" customHeight="1">
      <c r="A31" s="182" t="s">
        <v>162</v>
      </c>
      <c r="B31" s="182" t="s">
        <v>165</v>
      </c>
      <c r="C31" s="182" t="s">
        <v>165</v>
      </c>
      <c r="D31" s="182" t="s">
        <v>937</v>
      </c>
      <c r="E31" s="182" t="s">
        <v>938</v>
      </c>
      <c r="F31" s="182" t="s">
        <v>939</v>
      </c>
      <c r="G31" s="182"/>
      <c r="H31" s="179"/>
      <c r="I31" s="179"/>
      <c r="J31" s="182" t="s">
        <v>940</v>
      </c>
      <c r="K31" s="182">
        <v>197523.0</v>
      </c>
      <c r="L31" s="182">
        <v>379901.0</v>
      </c>
      <c r="M31" s="182">
        <v>283289.0</v>
      </c>
      <c r="N31" s="182">
        <v>480812.0</v>
      </c>
      <c r="O31" s="182">
        <v>4.8680218E7</v>
      </c>
      <c r="P31" s="182">
        <v>1.5693E10</v>
      </c>
      <c r="Q31" s="179"/>
      <c r="R31" s="179">
        <f t="shared" si="1"/>
        <v>49161030</v>
      </c>
      <c r="S31" s="179">
        <f t="shared" si="2"/>
        <v>0.9902196516</v>
      </c>
      <c r="T31" s="179"/>
      <c r="U31" s="180"/>
      <c r="V31" s="180"/>
      <c r="W31" s="180"/>
      <c r="X31" s="180"/>
      <c r="Y31" s="180"/>
      <c r="Z31" s="180"/>
    </row>
    <row r="32" ht="14.25" customHeight="1">
      <c r="A32" s="182" t="s">
        <v>167</v>
      </c>
      <c r="B32" s="182" t="s">
        <v>170</v>
      </c>
      <c r="C32" s="182" t="s">
        <v>170</v>
      </c>
      <c r="D32" s="182" t="s">
        <v>937</v>
      </c>
      <c r="E32" s="182" t="s">
        <v>938</v>
      </c>
      <c r="F32" s="182" t="s">
        <v>946</v>
      </c>
      <c r="G32" s="182"/>
      <c r="H32" s="179"/>
      <c r="I32" s="179"/>
      <c r="J32" s="182" t="s">
        <v>956</v>
      </c>
      <c r="K32" s="182">
        <v>498455.0</v>
      </c>
      <c r="L32" s="182">
        <v>1568717.0</v>
      </c>
      <c r="M32" s="182">
        <v>1496771.0</v>
      </c>
      <c r="N32" s="182">
        <v>1995226.0</v>
      </c>
      <c r="O32" s="182">
        <v>0.0</v>
      </c>
      <c r="P32" s="182">
        <v>1.08942E11</v>
      </c>
      <c r="Q32" s="179"/>
      <c r="R32" s="179">
        <f t="shared" si="1"/>
        <v>1995226</v>
      </c>
      <c r="S32" s="179">
        <f t="shared" si="2"/>
        <v>0</v>
      </c>
      <c r="T32" s="179"/>
      <c r="U32" s="180"/>
      <c r="V32" s="180"/>
      <c r="W32" s="180"/>
      <c r="X32" s="180"/>
      <c r="Y32" s="180"/>
      <c r="Z32" s="180"/>
    </row>
    <row r="33" ht="14.25" customHeight="1">
      <c r="A33" s="182" t="s">
        <v>172</v>
      </c>
      <c r="B33" s="182" t="s">
        <v>175</v>
      </c>
      <c r="C33" s="182" t="s">
        <v>175</v>
      </c>
      <c r="D33" s="182" t="s">
        <v>937</v>
      </c>
      <c r="E33" s="182" t="s">
        <v>938</v>
      </c>
      <c r="F33" s="182" t="s">
        <v>960</v>
      </c>
      <c r="G33" s="182"/>
      <c r="H33" s="179"/>
      <c r="I33" s="179"/>
      <c r="J33" s="182" t="s">
        <v>961</v>
      </c>
      <c r="K33" s="182">
        <v>1.9500244E7</v>
      </c>
      <c r="L33" s="182">
        <v>956931.0</v>
      </c>
      <c r="M33" s="182">
        <v>0.0</v>
      </c>
      <c r="N33" s="182">
        <v>2.0457175E7</v>
      </c>
      <c r="O33" s="182">
        <v>1.95164764E8</v>
      </c>
      <c r="P33" s="182">
        <v>3.667E10</v>
      </c>
      <c r="Q33" s="179"/>
      <c r="R33" s="179">
        <f t="shared" si="1"/>
        <v>215621939</v>
      </c>
      <c r="S33" s="179">
        <f t="shared" si="2"/>
        <v>0.9051247981</v>
      </c>
      <c r="T33" s="179"/>
      <c r="U33" s="180"/>
      <c r="V33" s="180"/>
      <c r="W33" s="180"/>
      <c r="X33" s="180"/>
      <c r="Y33" s="180"/>
      <c r="Z33" s="180"/>
    </row>
    <row r="34" ht="14.25" customHeight="1">
      <c r="A34" s="182" t="s">
        <v>177</v>
      </c>
      <c r="B34" s="182" t="s">
        <v>180</v>
      </c>
      <c r="C34" s="182" t="s">
        <v>180</v>
      </c>
      <c r="D34" s="182" t="s">
        <v>937</v>
      </c>
      <c r="E34" s="182" t="s">
        <v>938</v>
      </c>
      <c r="F34" s="182" t="s">
        <v>962</v>
      </c>
      <c r="G34" s="182"/>
      <c r="H34" s="179"/>
      <c r="I34" s="179"/>
      <c r="J34" s="182" t="s">
        <v>963</v>
      </c>
      <c r="K34" s="182">
        <v>1108562.25</v>
      </c>
      <c r="L34" s="182">
        <v>1473874.16</v>
      </c>
      <c r="M34" s="182">
        <v>0.0</v>
      </c>
      <c r="N34" s="182">
        <v>2582436.41</v>
      </c>
      <c r="O34" s="182">
        <v>0.0</v>
      </c>
      <c r="P34" s="182">
        <v>1.52703E11</v>
      </c>
      <c r="Q34" s="179"/>
      <c r="R34" s="179">
        <f t="shared" si="1"/>
        <v>2582436.41</v>
      </c>
      <c r="S34" s="179">
        <f t="shared" si="2"/>
        <v>0</v>
      </c>
      <c r="T34" s="179"/>
      <c r="U34" s="180"/>
      <c r="V34" s="180"/>
      <c r="W34" s="180"/>
      <c r="X34" s="180"/>
      <c r="Y34" s="180"/>
      <c r="Z34" s="180"/>
    </row>
    <row r="35" ht="14.25" customHeight="1">
      <c r="A35" s="182" t="s">
        <v>182</v>
      </c>
      <c r="B35" s="182" t="s">
        <v>186</v>
      </c>
      <c r="C35" s="182" t="s">
        <v>186</v>
      </c>
      <c r="D35" s="182" t="s">
        <v>937</v>
      </c>
      <c r="E35" s="182" t="s">
        <v>938</v>
      </c>
      <c r="F35" s="182" t="s">
        <v>941</v>
      </c>
      <c r="G35" s="182"/>
      <c r="H35" s="179"/>
      <c r="I35" s="179"/>
      <c r="J35" s="182" t="s">
        <v>942</v>
      </c>
      <c r="K35" s="182">
        <v>157199.32</v>
      </c>
      <c r="L35" s="182">
        <v>1024681.56</v>
      </c>
      <c r="M35" s="182">
        <v>1036690.44</v>
      </c>
      <c r="N35" s="182">
        <v>1193889.76</v>
      </c>
      <c r="O35" s="182">
        <v>1.585718363E7</v>
      </c>
      <c r="P35" s="182">
        <v>2.56776E11</v>
      </c>
      <c r="Q35" s="179"/>
      <c r="R35" s="179">
        <f t="shared" si="1"/>
        <v>17051073.39</v>
      </c>
      <c r="S35" s="179">
        <f t="shared" si="2"/>
        <v>0.9299815482</v>
      </c>
      <c r="T35" s="179"/>
      <c r="U35" s="180"/>
      <c r="V35" s="180"/>
      <c r="W35" s="180"/>
      <c r="X35" s="180"/>
      <c r="Y35" s="180"/>
      <c r="Z35" s="180"/>
    </row>
    <row r="36" ht="14.25" customHeight="1">
      <c r="A36" s="182" t="s">
        <v>188</v>
      </c>
      <c r="B36" s="182" t="s">
        <v>189</v>
      </c>
      <c r="C36" s="182" t="s">
        <v>189</v>
      </c>
      <c r="D36" s="182" t="s">
        <v>937</v>
      </c>
      <c r="E36" s="182" t="s">
        <v>938</v>
      </c>
      <c r="F36" s="182"/>
      <c r="G36" s="182"/>
      <c r="H36" s="179"/>
      <c r="I36" s="179"/>
      <c r="J36" s="182"/>
      <c r="K36" s="196">
        <v>10.0</v>
      </c>
      <c r="L36" s="196">
        <v>10.0</v>
      </c>
      <c r="M36" s="196">
        <v>10.0</v>
      </c>
      <c r="N36" s="196">
        <v>10.0</v>
      </c>
      <c r="O36" s="196">
        <v>10.0</v>
      </c>
      <c r="P36" s="182">
        <v>1.791E10</v>
      </c>
      <c r="Q36" s="179"/>
      <c r="R36" s="197">
        <f t="shared" si="1"/>
        <v>20</v>
      </c>
      <c r="S36" s="179">
        <f t="shared" si="2"/>
        <v>0.5</v>
      </c>
      <c r="T36" s="179"/>
      <c r="U36" s="180"/>
      <c r="V36" s="180"/>
      <c r="W36" s="180"/>
      <c r="X36" s="180"/>
      <c r="Y36" s="180"/>
      <c r="Z36" s="180"/>
    </row>
    <row r="37" ht="14.25" customHeight="1">
      <c r="A37" s="182" t="s">
        <v>190</v>
      </c>
      <c r="B37" s="182" t="s">
        <v>192</v>
      </c>
      <c r="C37" s="182" t="s">
        <v>192</v>
      </c>
      <c r="D37" s="182" t="s">
        <v>937</v>
      </c>
      <c r="E37" s="182" t="s">
        <v>938</v>
      </c>
      <c r="F37" s="182" t="s">
        <v>939</v>
      </c>
      <c r="G37" s="182"/>
      <c r="H37" s="179"/>
      <c r="I37" s="179"/>
      <c r="J37" s="182" t="s">
        <v>940</v>
      </c>
      <c r="K37" s="182">
        <v>2.7522854E7</v>
      </c>
      <c r="L37" s="182">
        <v>5058885.0</v>
      </c>
      <c r="M37" s="182">
        <v>6058164.0</v>
      </c>
      <c r="N37" s="182">
        <v>3.3581018E7</v>
      </c>
      <c r="O37" s="182">
        <v>9.1421957E7</v>
      </c>
      <c r="P37" s="182">
        <v>4.2951E10</v>
      </c>
      <c r="Q37" s="179"/>
      <c r="R37" s="179">
        <f t="shared" si="1"/>
        <v>125002975</v>
      </c>
      <c r="S37" s="179">
        <f t="shared" si="2"/>
        <v>0.7313582497</v>
      </c>
      <c r="T37" s="179"/>
      <c r="U37" s="180"/>
      <c r="V37" s="180"/>
      <c r="W37" s="180"/>
      <c r="X37" s="180"/>
      <c r="Y37" s="180"/>
      <c r="Z37" s="180"/>
    </row>
    <row r="38" ht="14.25" customHeight="1">
      <c r="A38" s="182" t="s">
        <v>193</v>
      </c>
      <c r="B38" s="182" t="s">
        <v>196</v>
      </c>
      <c r="C38" s="182" t="s">
        <v>196</v>
      </c>
      <c r="D38" s="182" t="s">
        <v>937</v>
      </c>
      <c r="E38" s="182" t="s">
        <v>938</v>
      </c>
      <c r="F38" s="182" t="s">
        <v>964</v>
      </c>
      <c r="G38" s="182"/>
      <c r="H38" s="179"/>
      <c r="I38" s="179"/>
      <c r="J38" s="182" t="s">
        <v>965</v>
      </c>
      <c r="K38" s="182">
        <v>8.5525E7</v>
      </c>
      <c r="L38" s="182">
        <v>5200.0</v>
      </c>
      <c r="M38" s="182">
        <v>0.0</v>
      </c>
      <c r="N38" s="182">
        <v>8.55302E7</v>
      </c>
      <c r="O38" s="182">
        <v>2.9715113E7</v>
      </c>
      <c r="P38" s="182">
        <v>2.5079E10</v>
      </c>
      <c r="Q38" s="179"/>
      <c r="R38" s="179">
        <f t="shared" si="1"/>
        <v>115245313</v>
      </c>
      <c r="S38" s="179">
        <f t="shared" si="2"/>
        <v>0.257842269</v>
      </c>
      <c r="T38" s="179"/>
      <c r="U38" s="180"/>
      <c r="V38" s="180"/>
      <c r="W38" s="180"/>
      <c r="X38" s="180"/>
      <c r="Y38" s="180"/>
      <c r="Z38" s="180"/>
    </row>
    <row r="39" ht="14.25" customHeight="1">
      <c r="A39" s="182" t="s">
        <v>198</v>
      </c>
      <c r="B39" s="182" t="s">
        <v>201</v>
      </c>
      <c r="C39" s="182" t="s">
        <v>201</v>
      </c>
      <c r="D39" s="182" t="s">
        <v>937</v>
      </c>
      <c r="E39" s="182" t="s">
        <v>938</v>
      </c>
      <c r="F39" s="182" t="s">
        <v>939</v>
      </c>
      <c r="G39" s="182"/>
      <c r="H39" s="179"/>
      <c r="I39" s="179"/>
      <c r="J39" s="182" t="s">
        <v>940</v>
      </c>
      <c r="K39" s="182">
        <v>3057437.0</v>
      </c>
      <c r="L39" s="182">
        <v>2322922.0</v>
      </c>
      <c r="M39" s="182">
        <v>2532756.0</v>
      </c>
      <c r="N39" s="182">
        <v>5590193.0</v>
      </c>
      <c r="O39" s="182">
        <v>1302744.0</v>
      </c>
      <c r="P39" s="182">
        <v>2.157E10</v>
      </c>
      <c r="Q39" s="179"/>
      <c r="R39" s="179">
        <f t="shared" si="1"/>
        <v>6892937</v>
      </c>
      <c r="S39" s="179">
        <f t="shared" si="2"/>
        <v>0.1889969399</v>
      </c>
      <c r="T39" s="179"/>
      <c r="U39" s="180"/>
      <c r="V39" s="180"/>
      <c r="W39" s="180"/>
      <c r="X39" s="180"/>
      <c r="Y39" s="180"/>
      <c r="Z39" s="180"/>
    </row>
    <row r="40" ht="14.25" customHeight="1">
      <c r="A40" s="182" t="s">
        <v>203</v>
      </c>
      <c r="B40" s="182" t="s">
        <v>206</v>
      </c>
      <c r="C40" s="182" t="s">
        <v>206</v>
      </c>
      <c r="D40" s="182" t="s">
        <v>937</v>
      </c>
      <c r="E40" s="182" t="s">
        <v>938</v>
      </c>
      <c r="F40" s="182" t="s">
        <v>941</v>
      </c>
      <c r="G40" s="182"/>
      <c r="H40" s="179"/>
      <c r="I40" s="179"/>
      <c r="J40" s="182" t="s">
        <v>943</v>
      </c>
      <c r="K40" s="182">
        <v>192075.0</v>
      </c>
      <c r="L40" s="182">
        <v>616431.0</v>
      </c>
      <c r="M40" s="182">
        <v>556855.0</v>
      </c>
      <c r="N40" s="182">
        <v>748930.0</v>
      </c>
      <c r="O40" s="182">
        <v>234796.0</v>
      </c>
      <c r="P40" s="182">
        <v>2.232E10</v>
      </c>
      <c r="Q40" s="179"/>
      <c r="R40" s="179">
        <f t="shared" si="1"/>
        <v>983726</v>
      </c>
      <c r="S40" s="179">
        <f t="shared" si="2"/>
        <v>0.2386802829</v>
      </c>
      <c r="T40" s="179"/>
      <c r="U40" s="180"/>
      <c r="V40" s="180"/>
      <c r="W40" s="180"/>
      <c r="X40" s="180"/>
      <c r="Y40" s="180"/>
      <c r="Z40" s="180"/>
    </row>
    <row r="41" ht="14.25" customHeight="1">
      <c r="A41" s="182" t="s">
        <v>208</v>
      </c>
      <c r="B41" s="182" t="s">
        <v>209</v>
      </c>
      <c r="C41" s="182" t="s">
        <v>209</v>
      </c>
      <c r="D41" s="182" t="s">
        <v>937</v>
      </c>
      <c r="E41" s="182" t="s">
        <v>938</v>
      </c>
      <c r="F41" s="182"/>
      <c r="G41" s="182"/>
      <c r="H41" s="179"/>
      <c r="I41" s="179"/>
      <c r="J41" s="182"/>
      <c r="K41" s="196">
        <v>10.0</v>
      </c>
      <c r="L41" s="196">
        <v>10.0</v>
      </c>
      <c r="M41" s="196">
        <v>10.0</v>
      </c>
      <c r="N41" s="196">
        <v>10.0</v>
      </c>
      <c r="O41" s="196">
        <v>10.0</v>
      </c>
      <c r="P41" s="182">
        <v>1.8372E10</v>
      </c>
      <c r="Q41" s="179"/>
      <c r="R41" s="197">
        <f t="shared" si="1"/>
        <v>20</v>
      </c>
      <c r="S41" s="179">
        <f t="shared" si="2"/>
        <v>0.5</v>
      </c>
      <c r="T41" s="179"/>
      <c r="U41" s="180"/>
      <c r="V41" s="180"/>
      <c r="W41" s="180"/>
      <c r="X41" s="180"/>
      <c r="Y41" s="180"/>
      <c r="Z41" s="180"/>
    </row>
    <row r="42" ht="14.25" customHeight="1">
      <c r="A42" s="182" t="s">
        <v>210</v>
      </c>
      <c r="B42" s="182" t="s">
        <v>213</v>
      </c>
      <c r="C42" s="182" t="s">
        <v>213</v>
      </c>
      <c r="D42" s="182" t="s">
        <v>937</v>
      </c>
      <c r="E42" s="182" t="s">
        <v>938</v>
      </c>
      <c r="F42" s="182" t="s">
        <v>964</v>
      </c>
      <c r="G42" s="182"/>
      <c r="H42" s="179"/>
      <c r="I42" s="179"/>
      <c r="J42" s="182" t="s">
        <v>966</v>
      </c>
      <c r="K42" s="182">
        <v>9394598.0</v>
      </c>
      <c r="L42" s="182">
        <v>6103307.0</v>
      </c>
      <c r="M42" s="182">
        <v>4913525.0</v>
      </c>
      <c r="N42" s="182">
        <v>1.4308123E7</v>
      </c>
      <c r="O42" s="182">
        <v>1.03869303E8</v>
      </c>
      <c r="P42" s="182">
        <v>3.4438E10</v>
      </c>
      <c r="Q42" s="179"/>
      <c r="R42" s="179">
        <f t="shared" si="1"/>
        <v>118177426</v>
      </c>
      <c r="S42" s="179">
        <f t="shared" si="2"/>
        <v>0.8789267673</v>
      </c>
      <c r="T42" s="179"/>
      <c r="U42" s="180"/>
      <c r="V42" s="180"/>
      <c r="W42" s="180"/>
      <c r="X42" s="180"/>
      <c r="Y42" s="180"/>
      <c r="Z42" s="180"/>
    </row>
    <row r="43" ht="14.25" customHeight="1">
      <c r="A43" s="182" t="s">
        <v>215</v>
      </c>
      <c r="B43" s="182" t="s">
        <v>216</v>
      </c>
      <c r="C43" s="182" t="s">
        <v>216</v>
      </c>
      <c r="D43" s="182" t="s">
        <v>937</v>
      </c>
      <c r="E43" s="182" t="s">
        <v>938</v>
      </c>
      <c r="F43" s="182"/>
      <c r="G43" s="182"/>
      <c r="H43" s="179"/>
      <c r="I43" s="179"/>
      <c r="J43" s="182"/>
      <c r="K43" s="196">
        <v>10.0</v>
      </c>
      <c r="L43" s="196">
        <v>10.0</v>
      </c>
      <c r="M43" s="196">
        <v>10.0</v>
      </c>
      <c r="N43" s="196">
        <v>10.0</v>
      </c>
      <c r="O43" s="196">
        <v>10.0</v>
      </c>
      <c r="P43" s="182">
        <v>2.64938E11</v>
      </c>
      <c r="Q43" s="179"/>
      <c r="R43" s="197">
        <f t="shared" si="1"/>
        <v>20</v>
      </c>
      <c r="S43" s="179">
        <f t="shared" si="2"/>
        <v>0.5</v>
      </c>
      <c r="T43" s="179"/>
      <c r="U43" s="180"/>
      <c r="V43" s="180"/>
      <c r="W43" s="180"/>
      <c r="X43" s="180"/>
      <c r="Y43" s="180"/>
      <c r="Z43" s="180"/>
    </row>
    <row r="44" ht="14.25" customHeight="1">
      <c r="A44" s="182" t="s">
        <v>217</v>
      </c>
      <c r="B44" s="182" t="s">
        <v>219</v>
      </c>
      <c r="C44" s="182" t="s">
        <v>219</v>
      </c>
      <c r="D44" s="182" t="s">
        <v>937</v>
      </c>
      <c r="E44" s="182" t="s">
        <v>938</v>
      </c>
      <c r="F44" s="182"/>
      <c r="G44" s="182"/>
      <c r="H44" s="179"/>
      <c r="I44" s="179"/>
      <c r="J44" s="182"/>
      <c r="K44" s="196">
        <v>10.0</v>
      </c>
      <c r="L44" s="196">
        <v>10.0</v>
      </c>
      <c r="M44" s="196">
        <v>10.0</v>
      </c>
      <c r="N44" s="196">
        <v>10.0</v>
      </c>
      <c r="O44" s="196">
        <v>10.0</v>
      </c>
      <c r="P44" s="182">
        <v>7.0697E10</v>
      </c>
      <c r="Q44" s="179"/>
      <c r="R44" s="197">
        <f t="shared" si="1"/>
        <v>20</v>
      </c>
      <c r="S44" s="179">
        <f t="shared" si="2"/>
        <v>0.5</v>
      </c>
      <c r="T44" s="179"/>
      <c r="U44" s="180"/>
      <c r="V44" s="180"/>
      <c r="W44" s="180"/>
      <c r="X44" s="180"/>
      <c r="Y44" s="180"/>
      <c r="Z44" s="180"/>
    </row>
    <row r="45" ht="14.25" customHeight="1">
      <c r="A45" s="182" t="s">
        <v>220</v>
      </c>
      <c r="B45" s="182" t="s">
        <v>223</v>
      </c>
      <c r="C45" s="182" t="s">
        <v>223</v>
      </c>
      <c r="D45" s="182" t="s">
        <v>937</v>
      </c>
      <c r="E45" s="182" t="s">
        <v>938</v>
      </c>
      <c r="F45" s="182" t="s">
        <v>967</v>
      </c>
      <c r="G45" s="182"/>
      <c r="H45" s="179"/>
      <c r="I45" s="179"/>
      <c r="J45" s="182" t="s">
        <v>968</v>
      </c>
      <c r="K45" s="182">
        <v>1.5406173E7</v>
      </c>
      <c r="L45" s="182">
        <v>995988.0</v>
      </c>
      <c r="M45" s="182">
        <v>995988.0</v>
      </c>
      <c r="N45" s="182">
        <v>1.6402161E7</v>
      </c>
      <c r="O45" s="182">
        <v>3099293.0</v>
      </c>
      <c r="P45" s="182">
        <v>6.9693E10</v>
      </c>
      <c r="Q45" s="179"/>
      <c r="R45" s="179">
        <f t="shared" si="1"/>
        <v>19501454</v>
      </c>
      <c r="S45" s="179">
        <f t="shared" si="2"/>
        <v>0.1589262524</v>
      </c>
      <c r="T45" s="179"/>
      <c r="U45" s="180"/>
      <c r="V45" s="180"/>
      <c r="W45" s="180"/>
      <c r="X45" s="180"/>
      <c r="Y45" s="180"/>
      <c r="Z45" s="180"/>
    </row>
    <row r="46" ht="14.25" customHeight="1">
      <c r="A46" s="182" t="s">
        <v>225</v>
      </c>
      <c r="B46" s="182" t="s">
        <v>229</v>
      </c>
      <c r="C46" s="182" t="s">
        <v>229</v>
      </c>
      <c r="D46" s="182" t="s">
        <v>937</v>
      </c>
      <c r="E46" s="182" t="s">
        <v>938</v>
      </c>
      <c r="F46" s="182" t="s">
        <v>954</v>
      </c>
      <c r="G46" s="182"/>
      <c r="H46" s="179"/>
      <c r="I46" s="179"/>
      <c r="J46" s="182" t="s">
        <v>958</v>
      </c>
      <c r="K46" s="182">
        <v>1451947.0</v>
      </c>
      <c r="L46" s="182">
        <v>3195704.0</v>
      </c>
      <c r="M46" s="182">
        <v>3068182.0</v>
      </c>
      <c r="N46" s="182">
        <v>4520129.0</v>
      </c>
      <c r="O46" s="182">
        <v>1.83077722E8</v>
      </c>
      <c r="P46" s="182">
        <v>1.559E11</v>
      </c>
      <c r="Q46" s="179"/>
      <c r="R46" s="179">
        <f t="shared" si="1"/>
        <v>187597851</v>
      </c>
      <c r="S46" s="179">
        <f t="shared" si="2"/>
        <v>0.9759052197</v>
      </c>
      <c r="T46" s="179"/>
      <c r="U46" s="180"/>
      <c r="V46" s="180"/>
      <c r="W46" s="180"/>
      <c r="X46" s="180"/>
      <c r="Y46" s="180"/>
      <c r="Z46" s="180"/>
    </row>
    <row r="47" ht="14.25" customHeight="1">
      <c r="A47" s="182" t="s">
        <v>231</v>
      </c>
      <c r="B47" s="182" t="s">
        <v>234</v>
      </c>
      <c r="C47" s="182" t="s">
        <v>234</v>
      </c>
      <c r="D47" s="182" t="s">
        <v>937</v>
      </c>
      <c r="E47" s="182" t="s">
        <v>938</v>
      </c>
      <c r="F47" s="182" t="s">
        <v>954</v>
      </c>
      <c r="G47" s="182"/>
      <c r="H47" s="179"/>
      <c r="I47" s="179"/>
      <c r="J47" s="182" t="s">
        <v>955</v>
      </c>
      <c r="K47" s="182">
        <v>317081.0</v>
      </c>
      <c r="L47" s="182">
        <v>0.0</v>
      </c>
      <c r="M47" s="182">
        <v>445119.0</v>
      </c>
      <c r="N47" s="182">
        <v>762200.0</v>
      </c>
      <c r="O47" s="182">
        <v>0.0</v>
      </c>
      <c r="P47" s="182">
        <v>3.935E10</v>
      </c>
      <c r="Q47" s="179"/>
      <c r="R47" s="179">
        <f t="shared" si="1"/>
        <v>762200</v>
      </c>
      <c r="S47" s="179">
        <f t="shared" si="2"/>
        <v>0</v>
      </c>
      <c r="T47" s="179"/>
      <c r="U47" s="180"/>
      <c r="V47" s="180"/>
      <c r="W47" s="180"/>
      <c r="X47" s="180"/>
      <c r="Y47" s="180"/>
      <c r="Z47" s="180"/>
    </row>
    <row r="48" ht="14.25" customHeight="1">
      <c r="A48" s="182" t="s">
        <v>236</v>
      </c>
      <c r="B48" s="182" t="s">
        <v>240</v>
      </c>
      <c r="C48" s="182" t="s">
        <v>240</v>
      </c>
      <c r="D48" s="182" t="s">
        <v>937</v>
      </c>
      <c r="E48" s="182" t="s">
        <v>938</v>
      </c>
      <c r="F48" s="182" t="s">
        <v>954</v>
      </c>
      <c r="G48" s="182"/>
      <c r="H48" s="179"/>
      <c r="I48" s="179"/>
      <c r="J48" s="182" t="s">
        <v>969</v>
      </c>
      <c r="K48" s="182">
        <v>997409.519</v>
      </c>
      <c r="L48" s="182">
        <v>1416578.884</v>
      </c>
      <c r="M48" s="182">
        <v>1387615.018</v>
      </c>
      <c r="N48" s="182">
        <v>2385024.537</v>
      </c>
      <c r="O48" s="182">
        <v>865714.078</v>
      </c>
      <c r="P48" s="182">
        <v>9.5214E10</v>
      </c>
      <c r="Q48" s="179"/>
      <c r="R48" s="179">
        <f t="shared" si="1"/>
        <v>3250738.615</v>
      </c>
      <c r="S48" s="179">
        <f t="shared" si="2"/>
        <v>0.2663130385</v>
      </c>
      <c r="T48" s="179"/>
      <c r="U48" s="180"/>
      <c r="V48" s="180"/>
      <c r="W48" s="180"/>
      <c r="X48" s="180"/>
      <c r="Y48" s="180"/>
      <c r="Z48" s="180"/>
    </row>
    <row r="49" ht="14.25" customHeight="1">
      <c r="A49" s="182" t="s">
        <v>242</v>
      </c>
      <c r="B49" s="182" t="s">
        <v>246</v>
      </c>
      <c r="C49" s="182" t="s">
        <v>246</v>
      </c>
      <c r="D49" s="182" t="s">
        <v>937</v>
      </c>
      <c r="E49" s="182" t="s">
        <v>938</v>
      </c>
      <c r="F49" s="182" t="s">
        <v>954</v>
      </c>
      <c r="G49" s="182"/>
      <c r="H49" s="179"/>
      <c r="I49" s="179"/>
      <c r="J49" s="182" t="s">
        <v>958</v>
      </c>
      <c r="K49" s="182">
        <v>1589700.0</v>
      </c>
      <c r="L49" s="182">
        <v>4381970.0</v>
      </c>
      <c r="M49" s="182">
        <v>3721875.0</v>
      </c>
      <c r="N49" s="182">
        <v>5311575.0</v>
      </c>
      <c r="O49" s="182">
        <v>2.49313396E8</v>
      </c>
      <c r="P49" s="182">
        <v>1.37237E11</v>
      </c>
      <c r="Q49" s="179"/>
      <c r="R49" s="179">
        <f t="shared" si="1"/>
        <v>254624971</v>
      </c>
      <c r="S49" s="179">
        <f t="shared" si="2"/>
        <v>0.9791396147</v>
      </c>
      <c r="T49" s="179"/>
      <c r="U49" s="180"/>
      <c r="V49" s="180"/>
      <c r="W49" s="180"/>
      <c r="X49" s="180"/>
      <c r="Y49" s="180"/>
      <c r="Z49" s="180"/>
    </row>
    <row r="50" ht="14.25" customHeight="1">
      <c r="A50" s="182" t="s">
        <v>248</v>
      </c>
      <c r="B50" s="182" t="s">
        <v>252</v>
      </c>
      <c r="C50" s="182" t="s">
        <v>252</v>
      </c>
      <c r="D50" s="182" t="s">
        <v>937</v>
      </c>
      <c r="E50" s="182" t="s">
        <v>938</v>
      </c>
      <c r="F50" s="182" t="s">
        <v>941</v>
      </c>
      <c r="G50" s="182"/>
      <c r="H50" s="179"/>
      <c r="I50" s="179"/>
      <c r="J50" s="182" t="s">
        <v>943</v>
      </c>
      <c r="K50" s="182">
        <v>52019.0</v>
      </c>
      <c r="L50" s="182">
        <v>42546.0</v>
      </c>
      <c r="M50" s="182">
        <v>21716.0</v>
      </c>
      <c r="N50" s="182">
        <v>73735.0</v>
      </c>
      <c r="O50" s="182">
        <v>1436297.0</v>
      </c>
      <c r="P50" s="182">
        <v>2.2449E10</v>
      </c>
      <c r="Q50" s="179"/>
      <c r="R50" s="179">
        <f t="shared" si="1"/>
        <v>1510032</v>
      </c>
      <c r="S50" s="179">
        <f t="shared" si="2"/>
        <v>0.951169909</v>
      </c>
      <c r="T50" s="179"/>
      <c r="U50" s="180"/>
      <c r="V50" s="180"/>
      <c r="W50" s="180"/>
      <c r="X50" s="180"/>
      <c r="Y50" s="180"/>
      <c r="Z50" s="180"/>
    </row>
    <row r="51" ht="14.25" customHeight="1">
      <c r="A51" s="182" t="s">
        <v>254</v>
      </c>
      <c r="B51" s="182" t="s">
        <v>258</v>
      </c>
      <c r="C51" s="182" t="s">
        <v>258</v>
      </c>
      <c r="D51" s="182" t="s">
        <v>937</v>
      </c>
      <c r="E51" s="182" t="s">
        <v>938</v>
      </c>
      <c r="F51" s="182" t="s">
        <v>946</v>
      </c>
      <c r="G51" s="182"/>
      <c r="H51" s="179"/>
      <c r="I51" s="179"/>
      <c r="J51" s="182" t="s">
        <v>948</v>
      </c>
      <c r="K51" s="182">
        <v>12673.0</v>
      </c>
      <c r="L51" s="182">
        <v>166249.0</v>
      </c>
      <c r="M51" s="182">
        <v>9109.0</v>
      </c>
      <c r="N51" s="182">
        <v>21782.0</v>
      </c>
      <c r="O51" s="182">
        <v>1404464.0</v>
      </c>
      <c r="P51" s="182">
        <v>3.6546E10</v>
      </c>
      <c r="Q51" s="179"/>
      <c r="R51" s="179">
        <f t="shared" si="1"/>
        <v>1426246</v>
      </c>
      <c r="S51" s="179">
        <f t="shared" si="2"/>
        <v>0.9847277398</v>
      </c>
      <c r="T51" s="179"/>
      <c r="U51" s="180"/>
      <c r="V51" s="180"/>
      <c r="W51" s="180"/>
      <c r="X51" s="180"/>
      <c r="Y51" s="180"/>
      <c r="Z51" s="180"/>
    </row>
    <row r="52" ht="14.25" customHeight="1">
      <c r="A52" s="182" t="s">
        <v>260</v>
      </c>
      <c r="B52" s="182" t="s">
        <v>263</v>
      </c>
      <c r="C52" s="182" t="s">
        <v>263</v>
      </c>
      <c r="D52" s="182" t="s">
        <v>937</v>
      </c>
      <c r="E52" s="182" t="s">
        <v>938</v>
      </c>
      <c r="F52" s="182" t="s">
        <v>962</v>
      </c>
      <c r="G52" s="182"/>
      <c r="H52" s="179"/>
      <c r="I52" s="179"/>
      <c r="J52" s="182" t="s">
        <v>970</v>
      </c>
      <c r="K52" s="182">
        <v>554317.0</v>
      </c>
      <c r="L52" s="182">
        <v>1393916.0</v>
      </c>
      <c r="M52" s="182">
        <v>1302648.0</v>
      </c>
      <c r="N52" s="182">
        <v>1856965.0</v>
      </c>
      <c r="O52" s="182">
        <v>2.04637598E8</v>
      </c>
      <c r="P52" s="182">
        <v>1.102E11</v>
      </c>
      <c r="Q52" s="179"/>
      <c r="R52" s="179">
        <f t="shared" si="1"/>
        <v>206494563</v>
      </c>
      <c r="S52" s="179">
        <f t="shared" si="2"/>
        <v>0.9910071966</v>
      </c>
      <c r="T52" s="179"/>
      <c r="U52" s="180"/>
      <c r="V52" s="180"/>
      <c r="W52" s="180"/>
      <c r="X52" s="180"/>
      <c r="Y52" s="180"/>
      <c r="Z52" s="180"/>
    </row>
    <row r="53" ht="14.25" customHeight="1">
      <c r="A53" s="182" t="s">
        <v>265</v>
      </c>
      <c r="B53" s="182" t="s">
        <v>269</v>
      </c>
      <c r="C53" s="182" t="s">
        <v>269</v>
      </c>
      <c r="D53" s="182" t="s">
        <v>937</v>
      </c>
      <c r="E53" s="182" t="s">
        <v>938</v>
      </c>
      <c r="F53" s="182" t="s">
        <v>954</v>
      </c>
      <c r="G53" s="182"/>
      <c r="H53" s="179"/>
      <c r="I53" s="179"/>
      <c r="J53" s="182" t="s">
        <v>955</v>
      </c>
      <c r="K53" s="182">
        <v>1090649.0</v>
      </c>
      <c r="L53" s="182">
        <v>951982.0</v>
      </c>
      <c r="M53" s="182">
        <v>933484.0</v>
      </c>
      <c r="N53" s="182">
        <v>2024133.0</v>
      </c>
      <c r="O53" s="182">
        <v>1.808705E7</v>
      </c>
      <c r="P53" s="182">
        <v>3.6709E10</v>
      </c>
      <c r="Q53" s="179"/>
      <c r="R53" s="179">
        <f t="shared" si="1"/>
        <v>20111183</v>
      </c>
      <c r="S53" s="179">
        <f t="shared" si="2"/>
        <v>0.8993528625</v>
      </c>
      <c r="T53" s="179"/>
      <c r="U53" s="180"/>
      <c r="V53" s="180"/>
      <c r="W53" s="180"/>
      <c r="X53" s="180"/>
      <c r="Y53" s="180"/>
      <c r="Z53" s="180"/>
    </row>
    <row r="54" ht="14.25" customHeight="1">
      <c r="A54" s="182" t="s">
        <v>271</v>
      </c>
      <c r="B54" s="182" t="s">
        <v>275</v>
      </c>
      <c r="C54" s="182" t="s">
        <v>275</v>
      </c>
      <c r="D54" s="182" t="s">
        <v>937</v>
      </c>
      <c r="E54" s="182" t="s">
        <v>938</v>
      </c>
      <c r="F54" s="182" t="s">
        <v>946</v>
      </c>
      <c r="G54" s="182"/>
      <c r="H54" s="179"/>
      <c r="I54" s="179"/>
      <c r="J54" s="182" t="s">
        <v>947</v>
      </c>
      <c r="K54" s="182">
        <v>117723.0</v>
      </c>
      <c r="L54" s="182">
        <v>987066.0</v>
      </c>
      <c r="M54" s="182">
        <v>827369.0</v>
      </c>
      <c r="N54" s="182">
        <v>945092.0</v>
      </c>
      <c r="O54" s="182">
        <v>1158414.0</v>
      </c>
      <c r="P54" s="182">
        <v>7.714E10</v>
      </c>
      <c r="Q54" s="179"/>
      <c r="R54" s="179">
        <f t="shared" si="1"/>
        <v>2103506</v>
      </c>
      <c r="S54" s="179">
        <f t="shared" si="2"/>
        <v>0.550706297</v>
      </c>
      <c r="T54" s="179"/>
      <c r="U54" s="180"/>
      <c r="V54" s="180"/>
      <c r="W54" s="180"/>
      <c r="X54" s="180"/>
      <c r="Y54" s="180"/>
      <c r="Z54" s="180"/>
    </row>
    <row r="55" ht="14.25" customHeight="1">
      <c r="A55" s="182" t="s">
        <v>277</v>
      </c>
      <c r="B55" s="182" t="s">
        <v>281</v>
      </c>
      <c r="C55" s="182" t="s">
        <v>281</v>
      </c>
      <c r="D55" s="182" t="s">
        <v>937</v>
      </c>
      <c r="E55" s="182" t="s">
        <v>938</v>
      </c>
      <c r="F55" s="182" t="s">
        <v>954</v>
      </c>
      <c r="G55" s="182"/>
      <c r="H55" s="179"/>
      <c r="I55" s="179"/>
      <c r="J55" s="182" t="s">
        <v>955</v>
      </c>
      <c r="K55" s="182">
        <v>1489000.0</v>
      </c>
      <c r="L55" s="182">
        <v>3345000.0</v>
      </c>
      <c r="M55" s="182">
        <v>1299000.0</v>
      </c>
      <c r="N55" s="182">
        <v>2788000.0</v>
      </c>
      <c r="O55" s="182">
        <v>9739000.0</v>
      </c>
      <c r="P55" s="182">
        <v>7.19E10</v>
      </c>
      <c r="Q55" s="179"/>
      <c r="R55" s="179">
        <f t="shared" si="1"/>
        <v>12527000</v>
      </c>
      <c r="S55" s="179">
        <f t="shared" si="2"/>
        <v>0.777440728</v>
      </c>
      <c r="T55" s="179"/>
      <c r="U55" s="180"/>
      <c r="V55" s="180"/>
      <c r="W55" s="180"/>
      <c r="X55" s="180"/>
      <c r="Y55" s="180"/>
      <c r="Z55" s="180"/>
    </row>
    <row r="56" ht="14.25" customHeight="1">
      <c r="A56" s="182" t="s">
        <v>283</v>
      </c>
      <c r="B56" s="182" t="s">
        <v>287</v>
      </c>
      <c r="C56" s="182" t="s">
        <v>287</v>
      </c>
      <c r="D56" s="182" t="s">
        <v>937</v>
      </c>
      <c r="E56" s="182" t="s">
        <v>938</v>
      </c>
      <c r="F56" s="182" t="s">
        <v>941</v>
      </c>
      <c r="G56" s="182"/>
      <c r="H56" s="179"/>
      <c r="I56" s="179"/>
      <c r="J56" s="182" t="s">
        <v>943</v>
      </c>
      <c r="K56" s="182">
        <v>415094.0</v>
      </c>
      <c r="L56" s="182">
        <v>648598.0</v>
      </c>
      <c r="M56" s="182">
        <v>518542.0</v>
      </c>
      <c r="N56" s="182">
        <v>933636.0</v>
      </c>
      <c r="O56" s="182">
        <v>2.0365501E7</v>
      </c>
      <c r="P56" s="182">
        <v>8.206E10</v>
      </c>
      <c r="Q56" s="179"/>
      <c r="R56" s="179">
        <f t="shared" si="1"/>
        <v>21299137</v>
      </c>
      <c r="S56" s="179">
        <f t="shared" si="2"/>
        <v>0.9561655479</v>
      </c>
      <c r="T56" s="179"/>
      <c r="U56" s="180"/>
      <c r="V56" s="180"/>
      <c r="W56" s="180"/>
      <c r="X56" s="180"/>
      <c r="Y56" s="180"/>
      <c r="Z56" s="180"/>
    </row>
    <row r="57" ht="14.25" customHeight="1">
      <c r="A57" s="182" t="s">
        <v>289</v>
      </c>
      <c r="B57" s="182" t="s">
        <v>293</v>
      </c>
      <c r="C57" s="182" t="s">
        <v>293</v>
      </c>
      <c r="D57" s="182" t="s">
        <v>937</v>
      </c>
      <c r="E57" s="182" t="s">
        <v>938</v>
      </c>
      <c r="F57" s="182" t="s">
        <v>946</v>
      </c>
      <c r="G57" s="182"/>
      <c r="H57" s="179"/>
      <c r="I57" s="179"/>
      <c r="J57" s="182" t="s">
        <v>948</v>
      </c>
      <c r="K57" s="182">
        <v>81655.0</v>
      </c>
      <c r="L57" s="182">
        <v>692299.0</v>
      </c>
      <c r="M57" s="182">
        <v>556142.0</v>
      </c>
      <c r="N57" s="182">
        <v>637797.0</v>
      </c>
      <c r="O57" s="182">
        <v>213233.0</v>
      </c>
      <c r="P57" s="182">
        <v>1.156E11</v>
      </c>
      <c r="Q57" s="179"/>
      <c r="R57" s="179">
        <f t="shared" si="1"/>
        <v>851030</v>
      </c>
      <c r="S57" s="179">
        <f t="shared" si="2"/>
        <v>0.2505587347</v>
      </c>
      <c r="T57" s="179"/>
      <c r="U57" s="180"/>
      <c r="V57" s="180"/>
      <c r="W57" s="180"/>
      <c r="X57" s="180"/>
      <c r="Y57" s="180"/>
      <c r="Z57" s="180"/>
    </row>
    <row r="58" ht="14.25" customHeight="1">
      <c r="A58" s="182" t="s">
        <v>295</v>
      </c>
      <c r="B58" s="182" t="s">
        <v>971</v>
      </c>
      <c r="C58" s="182" t="s">
        <v>971</v>
      </c>
      <c r="D58" s="182" t="s">
        <v>937</v>
      </c>
      <c r="E58" s="182" t="s">
        <v>938</v>
      </c>
      <c r="F58" s="182"/>
      <c r="G58" s="182"/>
      <c r="H58" s="179"/>
      <c r="I58" s="179"/>
      <c r="J58" s="182"/>
      <c r="K58" s="196">
        <v>10.0</v>
      </c>
      <c r="L58" s="196">
        <v>10.0</v>
      </c>
      <c r="M58" s="196">
        <v>10.0</v>
      </c>
      <c r="N58" s="196">
        <v>10.0</v>
      </c>
      <c r="O58" s="196">
        <v>10.0</v>
      </c>
      <c r="P58" s="182">
        <v>1.3209E10</v>
      </c>
      <c r="Q58" s="179"/>
      <c r="R58" s="197">
        <f t="shared" si="1"/>
        <v>20</v>
      </c>
      <c r="S58" s="179">
        <f t="shared" si="2"/>
        <v>0.5</v>
      </c>
      <c r="T58" s="179"/>
      <c r="U58" s="180"/>
      <c r="V58" s="180"/>
      <c r="W58" s="180"/>
      <c r="X58" s="180"/>
      <c r="Y58" s="180"/>
      <c r="Z58" s="180"/>
    </row>
    <row r="59" ht="14.25" customHeight="1">
      <c r="A59" s="182" t="s">
        <v>298</v>
      </c>
      <c r="B59" s="182" t="s">
        <v>302</v>
      </c>
      <c r="C59" s="182" t="s">
        <v>302</v>
      </c>
      <c r="D59" s="182" t="s">
        <v>937</v>
      </c>
      <c r="E59" s="182" t="s">
        <v>938</v>
      </c>
      <c r="F59" s="182" t="s">
        <v>950</v>
      </c>
      <c r="G59" s="182"/>
      <c r="H59" s="179"/>
      <c r="I59" s="179"/>
      <c r="J59" s="182" t="s">
        <v>959</v>
      </c>
      <c r="K59" s="182">
        <v>649256.0</v>
      </c>
      <c r="L59" s="182">
        <v>773066.0</v>
      </c>
      <c r="M59" s="182">
        <v>0.0</v>
      </c>
      <c r="N59" s="182">
        <v>1422322.0</v>
      </c>
      <c r="O59" s="182">
        <v>2.3277532906E7</v>
      </c>
      <c r="P59" s="182">
        <v>2.497E10</v>
      </c>
      <c r="Q59" s="179"/>
      <c r="R59" s="179">
        <f t="shared" si="1"/>
        <v>24699854.91</v>
      </c>
      <c r="S59" s="179">
        <f t="shared" si="2"/>
        <v>0.9424157751</v>
      </c>
      <c r="T59" s="179"/>
      <c r="U59" s="180"/>
      <c r="V59" s="180"/>
      <c r="W59" s="180"/>
      <c r="X59" s="180"/>
      <c r="Y59" s="180"/>
      <c r="Z59" s="180"/>
    </row>
    <row r="60" ht="14.25" customHeight="1">
      <c r="A60" s="182" t="s">
        <v>304</v>
      </c>
      <c r="B60" s="182" t="s">
        <v>308</v>
      </c>
      <c r="C60" s="182" t="s">
        <v>308</v>
      </c>
      <c r="D60" s="182" t="s">
        <v>937</v>
      </c>
      <c r="E60" s="182" t="s">
        <v>938</v>
      </c>
      <c r="F60" s="182" t="s">
        <v>954</v>
      </c>
      <c r="G60" s="182"/>
      <c r="H60" s="179"/>
      <c r="I60" s="179"/>
      <c r="J60" s="182" t="s">
        <v>955</v>
      </c>
      <c r="K60" s="182">
        <v>305362.0</v>
      </c>
      <c r="L60" s="182">
        <v>662659.0</v>
      </c>
      <c r="M60" s="182">
        <v>466073.0</v>
      </c>
      <c r="N60" s="182">
        <v>771435.0</v>
      </c>
      <c r="O60" s="182">
        <v>3.06445E7</v>
      </c>
      <c r="P60" s="182">
        <v>5.981E10</v>
      </c>
      <c r="Q60" s="179"/>
      <c r="R60" s="179">
        <f t="shared" si="1"/>
        <v>31415935</v>
      </c>
      <c r="S60" s="179">
        <f t="shared" si="2"/>
        <v>0.9754444679</v>
      </c>
      <c r="T60" s="179"/>
      <c r="U60" s="180"/>
      <c r="V60" s="180"/>
      <c r="W60" s="180"/>
      <c r="X60" s="180"/>
      <c r="Y60" s="180"/>
      <c r="Z60" s="180"/>
    </row>
    <row r="61" ht="14.25" customHeight="1">
      <c r="A61" s="182" t="s">
        <v>310</v>
      </c>
      <c r="B61" s="182" t="s">
        <v>314</v>
      </c>
      <c r="C61" s="182" t="s">
        <v>314</v>
      </c>
      <c r="D61" s="182" t="s">
        <v>937</v>
      </c>
      <c r="E61" s="182" t="s">
        <v>938</v>
      </c>
      <c r="F61" s="182" t="s">
        <v>962</v>
      </c>
      <c r="G61" s="182"/>
      <c r="H61" s="179"/>
      <c r="I61" s="179"/>
      <c r="J61" s="182" t="s">
        <v>970</v>
      </c>
      <c r="K61" s="182">
        <v>484737.0</v>
      </c>
      <c r="L61" s="182">
        <v>1623768.0</v>
      </c>
      <c r="M61" s="182">
        <v>0.0</v>
      </c>
      <c r="N61" s="182">
        <v>2108505.0</v>
      </c>
      <c r="O61" s="182">
        <v>1.2364505978E8</v>
      </c>
      <c r="P61" s="182">
        <v>7.13E10</v>
      </c>
      <c r="Q61" s="179"/>
      <c r="R61" s="179">
        <f t="shared" si="1"/>
        <v>125753564.8</v>
      </c>
      <c r="S61" s="179">
        <f t="shared" si="2"/>
        <v>0.9832330399</v>
      </c>
      <c r="T61" s="179"/>
      <c r="U61" s="180"/>
      <c r="V61" s="180"/>
      <c r="W61" s="180"/>
      <c r="X61" s="180"/>
      <c r="Y61" s="180"/>
      <c r="Z61" s="180"/>
    </row>
    <row r="62" ht="14.25" customHeight="1">
      <c r="A62" s="182" t="s">
        <v>316</v>
      </c>
      <c r="B62" s="182" t="s">
        <v>320</v>
      </c>
      <c r="C62" s="182" t="s">
        <v>320</v>
      </c>
      <c r="D62" s="182" t="s">
        <v>937</v>
      </c>
      <c r="E62" s="182" t="s">
        <v>938</v>
      </c>
      <c r="F62" s="182" t="s">
        <v>946</v>
      </c>
      <c r="G62" s="182"/>
      <c r="H62" s="179"/>
      <c r="I62" s="179"/>
      <c r="J62" s="182" t="s">
        <v>972</v>
      </c>
      <c r="K62" s="182">
        <v>4758.4</v>
      </c>
      <c r="L62" s="182">
        <v>52140.56</v>
      </c>
      <c r="M62" s="182">
        <v>162.0</v>
      </c>
      <c r="N62" s="182">
        <v>4920.4</v>
      </c>
      <c r="O62" s="182">
        <v>503012.19</v>
      </c>
      <c r="P62" s="182">
        <v>1.6883E10</v>
      </c>
      <c r="Q62" s="179"/>
      <c r="R62" s="179">
        <f t="shared" si="1"/>
        <v>507932.59</v>
      </c>
      <c r="S62" s="179">
        <f t="shared" si="2"/>
        <v>0.9903128878</v>
      </c>
      <c r="T62" s="179"/>
      <c r="U62" s="180"/>
      <c r="V62" s="180"/>
      <c r="W62" s="180"/>
      <c r="X62" s="180"/>
      <c r="Y62" s="180"/>
      <c r="Z62" s="180"/>
    </row>
    <row r="63" ht="14.25" customHeight="1">
      <c r="A63" s="182" t="s">
        <v>322</v>
      </c>
      <c r="B63" s="182" t="s">
        <v>326</v>
      </c>
      <c r="C63" s="182" t="s">
        <v>326</v>
      </c>
      <c r="D63" s="182" t="s">
        <v>937</v>
      </c>
      <c r="E63" s="182" t="s">
        <v>938</v>
      </c>
      <c r="F63" s="182" t="s">
        <v>973</v>
      </c>
      <c r="G63" s="182"/>
      <c r="H63" s="179"/>
      <c r="I63" s="179"/>
      <c r="J63" s="182" t="s">
        <v>974</v>
      </c>
      <c r="K63" s="182">
        <v>107034.65</v>
      </c>
      <c r="L63" s="182">
        <v>569598.23</v>
      </c>
      <c r="M63" s="182">
        <v>492114.18</v>
      </c>
      <c r="N63" s="182">
        <v>599148.83</v>
      </c>
      <c r="O63" s="182">
        <v>5.2955642099999994E7</v>
      </c>
      <c r="P63" s="182">
        <v>2.1076E10</v>
      </c>
      <c r="Q63" s="179"/>
      <c r="R63" s="179">
        <f t="shared" si="1"/>
        <v>53554790.93</v>
      </c>
      <c r="S63" s="179">
        <f t="shared" si="2"/>
        <v>0.988812414</v>
      </c>
      <c r="T63" s="179"/>
      <c r="U63" s="180"/>
      <c r="V63" s="180"/>
      <c r="W63" s="180"/>
      <c r="X63" s="180"/>
      <c r="Y63" s="180"/>
      <c r="Z63" s="180"/>
    </row>
    <row r="64" ht="14.25" customHeight="1">
      <c r="A64" s="182" t="s">
        <v>328</v>
      </c>
      <c r="B64" s="182" t="s">
        <v>331</v>
      </c>
      <c r="C64" s="182" t="s">
        <v>331</v>
      </c>
      <c r="D64" s="182" t="s">
        <v>937</v>
      </c>
      <c r="E64" s="182" t="s">
        <v>938</v>
      </c>
      <c r="F64" s="182" t="s">
        <v>941</v>
      </c>
      <c r="G64" s="182"/>
      <c r="H64" s="179"/>
      <c r="I64" s="179"/>
      <c r="J64" s="182" t="s">
        <v>942</v>
      </c>
      <c r="K64" s="182">
        <v>61803.0</v>
      </c>
      <c r="L64" s="182">
        <v>0.0</v>
      </c>
      <c r="M64" s="182">
        <v>218742.0</v>
      </c>
      <c r="N64" s="182">
        <v>280545.0</v>
      </c>
      <c r="O64" s="182">
        <v>278482.0</v>
      </c>
      <c r="P64" s="182">
        <v>3.0557E10</v>
      </c>
      <c r="Q64" s="179"/>
      <c r="R64" s="179">
        <f t="shared" si="1"/>
        <v>559027</v>
      </c>
      <c r="S64" s="179">
        <f t="shared" si="2"/>
        <v>0.4981548297</v>
      </c>
      <c r="T64" s="179"/>
      <c r="U64" s="180"/>
      <c r="V64" s="180"/>
      <c r="W64" s="180"/>
      <c r="X64" s="180"/>
      <c r="Y64" s="180"/>
      <c r="Z64" s="180"/>
    </row>
    <row r="65" ht="14.25" customHeight="1">
      <c r="A65" s="182" t="s">
        <v>333</v>
      </c>
      <c r="B65" s="182" t="s">
        <v>337</v>
      </c>
      <c r="C65" s="182" t="s">
        <v>337</v>
      </c>
      <c r="D65" s="182" t="s">
        <v>937</v>
      </c>
      <c r="E65" s="182" t="s">
        <v>938</v>
      </c>
      <c r="F65" s="182" t="s">
        <v>941</v>
      </c>
      <c r="G65" s="182"/>
      <c r="H65" s="179"/>
      <c r="I65" s="179"/>
      <c r="J65" s="182" t="s">
        <v>943</v>
      </c>
      <c r="K65" s="182">
        <v>755340.0</v>
      </c>
      <c r="L65" s="182">
        <v>413550.0</v>
      </c>
      <c r="M65" s="182">
        <v>316630.0</v>
      </c>
      <c r="N65" s="182">
        <v>1071970.0</v>
      </c>
      <c r="O65" s="182">
        <v>6965600.0</v>
      </c>
      <c r="P65" s="182">
        <v>4.229E10</v>
      </c>
      <c r="Q65" s="179"/>
      <c r="R65" s="179">
        <f t="shared" si="1"/>
        <v>8037570</v>
      </c>
      <c r="S65" s="179">
        <f t="shared" si="2"/>
        <v>0.8666300884</v>
      </c>
      <c r="T65" s="179"/>
      <c r="U65" s="180"/>
      <c r="V65" s="180"/>
      <c r="W65" s="180"/>
      <c r="X65" s="180"/>
      <c r="Y65" s="180"/>
      <c r="Z65" s="180"/>
    </row>
    <row r="66" ht="14.25" customHeight="1">
      <c r="A66" s="182" t="s">
        <v>339</v>
      </c>
      <c r="B66" s="182" t="s">
        <v>343</v>
      </c>
      <c r="C66" s="182" t="s">
        <v>343</v>
      </c>
      <c r="D66" s="182" t="s">
        <v>937</v>
      </c>
      <c r="E66" s="182" t="s">
        <v>938</v>
      </c>
      <c r="F66" s="182" t="s">
        <v>946</v>
      </c>
      <c r="G66" s="182"/>
      <c r="H66" s="179"/>
      <c r="I66" s="179"/>
      <c r="J66" s="182" t="s">
        <v>948</v>
      </c>
      <c r="K66" s="182">
        <v>13613.0</v>
      </c>
      <c r="L66" s="182">
        <v>90280.0</v>
      </c>
      <c r="M66" s="182">
        <v>0.0</v>
      </c>
      <c r="N66" s="182">
        <v>103893.0</v>
      </c>
      <c r="O66" s="182">
        <v>5461963.15</v>
      </c>
      <c r="P66" s="182">
        <v>6.7941E10</v>
      </c>
      <c r="Q66" s="179"/>
      <c r="R66" s="179">
        <f t="shared" si="1"/>
        <v>5565856.15</v>
      </c>
      <c r="S66" s="179">
        <f t="shared" si="2"/>
        <v>0.981333869</v>
      </c>
      <c r="T66" s="179"/>
      <c r="U66" s="180"/>
      <c r="V66" s="180"/>
      <c r="W66" s="180"/>
      <c r="X66" s="180"/>
      <c r="Y66" s="180"/>
      <c r="Z66" s="180"/>
    </row>
    <row r="67" ht="14.25" customHeight="1">
      <c r="A67" s="182" t="s">
        <v>345</v>
      </c>
      <c r="B67" s="182" t="s">
        <v>349</v>
      </c>
      <c r="C67" s="182" t="s">
        <v>349</v>
      </c>
      <c r="D67" s="182" t="s">
        <v>937</v>
      </c>
      <c r="E67" s="182" t="s">
        <v>938</v>
      </c>
      <c r="F67" s="182" t="s">
        <v>946</v>
      </c>
      <c r="G67" s="182"/>
      <c r="H67" s="179"/>
      <c r="I67" s="179"/>
      <c r="J67" s="182" t="s">
        <v>947</v>
      </c>
      <c r="K67" s="182">
        <v>113412.0</v>
      </c>
      <c r="L67" s="182">
        <v>3556553.0</v>
      </c>
      <c r="M67" s="182">
        <v>275375.0</v>
      </c>
      <c r="N67" s="182">
        <v>388787.0</v>
      </c>
      <c r="O67" s="182">
        <v>1.1322527E7</v>
      </c>
      <c r="P67" s="182">
        <v>1.258E11</v>
      </c>
      <c r="Q67" s="179"/>
      <c r="R67" s="179">
        <f t="shared" si="1"/>
        <v>11711314</v>
      </c>
      <c r="S67" s="179">
        <f t="shared" si="2"/>
        <v>0.9668024442</v>
      </c>
      <c r="T67" s="179"/>
      <c r="U67" s="180"/>
      <c r="V67" s="180"/>
      <c r="W67" s="180"/>
      <c r="X67" s="180"/>
      <c r="Y67" s="180"/>
      <c r="Z67" s="180"/>
    </row>
    <row r="68" ht="14.25" customHeight="1">
      <c r="A68" s="182" t="s">
        <v>351</v>
      </c>
      <c r="B68" s="182" t="s">
        <v>355</v>
      </c>
      <c r="C68" s="182" t="s">
        <v>355</v>
      </c>
      <c r="D68" s="182" t="s">
        <v>937</v>
      </c>
      <c r="E68" s="182" t="s">
        <v>938</v>
      </c>
      <c r="F68" s="182" t="s">
        <v>950</v>
      </c>
      <c r="G68" s="182"/>
      <c r="H68" s="179"/>
      <c r="I68" s="179"/>
      <c r="J68" s="182" t="s">
        <v>959</v>
      </c>
      <c r="K68" s="182">
        <v>856590.0</v>
      </c>
      <c r="L68" s="182">
        <v>938601.0</v>
      </c>
      <c r="M68" s="182">
        <v>906349.0</v>
      </c>
      <c r="N68" s="182">
        <v>1762939.0</v>
      </c>
      <c r="O68" s="182">
        <v>1.985221E7</v>
      </c>
      <c r="P68" s="182">
        <v>2.587E10</v>
      </c>
      <c r="Q68" s="179"/>
      <c r="R68" s="179">
        <f t="shared" si="1"/>
        <v>21615149</v>
      </c>
      <c r="S68" s="179">
        <f t="shared" si="2"/>
        <v>0.9184396554</v>
      </c>
      <c r="T68" s="179"/>
      <c r="U68" s="180"/>
      <c r="V68" s="180"/>
      <c r="W68" s="180"/>
      <c r="X68" s="180"/>
      <c r="Y68" s="180"/>
      <c r="Z68" s="180"/>
    </row>
    <row r="69" ht="14.25" customHeight="1">
      <c r="A69" s="182" t="s">
        <v>357</v>
      </c>
      <c r="B69" s="182" t="s">
        <v>360</v>
      </c>
      <c r="C69" s="182" t="s">
        <v>360</v>
      </c>
      <c r="D69" s="182" t="s">
        <v>937</v>
      </c>
      <c r="E69" s="182" t="s">
        <v>938</v>
      </c>
      <c r="F69" s="182" t="s">
        <v>946</v>
      </c>
      <c r="G69" s="182"/>
      <c r="H69" s="179"/>
      <c r="I69" s="179"/>
      <c r="J69" s="182" t="s">
        <v>948</v>
      </c>
      <c r="K69" s="182">
        <v>28300.0</v>
      </c>
      <c r="L69" s="182">
        <v>199800.0</v>
      </c>
      <c r="M69" s="182">
        <v>176200.0</v>
      </c>
      <c r="N69" s="182">
        <v>204500.0</v>
      </c>
      <c r="O69" s="182">
        <v>1374540.0</v>
      </c>
      <c r="P69" s="182">
        <v>4.1419E10</v>
      </c>
      <c r="Q69" s="179"/>
      <c r="R69" s="179">
        <f t="shared" si="1"/>
        <v>1579040</v>
      </c>
      <c r="S69" s="179">
        <f t="shared" si="2"/>
        <v>0.8704909312</v>
      </c>
      <c r="T69" s="179"/>
      <c r="U69" s="180"/>
      <c r="V69" s="180"/>
      <c r="W69" s="180"/>
      <c r="X69" s="180"/>
      <c r="Y69" s="180"/>
      <c r="Z69" s="180"/>
    </row>
    <row r="70" ht="14.25" customHeight="1">
      <c r="A70" s="182" t="s">
        <v>362</v>
      </c>
      <c r="B70" s="182" t="s">
        <v>975</v>
      </c>
      <c r="C70" s="182" t="s">
        <v>975</v>
      </c>
      <c r="D70" s="182" t="s">
        <v>937</v>
      </c>
      <c r="E70" s="182" t="s">
        <v>938</v>
      </c>
      <c r="F70" s="182"/>
      <c r="G70" s="182"/>
      <c r="H70" s="179"/>
      <c r="I70" s="179"/>
      <c r="J70" s="182"/>
      <c r="K70" s="196">
        <v>10.0</v>
      </c>
      <c r="L70" s="196">
        <v>10.0</v>
      </c>
      <c r="M70" s="196">
        <v>10.0</v>
      </c>
      <c r="N70" s="196">
        <v>10.0</v>
      </c>
      <c r="O70" s="196">
        <v>10.0</v>
      </c>
      <c r="P70" s="182">
        <v>2.016E10</v>
      </c>
      <c r="Q70" s="179"/>
      <c r="R70" s="197">
        <f t="shared" si="1"/>
        <v>20</v>
      </c>
      <c r="S70" s="179">
        <f t="shared" si="2"/>
        <v>0.5</v>
      </c>
      <c r="T70" s="179"/>
      <c r="U70" s="180"/>
      <c r="V70" s="180"/>
      <c r="W70" s="180"/>
      <c r="X70" s="180"/>
      <c r="Y70" s="180"/>
      <c r="Z70" s="180"/>
    </row>
    <row r="71" ht="14.25" customHeight="1">
      <c r="A71" s="182" t="s">
        <v>365</v>
      </c>
      <c r="B71" s="182" t="s">
        <v>976</v>
      </c>
      <c r="C71" s="182" t="s">
        <v>976</v>
      </c>
      <c r="D71" s="182" t="s">
        <v>937</v>
      </c>
      <c r="E71" s="182" t="s">
        <v>938</v>
      </c>
      <c r="F71" s="182"/>
      <c r="G71" s="182"/>
      <c r="H71" s="179"/>
      <c r="I71" s="179"/>
      <c r="J71" s="182"/>
      <c r="K71" s="196">
        <v>10.0</v>
      </c>
      <c r="L71" s="196">
        <v>10.0</v>
      </c>
      <c r="M71" s="196">
        <v>10.0</v>
      </c>
      <c r="N71" s="196">
        <v>10.0</v>
      </c>
      <c r="O71" s="196">
        <v>10.0</v>
      </c>
      <c r="P71" s="182">
        <v>1.9204E10</v>
      </c>
      <c r="Q71" s="179"/>
      <c r="R71" s="197">
        <f t="shared" si="1"/>
        <v>20</v>
      </c>
      <c r="S71" s="179">
        <f t="shared" si="2"/>
        <v>0.5</v>
      </c>
      <c r="T71" s="179"/>
      <c r="U71" s="180"/>
      <c r="V71" s="180"/>
      <c r="W71" s="180"/>
      <c r="X71" s="180"/>
      <c r="Y71" s="180"/>
      <c r="Z71" s="180"/>
    </row>
    <row r="72" ht="14.25" customHeight="1">
      <c r="A72" s="182" t="s">
        <v>368</v>
      </c>
      <c r="B72" s="182" t="s">
        <v>372</v>
      </c>
      <c r="C72" s="182" t="s">
        <v>372</v>
      </c>
      <c r="D72" s="182" t="s">
        <v>937</v>
      </c>
      <c r="E72" s="182" t="s">
        <v>938</v>
      </c>
      <c r="F72" s="182" t="s">
        <v>977</v>
      </c>
      <c r="G72" s="182"/>
      <c r="H72" s="179"/>
      <c r="I72" s="179"/>
      <c r="J72" s="182" t="s">
        <v>978</v>
      </c>
      <c r="K72" s="182">
        <v>46714.0</v>
      </c>
      <c r="L72" s="182">
        <v>258171.0</v>
      </c>
      <c r="M72" s="182">
        <v>209065.0</v>
      </c>
      <c r="N72" s="182">
        <v>255779.0</v>
      </c>
      <c r="O72" s="182">
        <v>1.5777E7</v>
      </c>
      <c r="P72" s="182">
        <v>3.91E10</v>
      </c>
      <c r="Q72" s="179"/>
      <c r="R72" s="179">
        <f t="shared" si="1"/>
        <v>16032779</v>
      </c>
      <c r="S72" s="179">
        <f t="shared" si="2"/>
        <v>0.9840464962</v>
      </c>
      <c r="T72" s="179"/>
      <c r="U72" s="180"/>
      <c r="V72" s="180"/>
      <c r="W72" s="180"/>
      <c r="X72" s="180"/>
      <c r="Y72" s="180"/>
      <c r="Z72" s="180"/>
    </row>
    <row r="73" ht="14.25" customHeight="1">
      <c r="A73" s="182" t="s">
        <v>374</v>
      </c>
      <c r="B73" s="182" t="s">
        <v>377</v>
      </c>
      <c r="C73" s="182" t="s">
        <v>377</v>
      </c>
      <c r="D73" s="182" t="s">
        <v>937</v>
      </c>
      <c r="E73" s="182" t="s">
        <v>938</v>
      </c>
      <c r="F73" s="182" t="s">
        <v>954</v>
      </c>
      <c r="G73" s="182"/>
      <c r="H73" s="179"/>
      <c r="I73" s="179"/>
      <c r="J73" s="182" t="s">
        <v>955</v>
      </c>
      <c r="K73" s="182">
        <v>2817.0</v>
      </c>
      <c r="L73" s="182">
        <v>74692.0</v>
      </c>
      <c r="M73" s="182">
        <v>65936.0</v>
      </c>
      <c r="N73" s="182">
        <v>68753.0</v>
      </c>
      <c r="O73" s="182">
        <v>415193.0</v>
      </c>
      <c r="P73" s="182">
        <v>1.172E10</v>
      </c>
      <c r="Q73" s="179"/>
      <c r="R73" s="179">
        <f t="shared" si="1"/>
        <v>483946</v>
      </c>
      <c r="S73" s="179">
        <f t="shared" si="2"/>
        <v>0.8579324966</v>
      </c>
      <c r="T73" s="179"/>
      <c r="U73" s="180"/>
      <c r="V73" s="180"/>
      <c r="W73" s="180"/>
      <c r="X73" s="180"/>
      <c r="Y73" s="180"/>
      <c r="Z73" s="180"/>
    </row>
    <row r="74" ht="14.25" customHeight="1">
      <c r="A74" s="182" t="s">
        <v>379</v>
      </c>
      <c r="B74" s="182" t="s">
        <v>382</v>
      </c>
      <c r="C74" s="182" t="s">
        <v>382</v>
      </c>
      <c r="D74" s="182" t="s">
        <v>937</v>
      </c>
      <c r="E74" s="182" t="s">
        <v>938</v>
      </c>
      <c r="F74" s="182" t="s">
        <v>960</v>
      </c>
      <c r="G74" s="182"/>
      <c r="H74" s="179"/>
      <c r="I74" s="179"/>
      <c r="J74" s="182" t="s">
        <v>961</v>
      </c>
      <c r="K74" s="182">
        <v>2.2430197E7</v>
      </c>
      <c r="L74" s="182">
        <v>6420000.0</v>
      </c>
      <c r="M74" s="182">
        <v>0.0</v>
      </c>
      <c r="N74" s="182">
        <v>2.8850197E7</v>
      </c>
      <c r="O74" s="182">
        <v>2.06E8</v>
      </c>
      <c r="P74" s="182">
        <v>2.123E10</v>
      </c>
      <c r="Q74" s="179"/>
      <c r="R74" s="179">
        <f t="shared" si="1"/>
        <v>234850197</v>
      </c>
      <c r="S74" s="179">
        <f t="shared" si="2"/>
        <v>0.8771548955</v>
      </c>
      <c r="T74" s="179"/>
      <c r="U74" s="180"/>
      <c r="V74" s="180"/>
      <c r="W74" s="180"/>
      <c r="X74" s="180"/>
      <c r="Y74" s="180"/>
      <c r="Z74" s="180"/>
    </row>
    <row r="75" ht="14.25" customHeight="1">
      <c r="A75" s="182" t="s">
        <v>384</v>
      </c>
      <c r="B75" s="182" t="s">
        <v>387</v>
      </c>
      <c r="C75" s="182" t="s">
        <v>387</v>
      </c>
      <c r="D75" s="182" t="s">
        <v>937</v>
      </c>
      <c r="E75" s="182" t="s">
        <v>938</v>
      </c>
      <c r="F75" s="182" t="s">
        <v>946</v>
      </c>
      <c r="G75" s="182"/>
      <c r="H75" s="179"/>
      <c r="I75" s="179"/>
      <c r="J75" s="182" t="s">
        <v>947</v>
      </c>
      <c r="K75" s="182">
        <v>16520.0</v>
      </c>
      <c r="L75" s="182">
        <v>560683.0</v>
      </c>
      <c r="M75" s="182">
        <v>349022.0</v>
      </c>
      <c r="N75" s="182">
        <v>365542.0</v>
      </c>
      <c r="O75" s="182">
        <v>1543540.0</v>
      </c>
      <c r="P75" s="182">
        <v>3.95E10</v>
      </c>
      <c r="Q75" s="179"/>
      <c r="R75" s="179">
        <f t="shared" si="1"/>
        <v>1909082</v>
      </c>
      <c r="S75" s="179">
        <f t="shared" si="2"/>
        <v>0.8085247255</v>
      </c>
      <c r="T75" s="179"/>
      <c r="U75" s="180"/>
      <c r="V75" s="180"/>
      <c r="W75" s="180"/>
      <c r="X75" s="180"/>
      <c r="Y75" s="180"/>
      <c r="Z75" s="180"/>
    </row>
    <row r="76" ht="14.25" customHeight="1">
      <c r="A76" s="182" t="s">
        <v>389</v>
      </c>
      <c r="B76" s="182" t="s">
        <v>392</v>
      </c>
      <c r="C76" s="182" t="s">
        <v>392</v>
      </c>
      <c r="D76" s="182" t="s">
        <v>937</v>
      </c>
      <c r="E76" s="182" t="s">
        <v>938</v>
      </c>
      <c r="F76" s="182" t="s">
        <v>946</v>
      </c>
      <c r="G76" s="182"/>
      <c r="H76" s="179"/>
      <c r="I76" s="179"/>
      <c r="J76" s="182" t="s">
        <v>972</v>
      </c>
      <c r="K76" s="182">
        <v>9897.0</v>
      </c>
      <c r="L76" s="182">
        <v>0.0</v>
      </c>
      <c r="M76" s="182">
        <v>47911.0</v>
      </c>
      <c r="N76" s="182">
        <v>57808.0</v>
      </c>
      <c r="O76" s="182">
        <v>32130.06</v>
      </c>
      <c r="P76" s="182">
        <v>1.777E10</v>
      </c>
      <c r="Q76" s="179"/>
      <c r="R76" s="179">
        <f t="shared" si="1"/>
        <v>89938.06</v>
      </c>
      <c r="S76" s="179">
        <f t="shared" si="2"/>
        <v>0.3572465317</v>
      </c>
      <c r="T76" s="179"/>
      <c r="U76" s="180"/>
      <c r="V76" s="180"/>
      <c r="W76" s="180"/>
      <c r="X76" s="180"/>
      <c r="Y76" s="180"/>
      <c r="Z76" s="180"/>
    </row>
    <row r="77" ht="14.25" customHeight="1">
      <c r="A77" s="182" t="s">
        <v>394</v>
      </c>
      <c r="B77" s="182" t="s">
        <v>398</v>
      </c>
      <c r="C77" s="182" t="s">
        <v>398</v>
      </c>
      <c r="D77" s="182" t="s">
        <v>937</v>
      </c>
      <c r="E77" s="182" t="s">
        <v>938</v>
      </c>
      <c r="F77" s="182" t="s">
        <v>950</v>
      </c>
      <c r="G77" s="182"/>
      <c r="H77" s="179"/>
      <c r="I77" s="179"/>
      <c r="J77" s="182" t="s">
        <v>959</v>
      </c>
      <c r="K77" s="182">
        <v>3552415.0</v>
      </c>
      <c r="L77" s="182">
        <v>1556523.0</v>
      </c>
      <c r="M77" s="182">
        <v>1425255.0</v>
      </c>
      <c r="N77" s="182">
        <v>4977670.0</v>
      </c>
      <c r="O77" s="182">
        <v>5.0465066E7</v>
      </c>
      <c r="P77" s="182">
        <v>6.716E10</v>
      </c>
      <c r="Q77" s="179"/>
      <c r="R77" s="179">
        <f t="shared" si="1"/>
        <v>55442736</v>
      </c>
      <c r="S77" s="179">
        <f t="shared" si="2"/>
        <v>0.9102196183</v>
      </c>
      <c r="T77" s="179"/>
      <c r="U77" s="180"/>
      <c r="V77" s="180"/>
      <c r="W77" s="180"/>
      <c r="X77" s="180"/>
      <c r="Y77" s="180"/>
      <c r="Z77" s="180"/>
    </row>
    <row r="78" ht="14.25" customHeight="1">
      <c r="A78" s="182" t="s">
        <v>400</v>
      </c>
      <c r="B78" s="182" t="s">
        <v>404</v>
      </c>
      <c r="C78" s="182" t="s">
        <v>404</v>
      </c>
      <c r="D78" s="182" t="s">
        <v>937</v>
      </c>
      <c r="E78" s="182" t="s">
        <v>938</v>
      </c>
      <c r="F78" s="182" t="s">
        <v>941</v>
      </c>
      <c r="G78" s="182"/>
      <c r="H78" s="179"/>
      <c r="I78" s="179"/>
      <c r="J78" s="182" t="s">
        <v>943</v>
      </c>
      <c r="K78" s="182">
        <v>734638.0</v>
      </c>
      <c r="L78" s="182">
        <v>762286.0</v>
      </c>
      <c r="M78" s="182">
        <v>634205.0</v>
      </c>
      <c r="N78" s="182">
        <v>1368843.0</v>
      </c>
      <c r="O78" s="182">
        <v>5708509.0</v>
      </c>
      <c r="P78" s="182">
        <v>5.175E10</v>
      </c>
      <c r="Q78" s="179"/>
      <c r="R78" s="179">
        <f t="shared" si="1"/>
        <v>7077352</v>
      </c>
      <c r="S78" s="179">
        <f t="shared" si="2"/>
        <v>0.806588255</v>
      </c>
      <c r="T78" s="179"/>
      <c r="U78" s="180"/>
      <c r="V78" s="180"/>
      <c r="W78" s="180"/>
      <c r="X78" s="180"/>
      <c r="Y78" s="180"/>
      <c r="Z78" s="180"/>
    </row>
    <row r="79" ht="14.25" customHeight="1">
      <c r="A79" s="182" t="s">
        <v>406</v>
      </c>
      <c r="B79" s="182" t="s">
        <v>410</v>
      </c>
      <c r="C79" s="182" t="s">
        <v>410</v>
      </c>
      <c r="D79" s="182" t="s">
        <v>937</v>
      </c>
      <c r="E79" s="182" t="s">
        <v>938</v>
      </c>
      <c r="F79" s="182" t="s">
        <v>950</v>
      </c>
      <c r="G79" s="182"/>
      <c r="H79" s="179"/>
      <c r="I79" s="179"/>
      <c r="J79" s="182" t="s">
        <v>951</v>
      </c>
      <c r="K79" s="182">
        <v>397210.0</v>
      </c>
      <c r="L79" s="182">
        <v>447322.0</v>
      </c>
      <c r="M79" s="182">
        <v>158672.0</v>
      </c>
      <c r="N79" s="182">
        <v>555882.0</v>
      </c>
      <c r="O79" s="182">
        <v>4126610.0</v>
      </c>
      <c r="P79" s="182">
        <v>7.982E10</v>
      </c>
      <c r="Q79" s="179"/>
      <c r="R79" s="179">
        <f t="shared" si="1"/>
        <v>4682492</v>
      </c>
      <c r="S79" s="179">
        <f t="shared" si="2"/>
        <v>0.8812850081</v>
      </c>
      <c r="T79" s="179"/>
      <c r="U79" s="180"/>
      <c r="V79" s="180"/>
      <c r="W79" s="180"/>
      <c r="X79" s="180"/>
      <c r="Y79" s="180"/>
      <c r="Z79" s="180"/>
    </row>
    <row r="80" ht="14.25" customHeight="1">
      <c r="A80" s="182" t="s">
        <v>412</v>
      </c>
      <c r="B80" s="182" t="s">
        <v>416</v>
      </c>
      <c r="C80" s="182" t="s">
        <v>416</v>
      </c>
      <c r="D80" s="182" t="s">
        <v>937</v>
      </c>
      <c r="E80" s="182" t="s">
        <v>938</v>
      </c>
      <c r="F80" s="182" t="s">
        <v>939</v>
      </c>
      <c r="G80" s="182"/>
      <c r="H80" s="179"/>
      <c r="I80" s="179"/>
      <c r="J80" s="182" t="s">
        <v>940</v>
      </c>
      <c r="K80" s="182">
        <v>2210497.0</v>
      </c>
      <c r="L80" s="182">
        <v>2544389.0</v>
      </c>
      <c r="M80" s="182">
        <v>1839862.0</v>
      </c>
      <c r="N80" s="182">
        <v>4050359.0</v>
      </c>
      <c r="O80" s="182">
        <v>3.81313043E8</v>
      </c>
      <c r="P80" s="182">
        <v>6.768E10</v>
      </c>
      <c r="Q80" s="179"/>
      <c r="R80" s="179">
        <f t="shared" si="1"/>
        <v>385363402</v>
      </c>
      <c r="S80" s="179">
        <f t="shared" si="2"/>
        <v>0.9894895079</v>
      </c>
      <c r="T80" s="179"/>
      <c r="U80" s="180"/>
      <c r="V80" s="180"/>
      <c r="W80" s="180"/>
      <c r="X80" s="180"/>
      <c r="Y80" s="180"/>
      <c r="Z80" s="180"/>
    </row>
    <row r="81" ht="14.25" customHeight="1">
      <c r="A81" s="182" t="s">
        <v>418</v>
      </c>
      <c r="B81" s="182" t="s">
        <v>422</v>
      </c>
      <c r="C81" s="182" t="s">
        <v>422</v>
      </c>
      <c r="D81" s="182" t="s">
        <v>937</v>
      </c>
      <c r="E81" s="182" t="s">
        <v>938</v>
      </c>
      <c r="F81" s="182" t="s">
        <v>954</v>
      </c>
      <c r="G81" s="182"/>
      <c r="H81" s="179"/>
      <c r="I81" s="179"/>
      <c r="J81" s="182" t="s">
        <v>955</v>
      </c>
      <c r="K81" s="182">
        <v>78290.0</v>
      </c>
      <c r="L81" s="182">
        <v>135967.0</v>
      </c>
      <c r="M81" s="182">
        <v>114060.0</v>
      </c>
      <c r="N81" s="182">
        <v>192350.0</v>
      </c>
      <c r="O81" s="182">
        <v>111252.0</v>
      </c>
      <c r="P81" s="182">
        <v>2.427E10</v>
      </c>
      <c r="Q81" s="179"/>
      <c r="R81" s="179">
        <f t="shared" si="1"/>
        <v>303602</v>
      </c>
      <c r="S81" s="179">
        <f t="shared" si="2"/>
        <v>0.3664402738</v>
      </c>
      <c r="T81" s="179"/>
      <c r="U81" s="180"/>
      <c r="V81" s="180"/>
      <c r="W81" s="180"/>
      <c r="X81" s="180"/>
      <c r="Y81" s="180"/>
      <c r="Z81" s="180"/>
    </row>
    <row r="82" ht="14.25" customHeight="1">
      <c r="A82" s="182" t="s">
        <v>424</v>
      </c>
      <c r="B82" s="182" t="s">
        <v>979</v>
      </c>
      <c r="C82" s="182" t="s">
        <v>979</v>
      </c>
      <c r="D82" s="182" t="s">
        <v>937</v>
      </c>
      <c r="E82" s="182" t="s">
        <v>938</v>
      </c>
      <c r="F82" s="182"/>
      <c r="G82" s="182"/>
      <c r="H82" s="179"/>
      <c r="I82" s="179"/>
      <c r="J82" s="182"/>
      <c r="K82" s="196">
        <v>10.0</v>
      </c>
      <c r="L82" s="196">
        <v>10.0</v>
      </c>
      <c r="M82" s="196">
        <v>10.0</v>
      </c>
      <c r="N82" s="196">
        <v>10.0</v>
      </c>
      <c r="O82" s="196">
        <v>10.0</v>
      </c>
      <c r="P82" s="182">
        <v>2.9176E10</v>
      </c>
      <c r="Q82" s="179"/>
      <c r="R82" s="197">
        <f t="shared" si="1"/>
        <v>20</v>
      </c>
      <c r="S82" s="179">
        <f t="shared" si="2"/>
        <v>0.5</v>
      </c>
      <c r="T82" s="179"/>
      <c r="U82" s="180"/>
      <c r="V82" s="180"/>
      <c r="W82" s="180"/>
      <c r="X82" s="180"/>
      <c r="Y82" s="180"/>
      <c r="Z82" s="180"/>
    </row>
    <row r="83" ht="14.25" customHeight="1">
      <c r="A83" s="182" t="s">
        <v>427</v>
      </c>
      <c r="B83" s="182" t="s">
        <v>430</v>
      </c>
      <c r="C83" s="182" t="s">
        <v>430</v>
      </c>
      <c r="D83" s="182" t="s">
        <v>937</v>
      </c>
      <c r="E83" s="182" t="s">
        <v>938</v>
      </c>
      <c r="F83" s="182" t="s">
        <v>946</v>
      </c>
      <c r="G83" s="182"/>
      <c r="H83" s="179"/>
      <c r="I83" s="179"/>
      <c r="J83" s="182" t="s">
        <v>947</v>
      </c>
      <c r="K83" s="182">
        <v>5747.0</v>
      </c>
      <c r="L83" s="182">
        <v>290938.0</v>
      </c>
      <c r="M83" s="182">
        <v>134760.0</v>
      </c>
      <c r="N83" s="182">
        <v>140507.0</v>
      </c>
      <c r="O83" s="182">
        <v>1027551.0</v>
      </c>
      <c r="P83" s="182">
        <v>1.328E10</v>
      </c>
      <c r="Q83" s="179"/>
      <c r="R83" s="179">
        <f t="shared" si="1"/>
        <v>1168058</v>
      </c>
      <c r="S83" s="179">
        <f t="shared" si="2"/>
        <v>0.8797088843</v>
      </c>
      <c r="T83" s="179"/>
      <c r="U83" s="180"/>
      <c r="V83" s="180"/>
      <c r="W83" s="180"/>
      <c r="X83" s="180"/>
      <c r="Y83" s="180"/>
      <c r="Z83" s="180"/>
    </row>
    <row r="84" ht="14.25" customHeight="1">
      <c r="A84" s="182" t="s">
        <v>432</v>
      </c>
      <c r="B84" s="182" t="s">
        <v>980</v>
      </c>
      <c r="C84" s="182" t="s">
        <v>980</v>
      </c>
      <c r="D84" s="182" t="s">
        <v>937</v>
      </c>
      <c r="E84" s="182" t="s">
        <v>938</v>
      </c>
      <c r="F84" s="182"/>
      <c r="G84" s="182"/>
      <c r="H84" s="179"/>
      <c r="I84" s="179"/>
      <c r="J84" s="182"/>
      <c r="K84" s="196">
        <v>10.0</v>
      </c>
      <c r="L84" s="196">
        <v>10.0</v>
      </c>
      <c r="M84" s="196">
        <v>10.0</v>
      </c>
      <c r="N84" s="196">
        <v>10.0</v>
      </c>
      <c r="O84" s="196">
        <v>10.0</v>
      </c>
      <c r="P84" s="182">
        <v>3.29E10</v>
      </c>
      <c r="Q84" s="179"/>
      <c r="R84" s="197">
        <f t="shared" si="1"/>
        <v>20</v>
      </c>
      <c r="S84" s="179">
        <f t="shared" si="2"/>
        <v>0.5</v>
      </c>
      <c r="T84" s="179"/>
      <c r="U84" s="180"/>
      <c r="V84" s="180"/>
      <c r="W84" s="180"/>
      <c r="X84" s="180"/>
      <c r="Y84" s="180"/>
      <c r="Z84" s="180"/>
    </row>
    <row r="85" ht="14.25" customHeight="1">
      <c r="A85" s="182" t="s">
        <v>435</v>
      </c>
      <c r="B85" s="182" t="s">
        <v>439</v>
      </c>
      <c r="C85" s="182" t="s">
        <v>439</v>
      </c>
      <c r="D85" s="182" t="s">
        <v>937</v>
      </c>
      <c r="E85" s="182" t="s">
        <v>938</v>
      </c>
      <c r="F85" s="182" t="s">
        <v>946</v>
      </c>
      <c r="G85" s="182"/>
      <c r="H85" s="179"/>
      <c r="I85" s="179"/>
      <c r="J85" s="182" t="s">
        <v>948</v>
      </c>
      <c r="K85" s="182">
        <v>16863.186</v>
      </c>
      <c r="L85" s="182">
        <v>249714.82</v>
      </c>
      <c r="M85" s="182">
        <v>249714.82</v>
      </c>
      <c r="N85" s="182">
        <v>266578.006</v>
      </c>
      <c r="O85" s="182">
        <v>579488.0</v>
      </c>
      <c r="P85" s="182">
        <v>5.755E9</v>
      </c>
      <c r="Q85" s="179"/>
      <c r="R85" s="179">
        <f t="shared" si="1"/>
        <v>846066.006</v>
      </c>
      <c r="S85" s="179">
        <f t="shared" si="2"/>
        <v>0.6849205569</v>
      </c>
      <c r="T85" s="179"/>
      <c r="U85" s="180"/>
      <c r="V85" s="180"/>
      <c r="W85" s="180"/>
      <c r="X85" s="180"/>
      <c r="Y85" s="180"/>
      <c r="Z85" s="180"/>
    </row>
    <row r="86" ht="14.25" customHeight="1">
      <c r="A86" s="182" t="s">
        <v>441</v>
      </c>
      <c r="B86" s="182" t="s">
        <v>444</v>
      </c>
      <c r="C86" s="182" t="s">
        <v>444</v>
      </c>
      <c r="D86" s="182" t="s">
        <v>937</v>
      </c>
      <c r="E86" s="182" t="s">
        <v>938</v>
      </c>
      <c r="F86" s="182" t="s">
        <v>964</v>
      </c>
      <c r="G86" s="182"/>
      <c r="H86" s="179"/>
      <c r="I86" s="179"/>
      <c r="J86" s="182" t="s">
        <v>965</v>
      </c>
      <c r="K86" s="182">
        <v>8.8213565E7</v>
      </c>
      <c r="L86" s="182">
        <v>36845.0</v>
      </c>
      <c r="M86" s="182">
        <v>35568.0</v>
      </c>
      <c r="N86" s="182">
        <v>8.8249133E7</v>
      </c>
      <c r="O86" s="182">
        <v>3.8773448E7</v>
      </c>
      <c r="P86" s="182">
        <v>2.1419E10</v>
      </c>
      <c r="Q86" s="179"/>
      <c r="R86" s="179">
        <f t="shared" si="1"/>
        <v>127022581</v>
      </c>
      <c r="S86" s="179">
        <f t="shared" si="2"/>
        <v>0.305248466</v>
      </c>
      <c r="T86" s="179"/>
      <c r="U86" s="180"/>
      <c r="V86" s="180"/>
      <c r="W86" s="180"/>
      <c r="X86" s="180"/>
      <c r="Y86" s="180"/>
      <c r="Z86" s="180"/>
    </row>
    <row r="87" ht="14.25" customHeight="1">
      <c r="A87" s="182" t="s">
        <v>446</v>
      </c>
      <c r="B87" s="182" t="s">
        <v>450</v>
      </c>
      <c r="C87" s="182" t="s">
        <v>450</v>
      </c>
      <c r="D87" s="182" t="s">
        <v>937</v>
      </c>
      <c r="E87" s="182" t="s">
        <v>938</v>
      </c>
      <c r="F87" s="182" t="s">
        <v>973</v>
      </c>
      <c r="G87" s="182"/>
      <c r="H87" s="179"/>
      <c r="I87" s="179"/>
      <c r="J87" s="182" t="s">
        <v>974</v>
      </c>
      <c r="K87" s="182">
        <v>381198.61</v>
      </c>
      <c r="L87" s="182">
        <v>790373.35</v>
      </c>
      <c r="M87" s="182">
        <v>281700.89</v>
      </c>
      <c r="N87" s="182">
        <v>662899.5</v>
      </c>
      <c r="O87" s="182">
        <v>1.496399305E7</v>
      </c>
      <c r="P87" s="182">
        <v>2.651E10</v>
      </c>
      <c r="Q87" s="179"/>
      <c r="R87" s="179">
        <f t="shared" si="1"/>
        <v>15626892.55</v>
      </c>
      <c r="S87" s="179">
        <f t="shared" si="2"/>
        <v>0.9575795701</v>
      </c>
      <c r="T87" s="179"/>
      <c r="U87" s="180"/>
      <c r="V87" s="180"/>
      <c r="W87" s="180"/>
      <c r="X87" s="180"/>
      <c r="Y87" s="180"/>
      <c r="Z87" s="180"/>
    </row>
    <row r="88" ht="14.25" customHeight="1">
      <c r="A88" s="182" t="s">
        <v>452</v>
      </c>
      <c r="B88" s="182" t="s">
        <v>456</v>
      </c>
      <c r="C88" s="182" t="s">
        <v>456</v>
      </c>
      <c r="D88" s="182" t="s">
        <v>937</v>
      </c>
      <c r="E88" s="182" t="s">
        <v>938</v>
      </c>
      <c r="F88" s="182" t="s">
        <v>962</v>
      </c>
      <c r="G88" s="182"/>
      <c r="H88" s="179"/>
      <c r="I88" s="179"/>
      <c r="J88" s="182" t="s">
        <v>963</v>
      </c>
      <c r="K88" s="182">
        <v>752552.0</v>
      </c>
      <c r="L88" s="182">
        <v>1680682.0</v>
      </c>
      <c r="M88" s="182">
        <v>1545898.0</v>
      </c>
      <c r="N88" s="182">
        <v>2298450.0</v>
      </c>
      <c r="O88" s="182">
        <v>5.2049E7</v>
      </c>
      <c r="P88" s="182">
        <v>7.81E10</v>
      </c>
      <c r="Q88" s="179"/>
      <c r="R88" s="179">
        <f t="shared" si="1"/>
        <v>54347450</v>
      </c>
      <c r="S88" s="179">
        <f t="shared" si="2"/>
        <v>0.9577082273</v>
      </c>
      <c r="T88" s="179"/>
      <c r="U88" s="180"/>
      <c r="V88" s="180"/>
      <c r="W88" s="180"/>
      <c r="X88" s="180"/>
      <c r="Y88" s="180"/>
      <c r="Z88" s="180"/>
    </row>
    <row r="89" ht="14.25" customHeight="1">
      <c r="A89" s="182" t="s">
        <v>458</v>
      </c>
      <c r="B89" s="182" t="s">
        <v>461</v>
      </c>
      <c r="C89" s="182" t="s">
        <v>461</v>
      </c>
      <c r="D89" s="182" t="s">
        <v>937</v>
      </c>
      <c r="E89" s="182" t="s">
        <v>938</v>
      </c>
      <c r="F89" s="182" t="s">
        <v>954</v>
      </c>
      <c r="G89" s="182"/>
      <c r="H89" s="179"/>
      <c r="I89" s="179"/>
      <c r="J89" s="182" t="s">
        <v>955</v>
      </c>
      <c r="K89" s="182">
        <v>966579.0</v>
      </c>
      <c r="L89" s="182">
        <v>1054751.0</v>
      </c>
      <c r="M89" s="182">
        <v>13430.0</v>
      </c>
      <c r="N89" s="182">
        <v>980009.0</v>
      </c>
      <c r="O89" s="182">
        <v>27544.0</v>
      </c>
      <c r="P89" s="182">
        <v>1.4318E10</v>
      </c>
      <c r="Q89" s="179"/>
      <c r="R89" s="179">
        <f t="shared" si="1"/>
        <v>1007553</v>
      </c>
      <c r="S89" s="179">
        <f t="shared" si="2"/>
        <v>0.02733751971</v>
      </c>
      <c r="T89" s="179"/>
      <c r="U89" s="180"/>
      <c r="V89" s="180"/>
      <c r="W89" s="180"/>
      <c r="X89" s="180"/>
      <c r="Y89" s="180"/>
      <c r="Z89" s="180"/>
    </row>
    <row r="90" ht="14.25" customHeight="1">
      <c r="A90" s="182" t="s">
        <v>463</v>
      </c>
      <c r="B90" s="182" t="s">
        <v>467</v>
      </c>
      <c r="C90" s="182" t="s">
        <v>467</v>
      </c>
      <c r="D90" s="182" t="s">
        <v>937</v>
      </c>
      <c r="E90" s="182" t="s">
        <v>938</v>
      </c>
      <c r="F90" s="182" t="s">
        <v>946</v>
      </c>
      <c r="G90" s="182"/>
      <c r="H90" s="179"/>
      <c r="I90" s="179"/>
      <c r="J90" s="182" t="s">
        <v>948</v>
      </c>
      <c r="K90" s="182">
        <v>8102.0</v>
      </c>
      <c r="L90" s="182">
        <v>130205.0</v>
      </c>
      <c r="M90" s="182">
        <v>3397.0</v>
      </c>
      <c r="N90" s="182">
        <v>11499.0</v>
      </c>
      <c r="O90" s="182">
        <v>434959.0</v>
      </c>
      <c r="P90" s="182">
        <v>2.082E10</v>
      </c>
      <c r="Q90" s="179"/>
      <c r="R90" s="179">
        <f t="shared" si="1"/>
        <v>446458</v>
      </c>
      <c r="S90" s="179">
        <f t="shared" si="2"/>
        <v>0.9742439378</v>
      </c>
      <c r="T90" s="179"/>
      <c r="U90" s="180"/>
      <c r="V90" s="180"/>
      <c r="W90" s="180"/>
      <c r="X90" s="180"/>
      <c r="Y90" s="180"/>
      <c r="Z90" s="180"/>
    </row>
    <row r="91" ht="14.25" customHeight="1">
      <c r="A91" s="182" t="s">
        <v>469</v>
      </c>
      <c r="B91" s="182" t="s">
        <v>473</v>
      </c>
      <c r="C91" s="182" t="s">
        <v>473</v>
      </c>
      <c r="D91" s="182" t="s">
        <v>937</v>
      </c>
      <c r="E91" s="182" t="s">
        <v>938</v>
      </c>
      <c r="F91" s="182" t="s">
        <v>946</v>
      </c>
      <c r="G91" s="182"/>
      <c r="H91" s="179"/>
      <c r="I91" s="179"/>
      <c r="J91" s="182" t="s">
        <v>956</v>
      </c>
      <c r="K91" s="182">
        <v>855073.0</v>
      </c>
      <c r="L91" s="182">
        <v>1010307.0</v>
      </c>
      <c r="M91" s="182">
        <v>931544.0</v>
      </c>
      <c r="N91" s="182">
        <v>1786617.0</v>
      </c>
      <c r="O91" s="182">
        <v>0.0</v>
      </c>
      <c r="P91" s="182">
        <v>6.957E10</v>
      </c>
      <c r="Q91" s="179"/>
      <c r="R91" s="179">
        <f t="shared" si="1"/>
        <v>1786617</v>
      </c>
      <c r="S91" s="179">
        <f t="shared" si="2"/>
        <v>0</v>
      </c>
      <c r="T91" s="179"/>
      <c r="U91" s="180"/>
      <c r="V91" s="180"/>
      <c r="W91" s="180"/>
      <c r="X91" s="180"/>
      <c r="Y91" s="180"/>
      <c r="Z91" s="180"/>
    </row>
    <row r="92" ht="14.25" customHeight="1">
      <c r="A92" s="182" t="s">
        <v>475</v>
      </c>
      <c r="B92" s="182" t="s">
        <v>981</v>
      </c>
      <c r="C92" s="182" t="s">
        <v>981</v>
      </c>
      <c r="D92" s="182" t="s">
        <v>937</v>
      </c>
      <c r="E92" s="182" t="s">
        <v>938</v>
      </c>
      <c r="F92" s="182"/>
      <c r="G92" s="182"/>
      <c r="H92" s="179"/>
      <c r="I92" s="179"/>
      <c r="J92" s="182"/>
      <c r="K92" s="196">
        <v>10.0</v>
      </c>
      <c r="L92" s="196">
        <v>10.0</v>
      </c>
      <c r="M92" s="196">
        <v>10.0</v>
      </c>
      <c r="N92" s="196">
        <v>10.0</v>
      </c>
      <c r="O92" s="196">
        <v>10.0</v>
      </c>
      <c r="P92" s="182">
        <v>2.554E10</v>
      </c>
      <c r="Q92" s="179"/>
      <c r="R92" s="197">
        <f t="shared" si="1"/>
        <v>20</v>
      </c>
      <c r="S92" s="179">
        <f t="shared" si="2"/>
        <v>0.5</v>
      </c>
      <c r="T92" s="179"/>
      <c r="U92" s="180"/>
      <c r="V92" s="180"/>
      <c r="W92" s="180"/>
      <c r="X92" s="180"/>
      <c r="Y92" s="180"/>
      <c r="Z92" s="180"/>
    </row>
    <row r="93" ht="14.25" customHeight="1">
      <c r="A93" s="182" t="s">
        <v>478</v>
      </c>
      <c r="B93" s="182" t="s">
        <v>482</v>
      </c>
      <c r="C93" s="182" t="s">
        <v>482</v>
      </c>
      <c r="D93" s="182" t="s">
        <v>937</v>
      </c>
      <c r="E93" s="182" t="s">
        <v>938</v>
      </c>
      <c r="F93" s="182" t="s">
        <v>967</v>
      </c>
      <c r="G93" s="182"/>
      <c r="H93" s="179"/>
      <c r="I93" s="179"/>
      <c r="J93" s="182" t="s">
        <v>982</v>
      </c>
      <c r="K93" s="182">
        <v>1.0066595E7</v>
      </c>
      <c r="L93" s="182">
        <v>344024.0</v>
      </c>
      <c r="M93" s="182">
        <v>314075.0</v>
      </c>
      <c r="N93" s="182">
        <v>1.038067E7</v>
      </c>
      <c r="O93" s="182">
        <v>3175420.0</v>
      </c>
      <c r="P93" s="182">
        <v>2.17E10</v>
      </c>
      <c r="Q93" s="179"/>
      <c r="R93" s="179">
        <f t="shared" si="1"/>
        <v>13556090</v>
      </c>
      <c r="S93" s="179">
        <f t="shared" si="2"/>
        <v>0.2342430598</v>
      </c>
      <c r="T93" s="179"/>
      <c r="U93" s="180"/>
      <c r="V93" s="180"/>
      <c r="W93" s="180"/>
      <c r="X93" s="180"/>
      <c r="Y93" s="180"/>
      <c r="Z93" s="180"/>
    </row>
    <row r="94" ht="14.25" customHeight="1">
      <c r="A94" s="182" t="s">
        <v>484</v>
      </c>
      <c r="B94" s="182" t="s">
        <v>487</v>
      </c>
      <c r="C94" s="182" t="s">
        <v>487</v>
      </c>
      <c r="D94" s="182" t="s">
        <v>937</v>
      </c>
      <c r="E94" s="182" t="s">
        <v>938</v>
      </c>
      <c r="F94" s="182" t="s">
        <v>946</v>
      </c>
      <c r="G94" s="182"/>
      <c r="H94" s="179"/>
      <c r="I94" s="179"/>
      <c r="J94" s="182" t="s">
        <v>983</v>
      </c>
      <c r="K94" s="182">
        <v>17709.0</v>
      </c>
      <c r="L94" s="182">
        <v>153004.0</v>
      </c>
      <c r="M94" s="182">
        <v>149418.0</v>
      </c>
      <c r="N94" s="182">
        <v>167127.0</v>
      </c>
      <c r="O94" s="182">
        <v>429811.0</v>
      </c>
      <c r="P94" s="182">
        <v>2.422E11</v>
      </c>
      <c r="Q94" s="179"/>
      <c r="R94" s="179">
        <f t="shared" si="1"/>
        <v>596938</v>
      </c>
      <c r="S94" s="179">
        <f t="shared" si="2"/>
        <v>0.7200262004</v>
      </c>
      <c r="T94" s="179"/>
      <c r="U94" s="180"/>
      <c r="V94" s="180"/>
      <c r="W94" s="180"/>
      <c r="X94" s="180"/>
      <c r="Y94" s="180"/>
      <c r="Z94" s="180"/>
    </row>
    <row r="95" ht="14.25" customHeight="1">
      <c r="A95" s="182" t="s">
        <v>489</v>
      </c>
      <c r="B95" s="182" t="s">
        <v>493</v>
      </c>
      <c r="C95" s="182" t="s">
        <v>493</v>
      </c>
      <c r="D95" s="182" t="s">
        <v>937</v>
      </c>
      <c r="E95" s="182" t="s">
        <v>938</v>
      </c>
      <c r="F95" s="182" t="s">
        <v>967</v>
      </c>
      <c r="G95" s="182"/>
      <c r="H95" s="179"/>
      <c r="I95" s="179"/>
      <c r="J95" s="182" t="s">
        <v>968</v>
      </c>
      <c r="K95" s="182">
        <v>1.4223E7</v>
      </c>
      <c r="L95" s="182">
        <v>754000.0</v>
      </c>
      <c r="M95" s="182">
        <v>731000.0</v>
      </c>
      <c r="N95" s="182">
        <v>1.4954E7</v>
      </c>
      <c r="O95" s="182">
        <v>2.1008E7</v>
      </c>
      <c r="P95" s="182">
        <v>7.4094E10</v>
      </c>
      <c r="Q95" s="179"/>
      <c r="R95" s="179">
        <f t="shared" si="1"/>
        <v>35962000</v>
      </c>
      <c r="S95" s="179">
        <f t="shared" si="2"/>
        <v>0.5841721817</v>
      </c>
      <c r="T95" s="179"/>
      <c r="U95" s="180"/>
      <c r="V95" s="180"/>
      <c r="W95" s="180"/>
      <c r="X95" s="180"/>
      <c r="Y95" s="180"/>
      <c r="Z95" s="180"/>
    </row>
    <row r="96" ht="14.25" customHeight="1">
      <c r="A96" s="182" t="s">
        <v>495</v>
      </c>
      <c r="B96" s="182" t="s">
        <v>498</v>
      </c>
      <c r="C96" s="182" t="s">
        <v>498</v>
      </c>
      <c r="D96" s="182" t="s">
        <v>937</v>
      </c>
      <c r="E96" s="182" t="s">
        <v>938</v>
      </c>
      <c r="F96" s="182" t="s">
        <v>946</v>
      </c>
      <c r="G96" s="182"/>
      <c r="H96" s="179"/>
      <c r="I96" s="179"/>
      <c r="J96" s="182" t="s">
        <v>948</v>
      </c>
      <c r="K96" s="182">
        <v>56482.0</v>
      </c>
      <c r="L96" s="182">
        <v>255929.0</v>
      </c>
      <c r="M96" s="182">
        <v>176447.0</v>
      </c>
      <c r="N96" s="182">
        <v>232929.0</v>
      </c>
      <c r="O96" s="182">
        <v>170573.0</v>
      </c>
      <c r="P96" s="182">
        <v>2.5775E10</v>
      </c>
      <c r="Q96" s="179"/>
      <c r="R96" s="179">
        <f t="shared" si="1"/>
        <v>403502</v>
      </c>
      <c r="S96" s="179">
        <f t="shared" si="2"/>
        <v>0.4227314858</v>
      </c>
      <c r="T96" s="179"/>
      <c r="U96" s="180"/>
      <c r="V96" s="180"/>
      <c r="W96" s="180"/>
      <c r="X96" s="180"/>
      <c r="Y96" s="180"/>
      <c r="Z96" s="180"/>
    </row>
    <row r="97" ht="14.25" customHeight="1">
      <c r="A97" s="182" t="s">
        <v>500</v>
      </c>
      <c r="B97" s="182" t="s">
        <v>504</v>
      </c>
      <c r="C97" s="182" t="s">
        <v>504</v>
      </c>
      <c r="D97" s="182" t="s">
        <v>937</v>
      </c>
      <c r="E97" s="182" t="s">
        <v>938</v>
      </c>
      <c r="F97" s="182" t="s">
        <v>946</v>
      </c>
      <c r="G97" s="182"/>
      <c r="H97" s="179"/>
      <c r="I97" s="179"/>
      <c r="J97" s="182" t="s">
        <v>956</v>
      </c>
      <c r="K97" s="182">
        <v>358753.0</v>
      </c>
      <c r="L97" s="182">
        <v>4006874.0</v>
      </c>
      <c r="M97" s="182">
        <v>3982613.0</v>
      </c>
      <c r="N97" s="182">
        <v>4341366.0</v>
      </c>
      <c r="O97" s="182">
        <v>1.7061647E7</v>
      </c>
      <c r="P97" s="182">
        <v>1.3186E11</v>
      </c>
      <c r="Q97" s="179"/>
      <c r="R97" s="179">
        <f t="shared" si="1"/>
        <v>21403013</v>
      </c>
      <c r="S97" s="179">
        <f t="shared" si="2"/>
        <v>0.7971609885</v>
      </c>
      <c r="T97" s="179"/>
      <c r="U97" s="180"/>
      <c r="V97" s="180"/>
      <c r="W97" s="180"/>
      <c r="X97" s="180"/>
      <c r="Y97" s="180"/>
      <c r="Z97" s="180"/>
    </row>
    <row r="98" ht="14.25" customHeight="1">
      <c r="A98" s="182" t="s">
        <v>506</v>
      </c>
      <c r="B98" s="182" t="s">
        <v>510</v>
      </c>
      <c r="C98" s="182" t="s">
        <v>510</v>
      </c>
      <c r="D98" s="182" t="s">
        <v>937</v>
      </c>
      <c r="E98" s="182" t="s">
        <v>938</v>
      </c>
      <c r="F98" s="182" t="s">
        <v>946</v>
      </c>
      <c r="G98" s="182"/>
      <c r="H98" s="179"/>
      <c r="I98" s="179"/>
      <c r="J98" s="182" t="s">
        <v>972</v>
      </c>
      <c r="K98" s="182">
        <v>8642.0</v>
      </c>
      <c r="L98" s="182">
        <v>66009.0</v>
      </c>
      <c r="M98" s="182">
        <v>51366.0</v>
      </c>
      <c r="N98" s="182">
        <v>60008.0</v>
      </c>
      <c r="O98" s="182">
        <v>523963.0</v>
      </c>
      <c r="P98" s="182">
        <v>2.3E10</v>
      </c>
      <c r="Q98" s="179"/>
      <c r="R98" s="179">
        <f t="shared" si="1"/>
        <v>583971</v>
      </c>
      <c r="S98" s="179">
        <f t="shared" si="2"/>
        <v>0.8972414726</v>
      </c>
      <c r="T98" s="179"/>
      <c r="U98" s="180"/>
      <c r="V98" s="180"/>
      <c r="W98" s="180"/>
      <c r="X98" s="180"/>
      <c r="Y98" s="180"/>
      <c r="Z98" s="180"/>
    </row>
    <row r="99" ht="14.25" customHeight="1">
      <c r="A99" s="182" t="s">
        <v>512</v>
      </c>
      <c r="B99" s="182" t="s">
        <v>516</v>
      </c>
      <c r="C99" s="182" t="s">
        <v>516</v>
      </c>
      <c r="D99" s="182" t="s">
        <v>937</v>
      </c>
      <c r="E99" s="182" t="s">
        <v>938</v>
      </c>
      <c r="F99" s="182" t="s">
        <v>962</v>
      </c>
      <c r="G99" s="182"/>
      <c r="H99" s="179"/>
      <c r="I99" s="179"/>
      <c r="J99" s="182" t="s">
        <v>963</v>
      </c>
      <c r="K99" s="182">
        <v>421000.0</v>
      </c>
      <c r="L99" s="182">
        <v>1645000.0</v>
      </c>
      <c r="M99" s="182">
        <v>1575000.0</v>
      </c>
      <c r="N99" s="182">
        <v>1996000.0</v>
      </c>
      <c r="O99" s="182">
        <v>3.7899E7</v>
      </c>
      <c r="P99" s="182">
        <v>1.369E11</v>
      </c>
      <c r="Q99" s="179"/>
      <c r="R99" s="179">
        <f t="shared" si="1"/>
        <v>39895000</v>
      </c>
      <c r="S99" s="179">
        <f t="shared" si="2"/>
        <v>0.9499686678</v>
      </c>
      <c r="T99" s="179"/>
      <c r="U99" s="180"/>
      <c r="V99" s="180"/>
      <c r="W99" s="180"/>
      <c r="X99" s="180"/>
      <c r="Y99" s="180"/>
      <c r="Z99" s="180"/>
    </row>
    <row r="100" ht="14.25" customHeight="1">
      <c r="A100" s="182" t="s">
        <v>518</v>
      </c>
      <c r="B100" s="182" t="s">
        <v>521</v>
      </c>
      <c r="C100" s="182" t="s">
        <v>521</v>
      </c>
      <c r="D100" s="182" t="s">
        <v>937</v>
      </c>
      <c r="E100" s="182" t="s">
        <v>938</v>
      </c>
      <c r="F100" s="182" t="s">
        <v>962</v>
      </c>
      <c r="G100" s="182"/>
      <c r="H100" s="179"/>
      <c r="I100" s="179"/>
      <c r="J100" s="182" t="s">
        <v>963</v>
      </c>
      <c r="K100" s="182">
        <v>6484616.0</v>
      </c>
      <c r="L100" s="182">
        <v>1.2190878E7</v>
      </c>
      <c r="M100" s="182">
        <v>1.107898E7</v>
      </c>
      <c r="N100" s="182">
        <v>1.7563596E7</v>
      </c>
      <c r="O100" s="182">
        <v>1.84474411E8</v>
      </c>
      <c r="P100" s="182">
        <v>5.24E11</v>
      </c>
      <c r="Q100" s="179"/>
      <c r="R100" s="179">
        <f t="shared" si="1"/>
        <v>202038007</v>
      </c>
      <c r="S100" s="179">
        <f t="shared" si="2"/>
        <v>0.9130678615</v>
      </c>
      <c r="T100" s="179"/>
      <c r="U100" s="180"/>
      <c r="V100" s="180"/>
      <c r="W100" s="180"/>
      <c r="X100" s="180"/>
      <c r="Y100" s="180"/>
      <c r="Z100" s="180"/>
    </row>
    <row r="101" ht="14.25" customHeight="1">
      <c r="A101" s="182" t="s">
        <v>523</v>
      </c>
      <c r="B101" s="182" t="s">
        <v>526</v>
      </c>
      <c r="C101" s="182" t="s">
        <v>526</v>
      </c>
      <c r="D101" s="182" t="s">
        <v>937</v>
      </c>
      <c r="E101" s="182" t="s">
        <v>938</v>
      </c>
      <c r="F101" s="182" t="s">
        <v>946</v>
      </c>
      <c r="G101" s="182"/>
      <c r="H101" s="179"/>
      <c r="I101" s="179"/>
      <c r="J101" s="182" t="s">
        <v>948</v>
      </c>
      <c r="K101" s="182">
        <v>91993.0</v>
      </c>
      <c r="L101" s="182">
        <v>771327.0</v>
      </c>
      <c r="M101" s="182">
        <v>4988.0</v>
      </c>
      <c r="N101" s="182">
        <v>96981.0</v>
      </c>
      <c r="O101" s="182">
        <v>3610451.0</v>
      </c>
      <c r="P101" s="182">
        <v>8.506E10</v>
      </c>
      <c r="Q101" s="179"/>
      <c r="R101" s="179">
        <f t="shared" si="1"/>
        <v>3707432</v>
      </c>
      <c r="S101" s="179">
        <f t="shared" si="2"/>
        <v>0.9738414622</v>
      </c>
      <c r="T101" s="179"/>
      <c r="U101" s="180"/>
      <c r="V101" s="180"/>
      <c r="W101" s="180"/>
      <c r="X101" s="180"/>
      <c r="Y101" s="180"/>
      <c r="Z101" s="180"/>
    </row>
    <row r="102" ht="14.2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4.2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4.2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4.2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4.2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4.2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4.2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4.2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4.2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4.2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4.2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4.2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4.2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4.2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4.2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4.2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4.2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4.2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4.2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4.2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4.2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4.2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4.2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4.2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4.2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4.2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4.2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4.2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4.2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4.2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4.2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4.2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4.2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4.2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4.2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4.2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4.2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4.2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4.2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4.2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4.2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4.2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4.2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4.2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4.2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4.2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4.2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4.2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4.2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4.2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4.2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4.2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4.2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4.2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4.2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4.2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4.2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4.2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4.2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4.2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4.2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4.2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4.2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4.2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4.2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4.2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4.2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4.2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4.2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4.2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4.2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4.2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4.2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4.2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4.2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4.2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4.2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4.2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4.2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4.2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4.2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4.2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4.2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4.2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4.2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4.2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4.2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4.2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4.2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4.2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4.2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4.2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4.2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4.2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4.2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4.2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4.2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4.2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4.2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4.2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4.2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4.2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4.2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4.2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4.2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4.2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4.2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4.2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4.2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4.2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4.2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4.2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4.2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4.2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4.2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4.2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4.2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4.2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4.2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4.2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4.2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4.2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4.2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4.2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4.2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4.2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4.2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4.2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4.2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4.2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4.2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4.2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4.2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4.2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4.2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4.2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4.2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4.2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4.2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4.2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4.2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4.2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4.2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4.2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4.2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4.2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4.2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4.2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4.2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4.2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4.2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4.2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4.2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4.2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4.2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4.2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4.2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4.2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4.2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4.2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4.2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4.2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4.2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4.2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4.2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4.2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4.2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4.2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4.2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4.2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4.2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4.2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4.2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4.2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4.2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4.2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4.2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4.2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4.2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4.2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4.2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4.2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4.2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4.2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4.2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4.2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4.2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4.2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4.2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4.2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4.2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4.2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4.2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4.2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4.2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4.2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4.2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4.2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4.2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4.2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4.2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4.2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4.2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4.2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4.2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4.2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4.2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4.2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4.2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4.2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4.2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4.2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4.2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4.2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4.2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4.2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4.2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4.2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4.2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4.2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4.2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4.2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4.2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4.2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4.2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4.2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4.2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4.2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4.2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4.2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4.2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4.2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4.2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4.2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4.2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4.2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4.2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4.2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4.2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4.2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4.2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4.2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4.2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4.2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4.2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4.2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4.2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4.2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4.2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4.2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4.2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4.2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4.2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4.2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4.2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4.2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4.2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4.2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4.2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4.2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4.2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4.2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4.2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4.2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4.2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4.2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4.2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4.2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4.2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4.2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4.2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4.2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4.2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4.2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4.2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4.2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4.2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4.2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4.2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4.2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4.2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4.2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4.2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4.2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4.2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4.2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4.2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4.2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4.2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4.2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4.2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4.2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4.2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4.2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4.2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4.2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4.2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4.2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4.2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4.2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4.2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4.2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4.2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4.2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4.2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4.2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4.2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4.2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4.2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4.2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4.2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4.2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4.2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4.2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4.2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4.2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4.2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4.2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4.2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4.2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4.2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4.2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4.2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4.2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4.2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4.2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4.2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4.2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4.2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4.2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4.2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4.2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4.2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4.2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4.2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4.2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4.2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4.2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4.2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4.2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4.2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4.2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4.2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4.2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4.2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4.2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4.2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4.2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4.2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4.2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4.2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4.2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4.2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4.2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4.2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4.2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4.2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4.2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4.2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4.2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4.2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4.2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4.2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4.2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4.2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4.2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4.2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4.2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4.2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4.2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4.2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4.2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4.2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4.2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4.2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4.2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4.2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4.2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4.2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4.2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4.2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4.2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4.2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4.2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4.2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4.2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4.2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4.2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4.2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4.2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4.2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4.2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4.2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4.2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4.2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4.2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4.2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4.2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4.2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4.2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4.2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4.2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4.2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4.2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4.2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4.2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4.2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4.2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4.2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4.2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4.2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4.2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4.2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4.2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4.2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4.2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4.2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4.2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4.2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4.2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4.2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4.2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4.2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4.2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4.2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4.2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4.2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4.2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4.2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4.2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4.2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4.2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4.2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4.2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4.2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4.2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4.2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4.2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4.2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4.2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4.2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4.2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4.2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4.2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4.2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4.2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4.2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4.2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4.2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4.2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4.2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4.2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4.2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4.2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4.2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4.2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4.2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4.2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4.2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4.2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4.2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4.2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4.2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4.2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4.2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4.2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4.2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4.2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4.2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4.2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4.2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4.2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4.2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4.2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4.2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4.2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4.2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4.2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4.2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4.2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4.2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4.2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4.2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4.2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4.2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4.2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4.2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4.2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4.2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4.2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4.2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4.2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4.2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4.2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4.2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4.2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4.2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4.2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4.2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4.2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4.2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4.2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4.2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4.2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4.2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4.2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4.2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4.2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4.2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4.2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4.2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4.2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4.2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4.2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4.2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4.2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4.2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4.2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4.2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4.2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4.2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4.2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4.2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4.2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4.2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4.2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4.2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4.2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4.2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4.2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4.2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4.2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4.2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4.2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4.2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4.2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4.2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4.2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4.2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4.2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4.2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4.2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4.2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4.2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4.2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4.2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4.2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4.2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4.2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4.2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4.2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4.2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4.2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4.2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4.2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4.2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4.2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4.2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4.2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4.2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4.2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4.2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4.2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4.2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4.2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4.2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4.2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4.2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4.2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4.2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4.2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4.2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4.2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4.2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4.2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4.2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4.2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4.2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4.2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4.2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4.2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4.2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4.2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4.2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4.2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4.2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4.2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4.2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4.2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4.2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4.2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4.2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4.2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4.2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4.2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4.2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4.2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4.2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4.2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4.2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4.2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4.2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4.2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4.2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4.2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4.2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4.2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4.2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4.2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4.2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4.2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4.2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4.2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4.2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4.2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4.2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4.2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4.2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4.2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4.2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4.2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4.2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4.2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4.2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4.2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4.2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4.2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4.2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4.2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4.2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4.2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4.2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4.2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4.2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4.2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4.2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4.2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4.2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4.2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4.2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4.2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4.2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4.2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4.2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4.2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4.2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4.2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4.2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4.2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4.2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4.2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4.2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4.2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4.2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4.2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4.2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4.2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4.2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4.2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4.2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4.2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4.2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4.2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4.2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4.2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4.2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4.2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4.2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4.2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4.2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4.2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4.2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4.2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4.2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4.2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4.2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4.2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4.2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4.2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4.2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4.2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4.2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4.2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4.2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4.2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4.2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4.2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4.2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4.2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4.2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4.2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4.2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4.2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4.2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4.2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4.2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4.2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4.2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4.2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4.2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4.2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4.2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4.2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4.2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4.2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4.2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4.2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4.2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4.2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4.2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4.2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4.2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4.2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4.2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4.2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4.2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4.2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4.2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4.2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4.2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4.2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4.2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4.2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4.2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4.2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4.2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4.2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4.2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4.2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4.2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4.2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4.2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4.2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4.2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4.2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4.2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4.2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4.2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4.2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4.2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4.2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4.2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4.2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4.2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4.2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4.2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4.2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4.2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4.2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4.2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4.2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4.2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4.2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4.2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4.2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4.2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4.2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4.2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4.2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4.2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4.2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4.2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4.2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4.2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4.2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4.2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4.2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4.2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4.2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4.2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4.2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4.2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4.2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4.2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4.2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4.2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4.2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4.2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4.2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4.2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4.2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4.2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4.2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4.2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4.2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4.2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4.2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4.2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4.2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4.2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4.2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4.2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4.2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4.2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4.2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4.2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4.2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4.2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4.2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4.2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4.2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4.2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4.2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4.2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4.2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4.2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4.2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4.2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4.2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4.2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4.2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4.2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4.2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4.2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4.2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4.2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4.2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4.2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4.2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4.2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4.2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4.2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4.2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4.2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4.2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4.2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4.2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4.2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4.2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4.2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4.2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4.2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4.2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4.2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4.2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4.2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4.2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4.2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4.2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4.2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4.2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4.2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4.2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4.2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4.2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4.2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4.2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4.2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4.2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4.2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4.2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4.2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4.2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4.2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4.2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4.2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4.2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4.2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4.2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4.2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4.2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4.2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4.2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4.2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4.2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4.2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4.2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4.2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4.2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4.2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4.2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4.2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4.2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4.2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4.2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4.2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4.2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4.2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4.2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4.2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4.2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4.2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4.2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4.2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4.2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4.2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4.2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4.2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4.2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4.2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4.2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4.2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4.2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4.2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4.2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4.2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4.2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4.2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4.2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198" t="s">
        <v>2</v>
      </c>
      <c r="B1" s="198" t="s">
        <v>599</v>
      </c>
      <c r="C1" s="198" t="s">
        <v>594</v>
      </c>
      <c r="D1" s="198" t="s">
        <v>984</v>
      </c>
      <c r="E1" s="3" t="s">
        <v>675</v>
      </c>
      <c r="F1" s="198" t="s">
        <v>985</v>
      </c>
      <c r="G1" s="3" t="s">
        <v>986</v>
      </c>
      <c r="H1" s="3" t="s">
        <v>606</v>
      </c>
      <c r="I1" s="3" t="s">
        <v>987</v>
      </c>
      <c r="J1" s="3" t="s">
        <v>988</v>
      </c>
      <c r="K1" s="3" t="s">
        <v>989</v>
      </c>
      <c r="L1" s="198" t="s">
        <v>601</v>
      </c>
      <c r="M1" s="198" t="s">
        <v>990</v>
      </c>
      <c r="N1" s="198" t="s">
        <v>991</v>
      </c>
      <c r="O1" s="198" t="s">
        <v>992</v>
      </c>
      <c r="P1" s="198" t="s">
        <v>993</v>
      </c>
      <c r="Q1" s="198" t="s">
        <v>994</v>
      </c>
      <c r="R1" s="198" t="s">
        <v>995</v>
      </c>
      <c r="S1" s="198" t="s">
        <v>996</v>
      </c>
      <c r="T1" s="198" t="s">
        <v>997</v>
      </c>
      <c r="U1" s="198" t="s">
        <v>998</v>
      </c>
      <c r="V1" s="4"/>
      <c r="W1" s="4"/>
      <c r="X1" s="4"/>
      <c r="Y1" s="4"/>
      <c r="Z1" s="4"/>
      <c r="AA1" s="4"/>
      <c r="AB1" s="4"/>
      <c r="AC1" s="4"/>
      <c r="AD1" s="4"/>
      <c r="AE1" s="4"/>
      <c r="AF1" s="4"/>
      <c r="AG1" s="4"/>
      <c r="AH1" s="4"/>
      <c r="AI1" s="4"/>
      <c r="AJ1" s="4"/>
      <c r="AK1" s="4"/>
      <c r="AL1" s="4"/>
      <c r="AM1" s="4"/>
      <c r="AN1" s="4"/>
      <c r="AO1" s="4"/>
    </row>
    <row r="2" ht="12.75" hidden="1" customHeight="1">
      <c r="A2" s="199">
        <v>1.0</v>
      </c>
      <c r="B2" s="199" t="s">
        <v>895</v>
      </c>
      <c r="C2" s="199" t="s">
        <v>896</v>
      </c>
      <c r="D2" s="199" t="s">
        <v>999</v>
      </c>
      <c r="E2" s="4" t="s">
        <v>683</v>
      </c>
      <c r="F2" s="199">
        <v>2015.0</v>
      </c>
      <c r="G2" s="4" t="s">
        <v>1000</v>
      </c>
      <c r="H2" s="200">
        <v>2002.0</v>
      </c>
      <c r="I2" s="200" t="s">
        <v>683</v>
      </c>
      <c r="J2" s="199">
        <v>1.83E7</v>
      </c>
      <c r="K2" s="199">
        <v>100.0</v>
      </c>
      <c r="L2" s="199">
        <v>2025.0</v>
      </c>
      <c r="M2" s="199">
        <v>50.0</v>
      </c>
      <c r="N2" s="200" t="s">
        <v>683</v>
      </c>
      <c r="O2" s="199">
        <v>9150000.0</v>
      </c>
      <c r="P2" s="199">
        <v>5830000.0</v>
      </c>
      <c r="Q2" s="200"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199">
        <v>3.0</v>
      </c>
      <c r="B3" s="199" t="s">
        <v>895</v>
      </c>
      <c r="C3" s="199" t="s">
        <v>896</v>
      </c>
      <c r="D3" s="199" t="s">
        <v>1004</v>
      </c>
      <c r="E3" s="4" t="s">
        <v>683</v>
      </c>
      <c r="F3" s="199">
        <v>2016.0</v>
      </c>
      <c r="G3" s="4" t="s">
        <v>1000</v>
      </c>
      <c r="H3" s="200">
        <v>2015.0</v>
      </c>
      <c r="I3" s="200" t="s">
        <v>683</v>
      </c>
      <c r="J3" s="199">
        <v>665467.0</v>
      </c>
      <c r="K3" s="199">
        <v>100.0</v>
      </c>
      <c r="L3" s="199">
        <v>2025.0</v>
      </c>
      <c r="M3" s="199">
        <v>25.0</v>
      </c>
      <c r="N3" s="200" t="s">
        <v>683</v>
      </c>
      <c r="O3" s="199">
        <v>499100.25</v>
      </c>
      <c r="P3" s="199">
        <v>558105.0</v>
      </c>
      <c r="Q3" s="200"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199">
        <v>3.0</v>
      </c>
      <c r="B4" s="199" t="s">
        <v>895</v>
      </c>
      <c r="C4" s="199" t="s">
        <v>896</v>
      </c>
      <c r="D4" s="199" t="s">
        <v>1004</v>
      </c>
      <c r="E4" s="4" t="s">
        <v>683</v>
      </c>
      <c r="F4" s="199">
        <v>2016.0</v>
      </c>
      <c r="G4" s="4" t="s">
        <v>1000</v>
      </c>
      <c r="H4" s="200">
        <v>2015.0</v>
      </c>
      <c r="I4" s="200" t="s">
        <v>683</v>
      </c>
      <c r="J4" s="199">
        <v>665467.0</v>
      </c>
      <c r="K4" s="199">
        <v>100.0</v>
      </c>
      <c r="L4" s="199">
        <v>2035.0</v>
      </c>
      <c r="M4" s="199">
        <v>50.0</v>
      </c>
      <c r="N4" s="200" t="s">
        <v>683</v>
      </c>
      <c r="O4" s="199">
        <v>332733.5</v>
      </c>
      <c r="P4" s="199">
        <v>558105.0</v>
      </c>
      <c r="Q4" s="200"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199">
        <v>4.0</v>
      </c>
      <c r="B5" s="199" t="s">
        <v>895</v>
      </c>
      <c r="C5" s="199" t="s">
        <v>896</v>
      </c>
      <c r="D5" s="199" t="s">
        <v>1007</v>
      </c>
      <c r="E5" s="4" t="s">
        <v>683</v>
      </c>
      <c r="F5" s="199">
        <v>2016.0</v>
      </c>
      <c r="G5" s="4" t="s">
        <v>1000</v>
      </c>
      <c r="H5" s="200">
        <v>2016.0</v>
      </c>
      <c r="I5" s="200" t="s">
        <v>683</v>
      </c>
      <c r="J5" s="199">
        <v>1257636.0</v>
      </c>
      <c r="K5" s="199">
        <v>100.0</v>
      </c>
      <c r="L5" s="199">
        <v>2025.0</v>
      </c>
      <c r="M5" s="199">
        <v>11.0</v>
      </c>
      <c r="N5" s="200" t="s">
        <v>683</v>
      </c>
      <c r="O5" s="199">
        <v>1119296.04</v>
      </c>
      <c r="P5" s="199">
        <v>1166256.0</v>
      </c>
      <c r="Q5" s="200"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199">
        <v>5.0</v>
      </c>
      <c r="B6" s="199" t="s">
        <v>895</v>
      </c>
      <c r="C6" s="199" t="s">
        <v>896</v>
      </c>
      <c r="D6" s="199" t="s">
        <v>1004</v>
      </c>
      <c r="E6" s="4" t="s">
        <v>683</v>
      </c>
      <c r="F6" s="199">
        <v>2016.0</v>
      </c>
      <c r="G6" s="4" t="s">
        <v>1000</v>
      </c>
      <c r="H6" s="200">
        <v>2015.0</v>
      </c>
      <c r="I6" s="200" t="s">
        <v>683</v>
      </c>
      <c r="J6" s="199">
        <v>64736.0</v>
      </c>
      <c r="K6" s="199">
        <v>100.0</v>
      </c>
      <c r="L6" s="199">
        <v>2025.0</v>
      </c>
      <c r="M6" s="199">
        <v>25.0</v>
      </c>
      <c r="N6" s="200" t="s">
        <v>683</v>
      </c>
      <c r="O6" s="199">
        <v>48552.0</v>
      </c>
      <c r="P6" s="199">
        <v>55710.0</v>
      </c>
      <c r="Q6" s="200"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199">
        <v>5.0</v>
      </c>
      <c r="B7" s="199" t="s">
        <v>895</v>
      </c>
      <c r="C7" s="199" t="s">
        <v>896</v>
      </c>
      <c r="D7" s="199" t="s">
        <v>1004</v>
      </c>
      <c r="E7" s="4" t="s">
        <v>683</v>
      </c>
      <c r="F7" s="199">
        <v>2016.0</v>
      </c>
      <c r="G7" s="4" t="s">
        <v>1000</v>
      </c>
      <c r="H7" s="200">
        <v>2015.0</v>
      </c>
      <c r="I7" s="200" t="s">
        <v>683</v>
      </c>
      <c r="J7" s="199">
        <v>64736.0</v>
      </c>
      <c r="K7" s="199">
        <v>100.0</v>
      </c>
      <c r="L7" s="199">
        <v>2035.0</v>
      </c>
      <c r="M7" s="199">
        <v>80.0</v>
      </c>
      <c r="N7" s="200" t="s">
        <v>683</v>
      </c>
      <c r="O7" s="199">
        <v>12947.2</v>
      </c>
      <c r="P7" s="199">
        <v>55710.0</v>
      </c>
      <c r="Q7" s="200"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199">
        <v>5.0</v>
      </c>
      <c r="B8" s="199" t="s">
        <v>895</v>
      </c>
      <c r="C8" s="199" t="s">
        <v>689</v>
      </c>
      <c r="D8" s="199" t="s">
        <v>1012</v>
      </c>
      <c r="E8" s="4" t="s">
        <v>683</v>
      </c>
      <c r="F8" s="199">
        <v>2014.0</v>
      </c>
      <c r="G8" s="4" t="s">
        <v>1000</v>
      </c>
      <c r="H8" s="200">
        <v>2013.0</v>
      </c>
      <c r="I8" s="200" t="s">
        <v>683</v>
      </c>
      <c r="J8" s="199">
        <v>10444.0</v>
      </c>
      <c r="K8" s="199">
        <v>100.0</v>
      </c>
      <c r="L8" s="199">
        <v>2020.0</v>
      </c>
      <c r="M8" s="199">
        <v>100.0</v>
      </c>
      <c r="N8" s="200" t="s">
        <v>683</v>
      </c>
      <c r="O8" s="199">
        <v>0.0</v>
      </c>
      <c r="P8" s="199">
        <v>0.0</v>
      </c>
      <c r="Q8" s="200"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199">
        <v>7.0</v>
      </c>
      <c r="B9" s="199" t="s">
        <v>895</v>
      </c>
      <c r="C9" s="199" t="s">
        <v>896</v>
      </c>
      <c r="D9" s="199" t="s">
        <v>1007</v>
      </c>
      <c r="E9" s="4" t="s">
        <v>683</v>
      </c>
      <c r="F9" s="199">
        <v>2019.0</v>
      </c>
      <c r="G9" s="4" t="s">
        <v>1000</v>
      </c>
      <c r="H9" s="200">
        <v>2019.0</v>
      </c>
      <c r="I9" s="200" t="s">
        <v>683</v>
      </c>
      <c r="J9" s="199">
        <v>1402953.0</v>
      </c>
      <c r="K9" s="199">
        <v>100.0</v>
      </c>
      <c r="L9" s="199">
        <v>2019.0</v>
      </c>
      <c r="M9" s="199">
        <v>100.0</v>
      </c>
      <c r="N9" s="200" t="s">
        <v>683</v>
      </c>
      <c r="O9" s="199">
        <v>0.0</v>
      </c>
      <c r="P9" s="199">
        <v>0.0</v>
      </c>
      <c r="Q9" s="200"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199">
        <v>7.0</v>
      </c>
      <c r="B10" s="199" t="s">
        <v>895</v>
      </c>
      <c r="C10" s="199" t="s">
        <v>896</v>
      </c>
      <c r="D10" s="199" t="s">
        <v>1004</v>
      </c>
      <c r="E10" s="4" t="s">
        <v>683</v>
      </c>
      <c r="F10" s="199">
        <v>2015.0</v>
      </c>
      <c r="G10" s="4" t="s">
        <v>1000</v>
      </c>
      <c r="H10" s="200">
        <v>2015.0</v>
      </c>
      <c r="I10" s="200" t="s">
        <v>683</v>
      </c>
      <c r="J10" s="199">
        <v>1451418.0</v>
      </c>
      <c r="K10" s="199">
        <v>100.0</v>
      </c>
      <c r="L10" s="199">
        <v>2025.0</v>
      </c>
      <c r="M10" s="199">
        <v>100.0</v>
      </c>
      <c r="N10" s="200" t="s">
        <v>683</v>
      </c>
      <c r="O10" s="199">
        <v>0.0</v>
      </c>
      <c r="P10" s="199">
        <v>0.0</v>
      </c>
      <c r="Q10" s="200"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199">
        <v>7.0</v>
      </c>
      <c r="B11" s="199" t="s">
        <v>895</v>
      </c>
      <c r="C11" s="199" t="s">
        <v>896</v>
      </c>
      <c r="D11" s="199" t="s">
        <v>1004</v>
      </c>
      <c r="E11" s="4" t="s">
        <v>683</v>
      </c>
      <c r="F11" s="199">
        <v>2015.0</v>
      </c>
      <c r="G11" s="4" t="s">
        <v>1000</v>
      </c>
      <c r="H11" s="200">
        <v>2015.0</v>
      </c>
      <c r="I11" s="200" t="s">
        <v>683</v>
      </c>
      <c r="J11" s="199">
        <v>1451418.0</v>
      </c>
      <c r="K11" s="199">
        <v>100.0</v>
      </c>
      <c r="L11" s="199">
        <v>2040.0</v>
      </c>
      <c r="M11" s="199">
        <v>100.0</v>
      </c>
      <c r="N11" s="200" t="s">
        <v>683</v>
      </c>
      <c r="O11" s="199">
        <v>0.0</v>
      </c>
      <c r="P11" s="199">
        <v>0.0</v>
      </c>
      <c r="Q11" s="200"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199">
        <v>8.0</v>
      </c>
      <c r="B12" s="199" t="s">
        <v>895</v>
      </c>
      <c r="C12" s="199" t="s">
        <v>896</v>
      </c>
      <c r="D12" s="199" t="s">
        <v>999</v>
      </c>
      <c r="E12" s="4" t="s">
        <v>683</v>
      </c>
      <c r="F12" s="199">
        <v>2016.0</v>
      </c>
      <c r="G12" s="4" t="s">
        <v>1000</v>
      </c>
      <c r="H12" s="200">
        <v>2015.0</v>
      </c>
      <c r="I12" s="200" t="s">
        <v>683</v>
      </c>
      <c r="J12" s="199">
        <v>392172.0</v>
      </c>
      <c r="K12" s="199">
        <v>100.0</v>
      </c>
      <c r="L12" s="199">
        <v>2025.0</v>
      </c>
      <c r="M12" s="199">
        <v>20.0</v>
      </c>
      <c r="N12" s="200" t="s">
        <v>683</v>
      </c>
      <c r="O12" s="199">
        <v>313737.6</v>
      </c>
      <c r="P12" s="199">
        <v>305766.0</v>
      </c>
      <c r="Q12" s="200"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199">
        <v>8.0</v>
      </c>
      <c r="B13" s="199" t="s">
        <v>895</v>
      </c>
      <c r="C13" s="199" t="s">
        <v>689</v>
      </c>
      <c r="D13" s="199" t="s">
        <v>1021</v>
      </c>
      <c r="E13" s="4" t="s">
        <v>683</v>
      </c>
      <c r="F13" s="199">
        <v>2018.0</v>
      </c>
      <c r="G13" s="4" t="s">
        <v>1000</v>
      </c>
      <c r="H13" s="200">
        <v>2017.0</v>
      </c>
      <c r="I13" s="200" t="s">
        <v>683</v>
      </c>
      <c r="J13" s="199">
        <v>5264365.0</v>
      </c>
      <c r="K13" s="199">
        <v>100.0</v>
      </c>
      <c r="L13" s="199">
        <v>2030.0</v>
      </c>
      <c r="M13" s="199">
        <v>15.0</v>
      </c>
      <c r="N13" s="200" t="s">
        <v>683</v>
      </c>
      <c r="O13" s="199">
        <v>4474710.25</v>
      </c>
      <c r="P13" s="199">
        <v>5227733.0</v>
      </c>
      <c r="Q13" s="200"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199">
        <v>8.0</v>
      </c>
      <c r="B14" s="199" t="s">
        <v>895</v>
      </c>
      <c r="C14" s="199" t="s">
        <v>896</v>
      </c>
      <c r="D14" s="199" t="s">
        <v>1004</v>
      </c>
      <c r="E14" s="4" t="s">
        <v>683</v>
      </c>
      <c r="F14" s="199">
        <v>2019.0</v>
      </c>
      <c r="G14" s="4" t="s">
        <v>1000</v>
      </c>
      <c r="H14" s="200">
        <v>2017.0</v>
      </c>
      <c r="I14" s="200" t="s">
        <v>683</v>
      </c>
      <c r="J14" s="199">
        <v>337007.0</v>
      </c>
      <c r="K14" s="199">
        <v>100.0</v>
      </c>
      <c r="L14" s="199">
        <v>2030.0</v>
      </c>
      <c r="M14" s="199">
        <v>55.0</v>
      </c>
      <c r="N14" s="200" t="s">
        <v>683</v>
      </c>
      <c r="O14" s="199">
        <v>151653.15</v>
      </c>
      <c r="P14" s="199">
        <v>302416.0</v>
      </c>
      <c r="Q14" s="200"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199">
        <v>8.0</v>
      </c>
      <c r="B15" s="199" t="s">
        <v>895</v>
      </c>
      <c r="C15" s="199" t="s">
        <v>689</v>
      </c>
      <c r="D15" s="199" t="s">
        <v>1021</v>
      </c>
      <c r="E15" s="4" t="s">
        <v>683</v>
      </c>
      <c r="F15" s="199">
        <v>2019.0</v>
      </c>
      <c r="G15" s="4" t="s">
        <v>1000</v>
      </c>
      <c r="H15" s="200">
        <v>2017.0</v>
      </c>
      <c r="I15" s="200" t="s">
        <v>683</v>
      </c>
      <c r="J15" s="199">
        <v>5264365.0</v>
      </c>
      <c r="K15" s="199">
        <v>100.0</v>
      </c>
      <c r="L15" s="199">
        <v>2030.0</v>
      </c>
      <c r="M15" s="199">
        <v>18.0</v>
      </c>
      <c r="N15" s="200" t="s">
        <v>683</v>
      </c>
      <c r="O15" s="199">
        <v>4316779.3</v>
      </c>
      <c r="P15" s="199">
        <v>5227733.0</v>
      </c>
      <c r="Q15" s="200"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199">
        <v>10.0</v>
      </c>
      <c r="B16" s="199" t="s">
        <v>895</v>
      </c>
      <c r="C16" s="199" t="s">
        <v>899</v>
      </c>
      <c r="D16" s="199" t="s">
        <v>1027</v>
      </c>
      <c r="E16" s="4" t="s">
        <v>683</v>
      </c>
      <c r="F16" s="199">
        <v>2018.0</v>
      </c>
      <c r="G16" s="4" t="s">
        <v>1000</v>
      </c>
      <c r="H16" s="200">
        <v>2011.0</v>
      </c>
      <c r="I16" s="200" t="s">
        <v>683</v>
      </c>
      <c r="J16" s="199">
        <v>188349.0</v>
      </c>
      <c r="K16" s="199">
        <v>100.0</v>
      </c>
      <c r="L16" s="199">
        <v>2025.0</v>
      </c>
      <c r="M16" s="199">
        <v>100.0</v>
      </c>
      <c r="N16" s="200" t="s">
        <v>683</v>
      </c>
      <c r="O16" s="199">
        <v>0.0</v>
      </c>
      <c r="P16" s="199">
        <v>0.0</v>
      </c>
      <c r="Q16" s="200"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199">
        <v>10.0</v>
      </c>
      <c r="B17" s="199" t="s">
        <v>895</v>
      </c>
      <c r="C17" s="199" t="s">
        <v>899</v>
      </c>
      <c r="D17" s="199" t="s">
        <v>1027</v>
      </c>
      <c r="E17" s="4" t="s">
        <v>683</v>
      </c>
      <c r="F17" s="199">
        <v>2018.0</v>
      </c>
      <c r="G17" s="4" t="s">
        <v>1000</v>
      </c>
      <c r="H17" s="200">
        <v>2011.0</v>
      </c>
      <c r="I17" s="200" t="s">
        <v>683</v>
      </c>
      <c r="J17" s="199">
        <v>188349.0</v>
      </c>
      <c r="K17" s="199">
        <v>100.0</v>
      </c>
      <c r="L17" s="199">
        <v>2040.0</v>
      </c>
      <c r="M17" s="199">
        <v>100.0</v>
      </c>
      <c r="N17" s="200" t="s">
        <v>683</v>
      </c>
      <c r="O17" s="199">
        <v>0.0</v>
      </c>
      <c r="P17" s="199">
        <v>0.0</v>
      </c>
      <c r="Q17" s="200"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199">
        <v>11.0</v>
      </c>
      <c r="B18" s="199" t="s">
        <v>895</v>
      </c>
      <c r="C18" s="199" t="s">
        <v>896</v>
      </c>
      <c r="D18" s="199" t="s">
        <v>999</v>
      </c>
      <c r="E18" s="4" t="s">
        <v>683</v>
      </c>
      <c r="F18" s="199">
        <v>2010.0</v>
      </c>
      <c r="G18" s="4" t="s">
        <v>1031</v>
      </c>
      <c r="H18" s="200">
        <v>2010.0</v>
      </c>
      <c r="I18" s="200" t="s">
        <v>683</v>
      </c>
      <c r="J18" s="199">
        <v>3964.0</v>
      </c>
      <c r="K18" s="199">
        <v>23.0</v>
      </c>
      <c r="L18" s="199">
        <v>2020.0</v>
      </c>
      <c r="M18" s="199">
        <v>20.0</v>
      </c>
      <c r="N18" s="200" t="s">
        <v>683</v>
      </c>
      <c r="O18" s="199">
        <v>3171.2</v>
      </c>
      <c r="P18" s="199">
        <v>1232.0</v>
      </c>
      <c r="Q18" s="200"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199">
        <v>12.0</v>
      </c>
      <c r="B19" s="199" t="s">
        <v>895</v>
      </c>
      <c r="C19" s="199" t="s">
        <v>900</v>
      </c>
      <c r="D19" s="199" t="s">
        <v>1033</v>
      </c>
      <c r="E19" s="4" t="s">
        <v>683</v>
      </c>
      <c r="F19" s="199">
        <v>2018.0</v>
      </c>
      <c r="G19" s="201"/>
      <c r="H19" s="200">
        <v>2017.0</v>
      </c>
      <c r="I19" s="200" t="s">
        <v>683</v>
      </c>
      <c r="J19" s="199">
        <v>651065.0</v>
      </c>
      <c r="K19" s="199">
        <v>26.0</v>
      </c>
      <c r="L19" s="199">
        <v>2027.0</v>
      </c>
      <c r="M19" s="199">
        <v>60.0</v>
      </c>
      <c r="N19" s="200" t="s">
        <v>683</v>
      </c>
      <c r="O19" s="199">
        <v>260426.0</v>
      </c>
      <c r="P19" s="199">
        <v>556281.0</v>
      </c>
      <c r="Q19" s="200"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199">
        <v>13.0</v>
      </c>
      <c r="B20" s="199" t="s">
        <v>895</v>
      </c>
      <c r="C20" s="199" t="s">
        <v>896</v>
      </c>
      <c r="D20" s="199" t="s">
        <v>999</v>
      </c>
      <c r="E20" s="4" t="s">
        <v>683</v>
      </c>
      <c r="F20" s="199">
        <v>2013.0</v>
      </c>
      <c r="G20" s="4" t="s">
        <v>1000</v>
      </c>
      <c r="H20" s="200">
        <v>2012.0</v>
      </c>
      <c r="I20" s="200" t="s">
        <v>683</v>
      </c>
      <c r="J20" s="199">
        <v>385000.0</v>
      </c>
      <c r="K20" s="199">
        <v>94.0</v>
      </c>
      <c r="L20" s="199">
        <v>2020.0</v>
      </c>
      <c r="M20" s="199">
        <v>10.0</v>
      </c>
      <c r="N20" s="200" t="s">
        <v>683</v>
      </c>
      <c r="O20" s="199">
        <v>346500.0</v>
      </c>
      <c r="P20" s="199">
        <v>265588.0</v>
      </c>
      <c r="Q20" s="200"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199">
        <v>14.0</v>
      </c>
      <c r="B21" s="199" t="s">
        <v>895</v>
      </c>
      <c r="C21" s="199" t="s">
        <v>896</v>
      </c>
      <c r="D21" s="199" t="s">
        <v>1004</v>
      </c>
      <c r="E21" s="4" t="s">
        <v>683</v>
      </c>
      <c r="F21" s="199">
        <v>2012.0</v>
      </c>
      <c r="G21" s="4" t="s">
        <v>1000</v>
      </c>
      <c r="H21" s="200">
        <v>2012.0</v>
      </c>
      <c r="I21" s="200" t="s">
        <v>683</v>
      </c>
      <c r="J21" s="199">
        <v>160400.0</v>
      </c>
      <c r="K21" s="199">
        <v>100.0</v>
      </c>
      <c r="L21" s="199">
        <v>2020.0</v>
      </c>
      <c r="M21" s="199">
        <v>7.0</v>
      </c>
      <c r="N21" s="200" t="s">
        <v>683</v>
      </c>
      <c r="O21" s="199">
        <v>149172.0</v>
      </c>
      <c r="P21" s="199">
        <v>50550.0</v>
      </c>
      <c r="Q21" s="200"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199">
        <v>14.0</v>
      </c>
      <c r="B22" s="199" t="s">
        <v>895</v>
      </c>
      <c r="C22" s="199" t="s">
        <v>896</v>
      </c>
      <c r="D22" s="199" t="s">
        <v>1004</v>
      </c>
      <c r="E22" s="4" t="s">
        <v>683</v>
      </c>
      <c r="F22" s="199">
        <v>2012.0</v>
      </c>
      <c r="G22" s="4" t="s">
        <v>1000</v>
      </c>
      <c r="H22" s="200">
        <v>2012.0</v>
      </c>
      <c r="I22" s="200" t="s">
        <v>683</v>
      </c>
      <c r="J22" s="199">
        <v>160400.0</v>
      </c>
      <c r="K22" s="199">
        <v>100.0</v>
      </c>
      <c r="L22" s="199">
        <v>2036.0</v>
      </c>
      <c r="M22" s="199">
        <v>52.0</v>
      </c>
      <c r="N22" s="200" t="s">
        <v>683</v>
      </c>
      <c r="O22" s="199">
        <v>76992.0</v>
      </c>
      <c r="P22" s="199">
        <v>50550.0</v>
      </c>
      <c r="Q22" s="200"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199">
        <v>14.0</v>
      </c>
      <c r="B23" s="199" t="s">
        <v>895</v>
      </c>
      <c r="C23" s="199" t="s">
        <v>902</v>
      </c>
      <c r="D23" s="199" t="s">
        <v>1038</v>
      </c>
      <c r="E23" s="4" t="s">
        <v>683</v>
      </c>
      <c r="F23" s="199">
        <v>2011.0</v>
      </c>
      <c r="G23" s="4" t="s">
        <v>1000</v>
      </c>
      <c r="H23" s="200">
        <v>2011.0</v>
      </c>
      <c r="I23" s="200" t="s">
        <v>683</v>
      </c>
      <c r="J23" s="199">
        <v>154270.0</v>
      </c>
      <c r="K23" s="199">
        <v>100.0</v>
      </c>
      <c r="L23" s="199">
        <v>2019.0</v>
      </c>
      <c r="M23" s="199">
        <v>100.0</v>
      </c>
      <c r="N23" s="200" t="s">
        <v>683</v>
      </c>
      <c r="O23" s="199">
        <v>0.0</v>
      </c>
      <c r="P23" s="199">
        <v>0.0</v>
      </c>
      <c r="Q23" s="200"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199">
        <v>14.0</v>
      </c>
      <c r="B24" s="199" t="s">
        <v>895</v>
      </c>
      <c r="C24" s="199" t="s">
        <v>896</v>
      </c>
      <c r="D24" s="199" t="s">
        <v>1040</v>
      </c>
      <c r="E24" s="4" t="s">
        <v>683</v>
      </c>
      <c r="F24" s="199">
        <v>2020.0</v>
      </c>
      <c r="G24" s="4" t="s">
        <v>1000</v>
      </c>
      <c r="H24" s="200">
        <v>2015.0</v>
      </c>
      <c r="I24" s="200" t="s">
        <v>683</v>
      </c>
      <c r="J24" s="199">
        <v>3.84E7</v>
      </c>
      <c r="K24" s="199">
        <v>100.0</v>
      </c>
      <c r="L24" s="199">
        <v>2030.0</v>
      </c>
      <c r="M24" s="199">
        <v>75.0</v>
      </c>
      <c r="N24" s="200" t="s">
        <v>683</v>
      </c>
      <c r="O24" s="199">
        <v>9600000.0</v>
      </c>
      <c r="P24" s="199">
        <v>2.51E7</v>
      </c>
      <c r="Q24" s="200"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199">
        <v>15.0</v>
      </c>
      <c r="B25" s="199" t="s">
        <v>895</v>
      </c>
      <c r="C25" s="199" t="s">
        <v>900</v>
      </c>
      <c r="D25" s="199" t="s">
        <v>1033</v>
      </c>
      <c r="E25" s="4" t="s">
        <v>683</v>
      </c>
      <c r="F25" s="199">
        <v>2011.0</v>
      </c>
      <c r="G25" s="4" t="s">
        <v>1000</v>
      </c>
      <c r="H25" s="200">
        <v>2008.0</v>
      </c>
      <c r="I25" s="200" t="s">
        <v>683</v>
      </c>
      <c r="J25" s="199">
        <v>1354054.0</v>
      </c>
      <c r="K25" s="199">
        <v>100.0</v>
      </c>
      <c r="L25" s="199">
        <v>2020.0</v>
      </c>
      <c r="M25" s="199">
        <v>20.0</v>
      </c>
      <c r="N25" s="200" t="s">
        <v>683</v>
      </c>
      <c r="O25" s="199">
        <v>1083243.2</v>
      </c>
      <c r="P25" s="199">
        <v>990955.0</v>
      </c>
      <c r="Q25" s="200"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199">
        <v>15.0</v>
      </c>
      <c r="B26" s="199" t="s">
        <v>895</v>
      </c>
      <c r="C26" s="199" t="s">
        <v>900</v>
      </c>
      <c r="D26" s="199" t="s">
        <v>1033</v>
      </c>
      <c r="E26" s="4" t="s">
        <v>683</v>
      </c>
      <c r="F26" s="199">
        <v>2009.0</v>
      </c>
      <c r="G26" s="4" t="s">
        <v>1031</v>
      </c>
      <c r="H26" s="200">
        <v>2008.0</v>
      </c>
      <c r="I26" s="200" t="s">
        <v>683</v>
      </c>
      <c r="J26" s="199">
        <v>865777.0</v>
      </c>
      <c r="K26" s="199">
        <v>64.0</v>
      </c>
      <c r="L26" s="199">
        <v>2020.0</v>
      </c>
      <c r="M26" s="199">
        <v>30.0</v>
      </c>
      <c r="N26" s="200" t="s">
        <v>683</v>
      </c>
      <c r="O26" s="199">
        <v>606043.9</v>
      </c>
      <c r="P26" s="199">
        <v>597179.0</v>
      </c>
      <c r="Q26" s="200"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199">
        <v>15.0</v>
      </c>
      <c r="B27" s="199" t="s">
        <v>895</v>
      </c>
      <c r="C27" s="199" t="s">
        <v>896</v>
      </c>
      <c r="D27" s="199" t="s">
        <v>1004</v>
      </c>
      <c r="E27" s="4" t="s">
        <v>683</v>
      </c>
      <c r="F27" s="199">
        <v>2019.0</v>
      </c>
      <c r="G27" s="4" t="s">
        <v>1000</v>
      </c>
      <c r="H27" s="200">
        <v>2015.0</v>
      </c>
      <c r="I27" s="200" t="s">
        <v>683</v>
      </c>
      <c r="J27" s="199">
        <v>8766803.0</v>
      </c>
      <c r="K27" s="199">
        <v>100.0</v>
      </c>
      <c r="L27" s="199">
        <v>2030.0</v>
      </c>
      <c r="M27" s="199">
        <v>26.0</v>
      </c>
      <c r="N27" s="200" t="s">
        <v>683</v>
      </c>
      <c r="O27" s="199">
        <v>6487434.22</v>
      </c>
      <c r="P27" s="199">
        <v>6525042.0</v>
      </c>
      <c r="Q27" s="200"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199">
        <v>16.0</v>
      </c>
      <c r="B28" s="199" t="s">
        <v>895</v>
      </c>
      <c r="C28" s="199" t="s">
        <v>896</v>
      </c>
      <c r="D28" s="199" t="s">
        <v>1004</v>
      </c>
      <c r="E28" s="4" t="s">
        <v>683</v>
      </c>
      <c r="F28" s="199">
        <v>2015.0</v>
      </c>
      <c r="G28" s="4" t="s">
        <v>1000</v>
      </c>
      <c r="H28" s="200">
        <v>2010.0</v>
      </c>
      <c r="I28" s="200" t="s">
        <v>683</v>
      </c>
      <c r="J28" s="199">
        <v>1750939.0</v>
      </c>
      <c r="K28" s="199">
        <v>100.0</v>
      </c>
      <c r="L28" s="199">
        <v>2020.0</v>
      </c>
      <c r="M28" s="199">
        <v>100.0</v>
      </c>
      <c r="N28" s="200" t="s">
        <v>683</v>
      </c>
      <c r="O28" s="199">
        <v>0.0</v>
      </c>
      <c r="P28" s="199">
        <v>0.0</v>
      </c>
      <c r="Q28" s="200"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199">
        <v>16.0</v>
      </c>
      <c r="B29" s="199" t="s">
        <v>895</v>
      </c>
      <c r="C29" s="199" t="s">
        <v>896</v>
      </c>
      <c r="D29" s="199" t="s">
        <v>1004</v>
      </c>
      <c r="E29" s="4" t="s">
        <v>683</v>
      </c>
      <c r="F29" s="199">
        <v>2015.0</v>
      </c>
      <c r="G29" s="4" t="s">
        <v>1000</v>
      </c>
      <c r="H29" s="199">
        <v>2010.0</v>
      </c>
      <c r="I29" s="200" t="s">
        <v>683</v>
      </c>
      <c r="J29" s="199">
        <v>1750939.0</v>
      </c>
      <c r="K29" s="199">
        <v>100.0</v>
      </c>
      <c r="L29" s="199">
        <v>2040.0</v>
      </c>
      <c r="M29" s="199">
        <v>100.0</v>
      </c>
      <c r="N29" s="200" t="s">
        <v>683</v>
      </c>
      <c r="O29" s="199">
        <v>0.0</v>
      </c>
      <c r="P29" s="199">
        <v>0.0</v>
      </c>
      <c r="Q29" s="200"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199">
        <v>16.0</v>
      </c>
      <c r="B30" s="199" t="s">
        <v>895</v>
      </c>
      <c r="C30" s="199" t="s">
        <v>896</v>
      </c>
      <c r="D30" s="199" t="s">
        <v>999</v>
      </c>
      <c r="E30" s="4" t="s">
        <v>683</v>
      </c>
      <c r="F30" s="199">
        <v>2015.0</v>
      </c>
      <c r="G30" s="4" t="s">
        <v>1000</v>
      </c>
      <c r="H30" s="199">
        <v>2010.0</v>
      </c>
      <c r="I30" s="200" t="s">
        <v>683</v>
      </c>
      <c r="J30" s="199">
        <v>1785417.0</v>
      </c>
      <c r="K30" s="199">
        <v>100.0</v>
      </c>
      <c r="L30" s="199">
        <v>2020.0</v>
      </c>
      <c r="M30" s="199">
        <v>50.0</v>
      </c>
      <c r="N30" s="200" t="s">
        <v>683</v>
      </c>
      <c r="O30" s="199">
        <v>892708.5</v>
      </c>
      <c r="P30" s="199">
        <v>791409.0</v>
      </c>
      <c r="Q30" s="200"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199">
        <v>18.0</v>
      </c>
      <c r="B31" s="199" t="s">
        <v>895</v>
      </c>
      <c r="C31" s="199" t="s">
        <v>896</v>
      </c>
      <c r="D31" s="199" t="s">
        <v>1040</v>
      </c>
      <c r="E31" s="4" t="s">
        <v>683</v>
      </c>
      <c r="F31" s="199">
        <v>2016.0</v>
      </c>
      <c r="G31" s="4" t="s">
        <v>1000</v>
      </c>
      <c r="H31" s="200">
        <v>2013.0</v>
      </c>
      <c r="I31" s="200" t="s">
        <v>683</v>
      </c>
      <c r="J31" s="199">
        <v>379288.0</v>
      </c>
      <c r="K31" s="199">
        <v>100.0</v>
      </c>
      <c r="L31" s="199">
        <v>2030.0</v>
      </c>
      <c r="M31" s="199">
        <v>35.0</v>
      </c>
      <c r="N31" s="200" t="s">
        <v>683</v>
      </c>
      <c r="O31" s="199">
        <v>246537.2</v>
      </c>
      <c r="P31" s="199">
        <v>491674.0</v>
      </c>
      <c r="Q31" s="200"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199">
        <v>19.0</v>
      </c>
      <c r="B32" s="199" t="s">
        <v>895</v>
      </c>
      <c r="C32" s="199" t="s">
        <v>896</v>
      </c>
      <c r="D32" s="199" t="s">
        <v>999</v>
      </c>
      <c r="E32" s="4" t="s">
        <v>683</v>
      </c>
      <c r="F32" s="199">
        <v>2016.0</v>
      </c>
      <c r="G32" s="4" t="s">
        <v>1000</v>
      </c>
      <c r="H32" s="200">
        <v>2014.0</v>
      </c>
      <c r="I32" s="200" t="s">
        <v>683</v>
      </c>
      <c r="J32" s="199">
        <v>33189.21</v>
      </c>
      <c r="K32" s="199">
        <v>100.0</v>
      </c>
      <c r="L32" s="199">
        <v>2020.0</v>
      </c>
      <c r="M32" s="199">
        <v>30.0</v>
      </c>
      <c r="N32" s="200" t="s">
        <v>683</v>
      </c>
      <c r="O32" s="199">
        <v>23232.446999999996</v>
      </c>
      <c r="P32" s="199">
        <v>25958.0</v>
      </c>
      <c r="Q32" s="200"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199">
        <v>89.0</v>
      </c>
      <c r="B33" s="199" t="s">
        <v>895</v>
      </c>
      <c r="C33" s="199" t="s">
        <v>896</v>
      </c>
      <c r="D33" s="199" t="s">
        <v>999</v>
      </c>
      <c r="E33" s="4" t="s">
        <v>683</v>
      </c>
      <c r="F33" s="199">
        <v>2019.0</v>
      </c>
      <c r="G33" s="4" t="s">
        <v>1000</v>
      </c>
      <c r="H33" s="200">
        <v>2018.0</v>
      </c>
      <c r="I33" s="200" t="s">
        <v>683</v>
      </c>
      <c r="J33" s="199">
        <v>150157.0</v>
      </c>
      <c r="K33" s="199">
        <v>100.0</v>
      </c>
      <c r="L33" s="199">
        <v>2025.0</v>
      </c>
      <c r="M33" s="199">
        <v>20.0</v>
      </c>
      <c r="N33" s="200" t="s">
        <v>683</v>
      </c>
      <c r="O33" s="199">
        <v>120125.6</v>
      </c>
      <c r="P33" s="199">
        <v>138307.0</v>
      </c>
      <c r="Q33" s="200"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199">
        <v>89.0</v>
      </c>
      <c r="B34" s="199" t="s">
        <v>895</v>
      </c>
      <c r="C34" s="199" t="s">
        <v>902</v>
      </c>
      <c r="D34" s="199" t="s">
        <v>1038</v>
      </c>
      <c r="E34" s="4" t="s">
        <v>683</v>
      </c>
      <c r="F34" s="199">
        <v>2015.0</v>
      </c>
      <c r="G34" s="4" t="s">
        <v>1000</v>
      </c>
      <c r="H34" s="200">
        <v>2014.0</v>
      </c>
      <c r="I34" s="200" t="s">
        <v>683</v>
      </c>
      <c r="J34" s="199">
        <v>205197.0</v>
      </c>
      <c r="K34" s="199">
        <v>100.0</v>
      </c>
      <c r="L34" s="199">
        <v>2020.0</v>
      </c>
      <c r="M34" s="199">
        <v>96.0</v>
      </c>
      <c r="N34" s="200" t="s">
        <v>683</v>
      </c>
      <c r="O34" s="199">
        <v>8207.88</v>
      </c>
      <c r="P34" s="199"/>
      <c r="Q34" s="200"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199">
        <v>89.0</v>
      </c>
      <c r="B35" s="199" t="s">
        <v>895</v>
      </c>
      <c r="C35" s="199" t="s">
        <v>896</v>
      </c>
      <c r="D35" s="199" t="s">
        <v>1004</v>
      </c>
      <c r="E35" s="4" t="s">
        <v>683</v>
      </c>
      <c r="F35" s="199">
        <v>2015.0</v>
      </c>
      <c r="G35" s="4" t="s">
        <v>1000</v>
      </c>
      <c r="H35" s="200">
        <v>2014.0</v>
      </c>
      <c r="I35" s="200" t="s">
        <v>683</v>
      </c>
      <c r="J35" s="199">
        <v>214161.0</v>
      </c>
      <c r="K35" s="199">
        <v>100.0</v>
      </c>
      <c r="L35" s="199">
        <v>2040.0</v>
      </c>
      <c r="M35" s="199">
        <v>92.0</v>
      </c>
      <c r="N35" s="200" t="s">
        <v>683</v>
      </c>
      <c r="O35" s="199">
        <v>17132.88</v>
      </c>
      <c r="P35" s="199"/>
      <c r="Q35" s="200"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199">
        <v>20.0</v>
      </c>
      <c r="B36" s="199" t="s">
        <v>895</v>
      </c>
      <c r="C36" s="199" t="s">
        <v>896</v>
      </c>
      <c r="D36" s="199" t="s">
        <v>1004</v>
      </c>
      <c r="E36" s="4" t="s">
        <v>683</v>
      </c>
      <c r="F36" s="199">
        <v>2018.0</v>
      </c>
      <c r="G36" s="4" t="s">
        <v>1000</v>
      </c>
      <c r="H36" s="200">
        <v>2017.0</v>
      </c>
      <c r="I36" s="200" t="s">
        <v>683</v>
      </c>
      <c r="J36" s="199">
        <v>1004000.0</v>
      </c>
      <c r="K36" s="199">
        <v>70.0</v>
      </c>
      <c r="L36" s="199">
        <v>2025.0</v>
      </c>
      <c r="M36" s="199">
        <v>25.0</v>
      </c>
      <c r="N36" s="200" t="s">
        <v>683</v>
      </c>
      <c r="O36" s="199">
        <v>753000.0</v>
      </c>
      <c r="P36" s="199">
        <v>976000.0</v>
      </c>
      <c r="Q36" s="200"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199">
        <v>22.0</v>
      </c>
      <c r="B37" s="199" t="s">
        <v>895</v>
      </c>
      <c r="C37" s="199" t="s">
        <v>896</v>
      </c>
      <c r="D37" s="199" t="s">
        <v>1004</v>
      </c>
      <c r="E37" s="4" t="s">
        <v>683</v>
      </c>
      <c r="F37" s="199">
        <v>2015.0</v>
      </c>
      <c r="G37" s="4" t="s">
        <v>1000</v>
      </c>
      <c r="H37" s="200">
        <v>2015.0</v>
      </c>
      <c r="I37" s="200" t="s">
        <v>683</v>
      </c>
      <c r="J37" s="199">
        <v>379183.76</v>
      </c>
      <c r="K37" s="199">
        <v>100.0</v>
      </c>
      <c r="L37" s="199">
        <v>2020.0</v>
      </c>
      <c r="M37" s="199">
        <v>5.0</v>
      </c>
      <c r="N37" s="200" t="s">
        <v>683</v>
      </c>
      <c r="O37" s="199">
        <v>360224.57200000004</v>
      </c>
      <c r="P37" s="199">
        <v>300349.0</v>
      </c>
      <c r="Q37" s="200"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199">
        <v>23.0</v>
      </c>
      <c r="B38" s="199" t="s">
        <v>895</v>
      </c>
      <c r="C38" s="199" t="s">
        <v>896</v>
      </c>
      <c r="D38" s="199" t="s">
        <v>1004</v>
      </c>
      <c r="E38" s="4" t="s">
        <v>683</v>
      </c>
      <c r="F38" s="199">
        <v>2018.0</v>
      </c>
      <c r="G38" s="4" t="s">
        <v>1000</v>
      </c>
      <c r="H38" s="200">
        <v>2017.0</v>
      </c>
      <c r="I38" s="200" t="s">
        <v>683</v>
      </c>
      <c r="J38" s="199">
        <v>11719.0</v>
      </c>
      <c r="K38" s="199">
        <v>100.0</v>
      </c>
      <c r="L38" s="199">
        <v>2019.0</v>
      </c>
      <c r="M38" s="199">
        <v>100.0</v>
      </c>
      <c r="N38" s="200" t="s">
        <v>683</v>
      </c>
      <c r="O38" s="199">
        <v>0.0</v>
      </c>
      <c r="P38" s="199">
        <v>0.0</v>
      </c>
      <c r="Q38" s="200"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199">
        <v>23.0</v>
      </c>
      <c r="B39" s="199" t="s">
        <v>895</v>
      </c>
      <c r="C39" s="199" t="s">
        <v>689</v>
      </c>
      <c r="D39" s="199" t="s">
        <v>1056</v>
      </c>
      <c r="E39" s="4" t="s">
        <v>683</v>
      </c>
      <c r="F39" s="199">
        <v>2018.0</v>
      </c>
      <c r="G39" s="4" t="s">
        <v>1000</v>
      </c>
      <c r="H39" s="200">
        <v>2017.0</v>
      </c>
      <c r="I39" s="200" t="s">
        <v>683</v>
      </c>
      <c r="J39" s="199">
        <v>62340.0</v>
      </c>
      <c r="K39" s="199">
        <v>100.0</v>
      </c>
      <c r="L39" s="199">
        <v>2019.0</v>
      </c>
      <c r="M39" s="199">
        <v>100.0</v>
      </c>
      <c r="N39" s="200" t="s">
        <v>683</v>
      </c>
      <c r="O39" s="199">
        <v>0.0</v>
      </c>
      <c r="P39" s="199">
        <v>0.0</v>
      </c>
      <c r="Q39" s="200"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199">
        <v>27.0</v>
      </c>
      <c r="B40" s="199" t="s">
        <v>895</v>
      </c>
      <c r="C40" s="199" t="s">
        <v>896</v>
      </c>
      <c r="D40" s="199" t="s">
        <v>1004</v>
      </c>
      <c r="E40" s="4" t="s">
        <v>683</v>
      </c>
      <c r="F40" s="199">
        <v>2017.0</v>
      </c>
      <c r="G40" s="4" t="s">
        <v>1000</v>
      </c>
      <c r="H40" s="200">
        <v>2007.0</v>
      </c>
      <c r="I40" s="200" t="s">
        <v>683</v>
      </c>
      <c r="J40" s="199">
        <v>450733.0</v>
      </c>
      <c r="K40" s="199">
        <v>100.0</v>
      </c>
      <c r="L40" s="199">
        <v>2022.0</v>
      </c>
      <c r="M40" s="199">
        <v>60.0</v>
      </c>
      <c r="N40" s="200" t="s">
        <v>683</v>
      </c>
      <c r="O40" s="199">
        <v>180293.2</v>
      </c>
      <c r="P40" s="199">
        <v>228610.0</v>
      </c>
      <c r="Q40" s="200"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199">
        <v>27.0</v>
      </c>
      <c r="B41" s="199" t="s">
        <v>895</v>
      </c>
      <c r="C41" s="199" t="s">
        <v>689</v>
      </c>
      <c r="D41" s="199" t="s">
        <v>1059</v>
      </c>
      <c r="E41" s="4" t="s">
        <v>683</v>
      </c>
      <c r="F41" s="199">
        <v>2017.0</v>
      </c>
      <c r="G41" s="4" t="s">
        <v>1060</v>
      </c>
      <c r="H41" s="200">
        <v>2016.0</v>
      </c>
      <c r="I41" s="200" t="s">
        <v>683</v>
      </c>
      <c r="J41" s="199">
        <v>2.6233018E7</v>
      </c>
      <c r="K41" s="199">
        <v>100.0</v>
      </c>
      <c r="L41" s="199">
        <v>2022.0</v>
      </c>
      <c r="M41" s="199">
        <v>13.0</v>
      </c>
      <c r="N41" s="200" t="s">
        <v>683</v>
      </c>
      <c r="O41" s="199">
        <v>2.282272566E7</v>
      </c>
      <c r="P41" s="199">
        <v>2.4929174E7</v>
      </c>
      <c r="Q41" s="200"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199">
        <v>28.0</v>
      </c>
      <c r="B42" s="199" t="s">
        <v>895</v>
      </c>
      <c r="C42" s="199" t="s">
        <v>896</v>
      </c>
      <c r="D42" s="199" t="s">
        <v>999</v>
      </c>
      <c r="E42" s="4" t="s">
        <v>683</v>
      </c>
      <c r="F42" s="199">
        <v>2006.0</v>
      </c>
      <c r="G42" s="4" t="s">
        <v>1000</v>
      </c>
      <c r="H42" s="200">
        <v>2005.0</v>
      </c>
      <c r="I42" s="200" t="s">
        <v>683</v>
      </c>
      <c r="J42" s="199">
        <v>1091759.0</v>
      </c>
      <c r="K42" s="199">
        <v>100.0</v>
      </c>
      <c r="L42" s="199">
        <v>2020.0</v>
      </c>
      <c r="M42" s="199">
        <v>35.0</v>
      </c>
      <c r="N42" s="200" t="s">
        <v>683</v>
      </c>
      <c r="O42" s="199">
        <v>709643.35</v>
      </c>
      <c r="P42" s="199">
        <v>616900.0</v>
      </c>
      <c r="Q42" s="200"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199">
        <v>28.0</v>
      </c>
      <c r="B43" s="199" t="s">
        <v>895</v>
      </c>
      <c r="C43" s="199" t="s">
        <v>896</v>
      </c>
      <c r="D43" s="199" t="s">
        <v>999</v>
      </c>
      <c r="E43" s="4" t="s">
        <v>683</v>
      </c>
      <c r="F43" s="199">
        <v>2006.0</v>
      </c>
      <c r="G43" s="4" t="s">
        <v>1000</v>
      </c>
      <c r="H43" s="200">
        <v>2005.0</v>
      </c>
      <c r="I43" s="200" t="s">
        <v>683</v>
      </c>
      <c r="J43" s="199">
        <v>1091759.0</v>
      </c>
      <c r="K43" s="199">
        <v>100.0</v>
      </c>
      <c r="L43" s="199">
        <v>2050.0</v>
      </c>
      <c r="M43" s="199">
        <v>80.0</v>
      </c>
      <c r="N43" s="200" t="s">
        <v>683</v>
      </c>
      <c r="O43" s="199">
        <v>218351.8</v>
      </c>
      <c r="P43" s="199">
        <v>616900.0</v>
      </c>
      <c r="Q43" s="200"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199">
        <v>30.0</v>
      </c>
      <c r="B44" s="199" t="s">
        <v>895</v>
      </c>
      <c r="C44" s="199" t="s">
        <v>896</v>
      </c>
      <c r="D44" s="199" t="s">
        <v>1004</v>
      </c>
      <c r="E44" s="4" t="s">
        <v>683</v>
      </c>
      <c r="F44" s="199">
        <v>2016.0</v>
      </c>
      <c r="G44" s="4" t="s">
        <v>1000</v>
      </c>
      <c r="H44" s="200">
        <v>2002.0</v>
      </c>
      <c r="I44" s="200" t="s">
        <v>683</v>
      </c>
      <c r="J44" s="199">
        <v>699761.0</v>
      </c>
      <c r="K44" s="199">
        <v>95.0</v>
      </c>
      <c r="L44" s="199">
        <v>2020.0</v>
      </c>
      <c r="M44" s="199">
        <v>25.0</v>
      </c>
      <c r="N44" s="200" t="s">
        <v>683</v>
      </c>
      <c r="O44" s="199">
        <v>524820.75</v>
      </c>
      <c r="P44" s="199">
        <v>474312.0</v>
      </c>
      <c r="Q44" s="200"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199">
        <v>30.0</v>
      </c>
      <c r="B45" s="199" t="s">
        <v>895</v>
      </c>
      <c r="C45" s="199" t="s">
        <v>896</v>
      </c>
      <c r="D45" s="199" t="s">
        <v>1004</v>
      </c>
      <c r="E45" s="4" t="s">
        <v>683</v>
      </c>
      <c r="F45" s="199">
        <v>2016.0</v>
      </c>
      <c r="G45" s="4" t="s">
        <v>1000</v>
      </c>
      <c r="H45" s="200">
        <v>2002.0</v>
      </c>
      <c r="I45" s="200" t="s">
        <v>683</v>
      </c>
      <c r="J45" s="199">
        <v>699761.0</v>
      </c>
      <c r="K45" s="199">
        <v>95.0</v>
      </c>
      <c r="L45" s="199">
        <v>2050.0</v>
      </c>
      <c r="M45" s="199">
        <v>50.0</v>
      </c>
      <c r="N45" s="200" t="s">
        <v>683</v>
      </c>
      <c r="O45" s="199">
        <v>349880.5</v>
      </c>
      <c r="P45" s="199">
        <v>474312.0</v>
      </c>
      <c r="Q45" s="200"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199">
        <v>30.0</v>
      </c>
      <c r="B46" s="199" t="s">
        <v>895</v>
      </c>
      <c r="C46" s="199" t="s">
        <v>689</v>
      </c>
      <c r="D46" s="199" t="s">
        <v>1059</v>
      </c>
      <c r="E46" s="4" t="s">
        <v>683</v>
      </c>
      <c r="F46" s="199">
        <v>2016.0</v>
      </c>
      <c r="G46" s="4" t="s">
        <v>1000</v>
      </c>
      <c r="H46" s="200">
        <v>2016.0</v>
      </c>
      <c r="I46" s="200" t="s">
        <v>683</v>
      </c>
      <c r="J46" s="199">
        <v>4.72E7</v>
      </c>
      <c r="K46" s="199">
        <v>90.0</v>
      </c>
      <c r="L46" s="199">
        <v>2022.0</v>
      </c>
      <c r="M46" s="199">
        <v>5.0</v>
      </c>
      <c r="N46" s="200" t="s">
        <v>683</v>
      </c>
      <c r="O46" s="199">
        <v>4.484E7</v>
      </c>
      <c r="P46" s="199">
        <v>4.2014727E7</v>
      </c>
      <c r="Q46" s="200"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199">
        <v>31.0</v>
      </c>
      <c r="B47" s="199" t="s">
        <v>895</v>
      </c>
      <c r="C47" s="199" t="s">
        <v>896</v>
      </c>
      <c r="D47" s="199" t="s">
        <v>1067</v>
      </c>
      <c r="E47" s="4" t="s">
        <v>683</v>
      </c>
      <c r="F47" s="199">
        <v>2019.0</v>
      </c>
      <c r="G47" s="4" t="s">
        <v>1068</v>
      </c>
      <c r="H47" s="200">
        <v>2018.0</v>
      </c>
      <c r="I47" s="200" t="s">
        <v>683</v>
      </c>
      <c r="J47" s="199">
        <v>2001609.0</v>
      </c>
      <c r="K47" s="199">
        <v>5.0</v>
      </c>
      <c r="L47" s="199">
        <v>2030.0</v>
      </c>
      <c r="M47" s="199">
        <v>50.0</v>
      </c>
      <c r="N47" s="200" t="s">
        <v>683</v>
      </c>
      <c r="O47" s="199">
        <v>1000804.5</v>
      </c>
      <c r="P47" s="199">
        <v>1974441.0</v>
      </c>
      <c r="Q47" s="200"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199">
        <v>31.0</v>
      </c>
      <c r="B48" s="199" t="s">
        <v>895</v>
      </c>
      <c r="C48" s="199" t="s">
        <v>900</v>
      </c>
      <c r="D48" s="199" t="s">
        <v>1033</v>
      </c>
      <c r="E48" s="4" t="s">
        <v>683</v>
      </c>
      <c r="F48" s="199">
        <v>2018.0</v>
      </c>
      <c r="G48" s="4" t="s">
        <v>1068</v>
      </c>
      <c r="H48" s="200">
        <v>2017.0</v>
      </c>
      <c r="I48" s="200" t="s">
        <v>683</v>
      </c>
      <c r="J48" s="199">
        <v>388377.0</v>
      </c>
      <c r="K48" s="199">
        <v>20.0</v>
      </c>
      <c r="L48" s="199">
        <v>2019.0</v>
      </c>
      <c r="M48" s="199">
        <v>100.0</v>
      </c>
      <c r="N48" s="200" t="s">
        <v>683</v>
      </c>
      <c r="O48" s="199">
        <v>0.0</v>
      </c>
      <c r="P48" s="199">
        <v>367572.0</v>
      </c>
      <c r="Q48" s="200"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199">
        <v>31.0</v>
      </c>
      <c r="B49" s="199" t="s">
        <v>895</v>
      </c>
      <c r="C49" s="199" t="s">
        <v>896</v>
      </c>
      <c r="D49" s="199" t="s">
        <v>999</v>
      </c>
      <c r="E49" s="4" t="s">
        <v>683</v>
      </c>
      <c r="F49" s="199">
        <v>2017.0</v>
      </c>
      <c r="G49" s="4" t="s">
        <v>1068</v>
      </c>
      <c r="H49" s="200">
        <v>2017.0</v>
      </c>
      <c r="I49" s="200" t="s">
        <v>683</v>
      </c>
      <c r="J49" s="199">
        <v>1925233.0</v>
      </c>
      <c r="K49" s="199">
        <v>95.0</v>
      </c>
      <c r="L49" s="199">
        <v>2019.0</v>
      </c>
      <c r="M49" s="199">
        <v>100.0</v>
      </c>
      <c r="N49" s="200" t="s">
        <v>683</v>
      </c>
      <c r="O49" s="199">
        <v>0.0</v>
      </c>
      <c r="P49" s="199">
        <v>1968858.0</v>
      </c>
      <c r="Q49" s="200"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199">
        <v>34.0</v>
      </c>
      <c r="B50" s="199" t="s">
        <v>895</v>
      </c>
      <c r="C50" s="199" t="s">
        <v>896</v>
      </c>
      <c r="D50" s="199" t="s">
        <v>1004</v>
      </c>
      <c r="E50" s="4" t="s">
        <v>683</v>
      </c>
      <c r="F50" s="199">
        <v>2017.0</v>
      </c>
      <c r="G50" s="4" t="s">
        <v>1000</v>
      </c>
      <c r="H50" s="199">
        <v>2010.0</v>
      </c>
      <c r="I50" s="200" t="s">
        <v>683</v>
      </c>
      <c r="J50" s="199">
        <v>1766531.0</v>
      </c>
      <c r="K50" s="199">
        <v>100.0</v>
      </c>
      <c r="L50" s="199">
        <v>2030.0</v>
      </c>
      <c r="M50" s="199">
        <v>36.0</v>
      </c>
      <c r="N50" s="200" t="s">
        <v>683</v>
      </c>
      <c r="O50" s="199">
        <v>1130579.84</v>
      </c>
      <c r="P50" s="199">
        <v>1121031.46</v>
      </c>
      <c r="Q50" s="200"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199">
        <v>34.0</v>
      </c>
      <c r="B51" s="199" t="s">
        <v>895</v>
      </c>
      <c r="C51" s="199" t="s">
        <v>896</v>
      </c>
      <c r="D51" s="199" t="s">
        <v>1004</v>
      </c>
      <c r="E51" s="4" t="s">
        <v>683</v>
      </c>
      <c r="F51" s="199">
        <v>2017.0</v>
      </c>
      <c r="G51" s="4" t="s">
        <v>1000</v>
      </c>
      <c r="H51" s="199">
        <v>2010.0</v>
      </c>
      <c r="I51" s="200" t="s">
        <v>683</v>
      </c>
      <c r="J51" s="199">
        <v>1766531.0</v>
      </c>
      <c r="K51" s="199">
        <v>100.0</v>
      </c>
      <c r="L51" s="199">
        <v>2050.0</v>
      </c>
      <c r="M51" s="199">
        <v>56.0</v>
      </c>
      <c r="N51" s="200" t="s">
        <v>683</v>
      </c>
      <c r="O51" s="199">
        <v>777273.64</v>
      </c>
      <c r="P51" s="199">
        <v>1121031.46</v>
      </c>
      <c r="Q51" s="200"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199">
        <v>37.0</v>
      </c>
      <c r="B52" s="199" t="s">
        <v>895</v>
      </c>
      <c r="C52" s="199" t="s">
        <v>900</v>
      </c>
      <c r="D52" s="199" t="s">
        <v>1033</v>
      </c>
      <c r="E52" s="4" t="s">
        <v>683</v>
      </c>
      <c r="F52" s="199">
        <v>2019.0</v>
      </c>
      <c r="G52" s="4" t="s">
        <v>1000</v>
      </c>
      <c r="H52" s="200">
        <v>2005.0</v>
      </c>
      <c r="I52" s="200" t="s">
        <v>683</v>
      </c>
      <c r="J52" s="199">
        <v>1.388E8</v>
      </c>
      <c r="K52" s="199">
        <v>100.0</v>
      </c>
      <c r="L52" s="199">
        <v>2030.0</v>
      </c>
      <c r="M52" s="199">
        <v>50.0</v>
      </c>
      <c r="N52" s="200" t="s">
        <v>683</v>
      </c>
      <c r="O52" s="199">
        <v>6.94E7</v>
      </c>
      <c r="P52" s="199">
        <v>8.437E7</v>
      </c>
      <c r="Q52" s="200"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199">
        <v>37.0</v>
      </c>
      <c r="B53" s="199" t="s">
        <v>895</v>
      </c>
      <c r="C53" s="199" t="s">
        <v>900</v>
      </c>
      <c r="D53" s="199" t="s">
        <v>1033</v>
      </c>
      <c r="E53" s="4" t="s">
        <v>683</v>
      </c>
      <c r="F53" s="199">
        <v>2019.0</v>
      </c>
      <c r="G53" s="4" t="s">
        <v>1000</v>
      </c>
      <c r="H53" s="200">
        <v>2005.0</v>
      </c>
      <c r="I53" s="200" t="s">
        <v>683</v>
      </c>
      <c r="J53" s="199">
        <v>1.388E8</v>
      </c>
      <c r="K53" s="199">
        <v>100.0</v>
      </c>
      <c r="L53" s="199">
        <v>2050.0</v>
      </c>
      <c r="M53" s="199">
        <v>100.0</v>
      </c>
      <c r="N53" s="200" t="s">
        <v>683</v>
      </c>
      <c r="O53" s="199">
        <v>0.0</v>
      </c>
      <c r="P53" s="199">
        <v>8.437E7</v>
      </c>
      <c r="Q53" s="200"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199">
        <v>38.0</v>
      </c>
      <c r="B54" s="199" t="s">
        <v>895</v>
      </c>
      <c r="C54" s="199" t="s">
        <v>896</v>
      </c>
      <c r="D54" s="199" t="s">
        <v>1076</v>
      </c>
      <c r="E54" s="4" t="s">
        <v>683</v>
      </c>
      <c r="F54" s="199">
        <v>2019.0</v>
      </c>
      <c r="G54" s="4" t="s">
        <v>1000</v>
      </c>
      <c r="H54" s="200">
        <v>2019.0</v>
      </c>
      <c r="I54" s="200" t="s">
        <v>683</v>
      </c>
      <c r="J54" s="199">
        <v>5380359.0</v>
      </c>
      <c r="K54" s="199">
        <v>100.0</v>
      </c>
      <c r="L54" s="199">
        <v>2030.0</v>
      </c>
      <c r="M54" s="199">
        <v>30.0</v>
      </c>
      <c r="N54" s="200" t="s">
        <v>683</v>
      </c>
      <c r="O54" s="199">
        <v>3766251.3</v>
      </c>
      <c r="P54" s="199">
        <v>5380359.0</v>
      </c>
      <c r="Q54" s="200"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199">
        <v>38.0</v>
      </c>
      <c r="B55" s="199" t="s">
        <v>895</v>
      </c>
      <c r="C55" s="199" t="s">
        <v>896</v>
      </c>
      <c r="D55" s="199" t="s">
        <v>1076</v>
      </c>
      <c r="E55" s="4" t="s">
        <v>683</v>
      </c>
      <c r="F55" s="199">
        <v>2019.0</v>
      </c>
      <c r="G55" s="4" t="s">
        <v>1000</v>
      </c>
      <c r="H55" s="200">
        <v>2019.0</v>
      </c>
      <c r="I55" s="200" t="s">
        <v>683</v>
      </c>
      <c r="J55" s="199">
        <v>5380359.0</v>
      </c>
      <c r="K55" s="199">
        <v>100.0</v>
      </c>
      <c r="L55" s="199">
        <v>2050.0</v>
      </c>
      <c r="M55" s="199">
        <v>100.0</v>
      </c>
      <c r="N55" s="200" t="s">
        <v>683</v>
      </c>
      <c r="O55" s="199">
        <v>0.0</v>
      </c>
      <c r="P55" s="199">
        <v>5380359.0</v>
      </c>
      <c r="Q55" s="200"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199">
        <v>41.0</v>
      </c>
      <c r="B56" s="199" t="s">
        <v>895</v>
      </c>
      <c r="C56" s="199" t="s">
        <v>896</v>
      </c>
      <c r="D56" s="199" t="s">
        <v>1079</v>
      </c>
      <c r="E56" s="4" t="s">
        <v>683</v>
      </c>
      <c r="F56" s="199">
        <v>2017.0</v>
      </c>
      <c r="G56" s="4" t="s">
        <v>1000</v>
      </c>
      <c r="H56" s="200">
        <v>2015.0</v>
      </c>
      <c r="I56" s="200" t="s">
        <v>683</v>
      </c>
      <c r="J56" s="199">
        <v>1133000.0</v>
      </c>
      <c r="K56" s="199">
        <v>100.0</v>
      </c>
      <c r="L56" s="199">
        <v>2022.0</v>
      </c>
      <c r="M56" s="199">
        <v>15.0</v>
      </c>
      <c r="N56" s="200" t="s">
        <v>683</v>
      </c>
      <c r="O56" s="199">
        <v>963050.0</v>
      </c>
      <c r="P56" s="199">
        <v>994191.0</v>
      </c>
      <c r="Q56" s="200"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199">
        <v>45.0</v>
      </c>
      <c r="B57" s="199" t="s">
        <v>895</v>
      </c>
      <c r="C57" s="199" t="s">
        <v>896</v>
      </c>
      <c r="D57" s="199" t="s">
        <v>999</v>
      </c>
      <c r="E57" s="4" t="s">
        <v>683</v>
      </c>
      <c r="F57" s="199">
        <v>2018.0</v>
      </c>
      <c r="G57" s="4" t="s">
        <v>1000</v>
      </c>
      <c r="H57" s="200">
        <v>2017.0</v>
      </c>
      <c r="I57" s="200" t="s">
        <v>683</v>
      </c>
      <c r="J57" s="199">
        <v>4168442.0</v>
      </c>
      <c r="K57" s="199">
        <v>100.0</v>
      </c>
      <c r="L57" s="199">
        <v>2023.0</v>
      </c>
      <c r="M57" s="199">
        <v>16.2</v>
      </c>
      <c r="N57" s="200" t="s">
        <v>683</v>
      </c>
      <c r="O57" s="199">
        <v>3493154.3959999997</v>
      </c>
      <c r="P57" s="199">
        <v>3636301.0</v>
      </c>
      <c r="Q57" s="200"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199">
        <v>45.0</v>
      </c>
      <c r="B58" s="199" t="s">
        <v>895</v>
      </c>
      <c r="C58" s="199" t="s">
        <v>896</v>
      </c>
      <c r="D58" s="199" t="s">
        <v>999</v>
      </c>
      <c r="E58" s="4" t="s">
        <v>683</v>
      </c>
      <c r="F58" s="199">
        <v>2018.0</v>
      </c>
      <c r="G58" s="4" t="s">
        <v>1000</v>
      </c>
      <c r="H58" s="200">
        <v>2017.0</v>
      </c>
      <c r="I58" s="200" t="s">
        <v>683</v>
      </c>
      <c r="J58" s="199">
        <v>4168442.0</v>
      </c>
      <c r="K58" s="199">
        <v>100.0</v>
      </c>
      <c r="L58" s="199">
        <v>2035.0</v>
      </c>
      <c r="M58" s="199">
        <v>75.0</v>
      </c>
      <c r="N58" s="200" t="s">
        <v>683</v>
      </c>
      <c r="O58" s="199">
        <v>1042110.5</v>
      </c>
      <c r="P58" s="199">
        <v>3636301.0</v>
      </c>
      <c r="Q58" s="200"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199">
        <v>47.0</v>
      </c>
      <c r="B59" s="199" t="s">
        <v>895</v>
      </c>
      <c r="C59" s="199" t="s">
        <v>896</v>
      </c>
      <c r="D59" s="199" t="s">
        <v>1004</v>
      </c>
      <c r="E59" s="4" t="s">
        <v>683</v>
      </c>
      <c r="F59" s="199">
        <v>2015.0</v>
      </c>
      <c r="G59" s="4" t="s">
        <v>1000</v>
      </c>
      <c r="H59" s="200">
        <v>2011.0</v>
      </c>
      <c r="I59" s="200" t="s">
        <v>683</v>
      </c>
      <c r="J59" s="199">
        <v>3005160.75</v>
      </c>
      <c r="K59" s="199">
        <v>100.0</v>
      </c>
      <c r="L59" s="199">
        <v>2020.0</v>
      </c>
      <c r="M59" s="199">
        <v>20.0</v>
      </c>
      <c r="N59" s="200" t="s">
        <v>683</v>
      </c>
      <c r="O59" s="199">
        <v>2404128.6</v>
      </c>
      <c r="P59" s="199">
        <v>2385024.54</v>
      </c>
      <c r="Q59" s="200"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199">
        <v>48.0</v>
      </c>
      <c r="B60" s="199" t="s">
        <v>895</v>
      </c>
      <c r="C60" s="199" t="s">
        <v>896</v>
      </c>
      <c r="D60" s="199" t="s">
        <v>1004</v>
      </c>
      <c r="E60" s="4" t="s">
        <v>683</v>
      </c>
      <c r="F60" s="199">
        <v>2018.0</v>
      </c>
      <c r="G60" s="4" t="s">
        <v>1000</v>
      </c>
      <c r="H60" s="199">
        <v>2010.0</v>
      </c>
      <c r="I60" s="200" t="s">
        <v>683</v>
      </c>
      <c r="J60" s="199">
        <v>6173746.0</v>
      </c>
      <c r="K60" s="199">
        <v>100.0</v>
      </c>
      <c r="L60" s="199">
        <v>2030.0</v>
      </c>
      <c r="M60" s="199">
        <v>31.0</v>
      </c>
      <c r="N60" s="200" t="s">
        <v>683</v>
      </c>
      <c r="O60" s="199">
        <v>4259884.74</v>
      </c>
      <c r="P60" s="199">
        <v>5311575.0</v>
      </c>
      <c r="Q60" s="200"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199">
        <v>48.0</v>
      </c>
      <c r="B61" s="199" t="s">
        <v>895</v>
      </c>
      <c r="C61" s="199" t="s">
        <v>689</v>
      </c>
      <c r="D61" s="199" t="s">
        <v>1059</v>
      </c>
      <c r="E61" s="4" t="s">
        <v>683</v>
      </c>
      <c r="F61" s="199">
        <v>2017.0</v>
      </c>
      <c r="G61" s="4" t="s">
        <v>1031</v>
      </c>
      <c r="H61" s="200">
        <v>2016.0</v>
      </c>
      <c r="I61" s="200" t="s">
        <v>683</v>
      </c>
      <c r="J61" s="199">
        <v>8023097.0</v>
      </c>
      <c r="K61" s="199">
        <v>100.0</v>
      </c>
      <c r="L61" s="199">
        <v>2021.0</v>
      </c>
      <c r="M61" s="199">
        <v>4.0</v>
      </c>
      <c r="N61" s="200" t="s">
        <v>683</v>
      </c>
      <c r="O61" s="199">
        <v>7702173.12</v>
      </c>
      <c r="P61" s="199">
        <v>7763604.0</v>
      </c>
      <c r="Q61" s="200"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199">
        <v>49.0</v>
      </c>
      <c r="B62" s="199" t="s">
        <v>895</v>
      </c>
      <c r="C62" s="199" t="s">
        <v>896</v>
      </c>
      <c r="D62" s="199" t="s">
        <v>1004</v>
      </c>
      <c r="E62" s="4" t="s">
        <v>683</v>
      </c>
      <c r="F62" s="199">
        <v>2017.0</v>
      </c>
      <c r="G62" s="4" t="s">
        <v>1000</v>
      </c>
      <c r="H62" s="200">
        <v>2016.0</v>
      </c>
      <c r="I62" s="200" t="s">
        <v>683</v>
      </c>
      <c r="J62" s="199">
        <v>82840.0</v>
      </c>
      <c r="K62" s="199">
        <v>100.0</v>
      </c>
      <c r="L62" s="199">
        <v>2025.0</v>
      </c>
      <c r="M62" s="199">
        <v>25.0</v>
      </c>
      <c r="N62" s="200" t="s">
        <v>683</v>
      </c>
      <c r="O62" s="199">
        <v>62130.0</v>
      </c>
      <c r="P62" s="199">
        <v>73735.0</v>
      </c>
      <c r="Q62" s="200"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199">
        <v>50.0</v>
      </c>
      <c r="B63" s="199" t="s">
        <v>895</v>
      </c>
      <c r="C63" s="199" t="s">
        <v>899</v>
      </c>
      <c r="D63" s="199" t="s">
        <v>1027</v>
      </c>
      <c r="E63" s="4" t="s">
        <v>683</v>
      </c>
      <c r="F63" s="199">
        <v>2015.0</v>
      </c>
      <c r="G63" s="4" t="s">
        <v>1000</v>
      </c>
      <c r="H63" s="200">
        <v>2019.0</v>
      </c>
      <c r="I63" s="200" t="s">
        <v>683</v>
      </c>
      <c r="J63" s="199">
        <v>157255.0</v>
      </c>
      <c r="K63" s="199">
        <v>100.0</v>
      </c>
      <c r="L63" s="199">
        <v>2019.0</v>
      </c>
      <c r="M63" s="199">
        <v>100.0</v>
      </c>
      <c r="N63" s="200" t="s">
        <v>683</v>
      </c>
      <c r="O63" s="199">
        <v>0.0</v>
      </c>
      <c r="P63" s="199">
        <v>0.0</v>
      </c>
      <c r="Q63" s="200"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199">
        <v>50.0</v>
      </c>
      <c r="B64" s="199" t="s">
        <v>895</v>
      </c>
      <c r="C64" s="199" t="s">
        <v>896</v>
      </c>
      <c r="D64" s="199" t="s">
        <v>1004</v>
      </c>
      <c r="E64" s="4" t="s">
        <v>683</v>
      </c>
      <c r="F64" s="199">
        <v>2015.0</v>
      </c>
      <c r="G64" s="4" t="s">
        <v>1000</v>
      </c>
      <c r="H64" s="200">
        <v>2013.0</v>
      </c>
      <c r="I64" s="200" t="s">
        <v>683</v>
      </c>
      <c r="J64" s="199">
        <v>251687.0</v>
      </c>
      <c r="K64" s="199">
        <v>100.0</v>
      </c>
      <c r="L64" s="199">
        <v>2020.0</v>
      </c>
      <c r="M64" s="199">
        <v>15.0</v>
      </c>
      <c r="N64" s="200" t="s">
        <v>683</v>
      </c>
      <c r="O64" s="199">
        <v>213933.95</v>
      </c>
      <c r="P64" s="199">
        <v>21782.0</v>
      </c>
      <c r="Q64" s="200"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199">
        <v>50.0</v>
      </c>
      <c r="B65" s="199" t="s">
        <v>895</v>
      </c>
      <c r="C65" s="199" t="s">
        <v>896</v>
      </c>
      <c r="D65" s="199" t="s">
        <v>1004</v>
      </c>
      <c r="E65" s="4" t="s">
        <v>683</v>
      </c>
      <c r="F65" s="199">
        <v>2015.0</v>
      </c>
      <c r="G65" s="4" t="s">
        <v>1000</v>
      </c>
      <c r="H65" s="200">
        <v>2013.0</v>
      </c>
      <c r="I65" s="200" t="s">
        <v>683</v>
      </c>
      <c r="J65" s="199">
        <v>251687.0</v>
      </c>
      <c r="K65" s="199">
        <v>100.0</v>
      </c>
      <c r="L65" s="199">
        <v>2036.0</v>
      </c>
      <c r="M65" s="199">
        <v>50.0</v>
      </c>
      <c r="N65" s="200" t="s">
        <v>683</v>
      </c>
      <c r="O65" s="199">
        <v>125843.5</v>
      </c>
      <c r="P65" s="199">
        <v>21782.0</v>
      </c>
      <c r="Q65" s="200"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199">
        <v>53.0</v>
      </c>
      <c r="B66" s="199" t="s">
        <v>895</v>
      </c>
      <c r="C66" s="199" t="s">
        <v>899</v>
      </c>
      <c r="D66" s="199" t="s">
        <v>1090</v>
      </c>
      <c r="E66" s="4" t="s">
        <v>683</v>
      </c>
      <c r="F66" s="199">
        <v>2018.0</v>
      </c>
      <c r="G66" s="4" t="s">
        <v>1000</v>
      </c>
      <c r="H66" s="200">
        <v>2005.0</v>
      </c>
      <c r="I66" s="200" t="s">
        <v>683</v>
      </c>
      <c r="J66" s="199">
        <v>2028000.0</v>
      </c>
      <c r="K66" s="199">
        <v>100.0</v>
      </c>
      <c r="L66" s="199">
        <v>2025.0</v>
      </c>
      <c r="M66" s="199">
        <v>40.0</v>
      </c>
      <c r="N66" s="200" t="s">
        <v>683</v>
      </c>
      <c r="O66" s="199">
        <v>1216800.0</v>
      </c>
      <c r="P66" s="199">
        <v>1222623.0</v>
      </c>
      <c r="Q66" s="200"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199">
        <v>55.0</v>
      </c>
      <c r="B67" s="199" t="s">
        <v>895</v>
      </c>
      <c r="C67" s="199" t="s">
        <v>896</v>
      </c>
      <c r="D67" s="199" t="s">
        <v>1004</v>
      </c>
      <c r="E67" s="4" t="s">
        <v>683</v>
      </c>
      <c r="F67" s="199">
        <v>2015.0</v>
      </c>
      <c r="G67" s="4" t="s">
        <v>1000</v>
      </c>
      <c r="H67" s="200" t="s">
        <v>901</v>
      </c>
      <c r="I67" s="200" t="s">
        <v>683</v>
      </c>
      <c r="J67" s="199">
        <v>1364881.0</v>
      </c>
      <c r="K67" s="199">
        <v>100.0</v>
      </c>
      <c r="L67" s="199">
        <v>2020.0</v>
      </c>
      <c r="M67" s="199">
        <v>20.0</v>
      </c>
      <c r="N67" s="200" t="s">
        <v>683</v>
      </c>
      <c r="O67" s="199">
        <v>1091904.8</v>
      </c>
      <c r="P67" s="199">
        <v>933636.0</v>
      </c>
      <c r="Q67" s="200"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199">
        <v>55.0</v>
      </c>
      <c r="B68" s="199" t="s">
        <v>895</v>
      </c>
      <c r="C68" s="199" t="s">
        <v>896</v>
      </c>
      <c r="D68" s="199" t="s">
        <v>1004</v>
      </c>
      <c r="E68" s="4" t="s">
        <v>683</v>
      </c>
      <c r="F68" s="199">
        <v>2015.0</v>
      </c>
      <c r="G68" s="4" t="s">
        <v>1000</v>
      </c>
      <c r="H68" s="200" t="s">
        <v>901</v>
      </c>
      <c r="I68" s="200" t="s">
        <v>683</v>
      </c>
      <c r="J68" s="199">
        <v>1364881.0</v>
      </c>
      <c r="K68" s="199">
        <v>100.0</v>
      </c>
      <c r="L68" s="199">
        <v>2050.0</v>
      </c>
      <c r="M68" s="199">
        <v>80.0</v>
      </c>
      <c r="N68" s="200" t="s">
        <v>683</v>
      </c>
      <c r="O68" s="199">
        <v>272976.2</v>
      </c>
      <c r="P68" s="199">
        <v>933636.0</v>
      </c>
      <c r="Q68" s="200"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199">
        <v>56.0</v>
      </c>
      <c r="B69" s="199" t="s">
        <v>895</v>
      </c>
      <c r="C69" s="199" t="s">
        <v>896</v>
      </c>
      <c r="D69" s="199" t="s">
        <v>1004</v>
      </c>
      <c r="E69" s="4" t="s">
        <v>683</v>
      </c>
      <c r="F69" s="199">
        <v>2008.0</v>
      </c>
      <c r="G69" s="4" t="s">
        <v>1000</v>
      </c>
      <c r="H69" s="200">
        <v>2005.0</v>
      </c>
      <c r="I69" s="200" t="s">
        <v>683</v>
      </c>
      <c r="J69" s="199">
        <v>1392704.0</v>
      </c>
      <c r="K69" s="199">
        <v>100.0</v>
      </c>
      <c r="L69" s="199">
        <v>2020.0</v>
      </c>
      <c r="M69" s="199">
        <v>50.0</v>
      </c>
      <c r="N69" s="200" t="s">
        <v>683</v>
      </c>
      <c r="O69" s="199">
        <v>696352.0</v>
      </c>
      <c r="P69" s="199">
        <v>637798.0</v>
      </c>
      <c r="Q69" s="200"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199">
        <v>59.0</v>
      </c>
      <c r="B70" s="199" t="s">
        <v>895</v>
      </c>
      <c r="C70" s="199" t="s">
        <v>896</v>
      </c>
      <c r="D70" s="199" t="s">
        <v>999</v>
      </c>
      <c r="E70" s="4" t="s">
        <v>683</v>
      </c>
      <c r="F70" s="199">
        <v>2012.0</v>
      </c>
      <c r="G70" s="4" t="s">
        <v>1000</v>
      </c>
      <c r="H70" s="200" t="s">
        <v>901</v>
      </c>
      <c r="I70" s="200" t="s">
        <v>683</v>
      </c>
      <c r="J70" s="199">
        <v>1271358.0</v>
      </c>
      <c r="K70" s="199">
        <v>96.0</v>
      </c>
      <c r="L70" s="199">
        <v>2020.0</v>
      </c>
      <c r="M70" s="199">
        <v>35.0</v>
      </c>
      <c r="N70" s="200" t="s">
        <v>683</v>
      </c>
      <c r="O70" s="199">
        <v>826382.7</v>
      </c>
      <c r="P70" s="199">
        <v>771435.0</v>
      </c>
      <c r="Q70" s="200"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199">
        <v>60.0</v>
      </c>
      <c r="B71" s="199" t="s">
        <v>895</v>
      </c>
      <c r="C71" s="199" t="s">
        <v>896</v>
      </c>
      <c r="D71" s="199" t="s">
        <v>999</v>
      </c>
      <c r="E71" s="4" t="s">
        <v>683</v>
      </c>
      <c r="F71" s="199">
        <v>2019.0</v>
      </c>
      <c r="G71" s="4" t="s">
        <v>1000</v>
      </c>
      <c r="H71" s="200">
        <v>2016.0</v>
      </c>
      <c r="I71" s="200" t="s">
        <v>683</v>
      </c>
      <c r="J71" s="199">
        <v>2710148.0</v>
      </c>
      <c r="K71" s="199">
        <v>100.0</v>
      </c>
      <c r="L71" s="199">
        <v>2030.0</v>
      </c>
      <c r="M71" s="199">
        <v>40.0</v>
      </c>
      <c r="N71" s="200" t="s">
        <v>683</v>
      </c>
      <c r="O71" s="199">
        <v>1626088.8</v>
      </c>
      <c r="P71" s="199">
        <v>2108505.0</v>
      </c>
      <c r="Q71" s="200"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199">
        <v>61.0</v>
      </c>
      <c r="B72" s="199" t="s">
        <v>895</v>
      </c>
      <c r="C72" s="199" t="s">
        <v>896</v>
      </c>
      <c r="D72" s="199" t="s">
        <v>999</v>
      </c>
      <c r="E72" s="4" t="s">
        <v>683</v>
      </c>
      <c r="F72" s="199">
        <v>2018.0</v>
      </c>
      <c r="G72" s="4" t="s">
        <v>1000</v>
      </c>
      <c r="H72" s="200">
        <v>2016.0</v>
      </c>
      <c r="I72" s="200" t="s">
        <v>683</v>
      </c>
      <c r="J72" s="199">
        <v>99214.39</v>
      </c>
      <c r="K72" s="199">
        <v>100.0</v>
      </c>
      <c r="L72" s="199">
        <v>2025.0</v>
      </c>
      <c r="M72" s="199">
        <v>38.0</v>
      </c>
      <c r="N72" s="200" t="s">
        <v>683</v>
      </c>
      <c r="O72" s="199">
        <v>61512.9218</v>
      </c>
      <c r="P72" s="199">
        <v>56898.96</v>
      </c>
      <c r="Q72" s="200"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199">
        <v>61.0</v>
      </c>
      <c r="B73" s="199" t="s">
        <v>895</v>
      </c>
      <c r="C73" s="199" t="s">
        <v>689</v>
      </c>
      <c r="D73" s="199" t="s">
        <v>1021</v>
      </c>
      <c r="E73" s="4" t="s">
        <v>683</v>
      </c>
      <c r="F73" s="199">
        <v>2018.0</v>
      </c>
      <c r="G73" s="4" t="s">
        <v>1000</v>
      </c>
      <c r="H73" s="200">
        <v>2016.0</v>
      </c>
      <c r="I73" s="200" t="s">
        <v>683</v>
      </c>
      <c r="J73" s="199">
        <v>848977.95</v>
      </c>
      <c r="K73" s="199">
        <v>100.0</v>
      </c>
      <c r="L73" s="199">
        <v>2025.0</v>
      </c>
      <c r="M73" s="199">
        <v>20.0</v>
      </c>
      <c r="N73" s="200" t="s">
        <v>683</v>
      </c>
      <c r="O73" s="199">
        <v>679182.36</v>
      </c>
      <c r="P73" s="199">
        <v>503012.19</v>
      </c>
      <c r="Q73" s="200"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199">
        <v>62.0</v>
      </c>
      <c r="B74" s="199" t="s">
        <v>895</v>
      </c>
      <c r="C74" s="199" t="s">
        <v>899</v>
      </c>
      <c r="D74" s="199" t="s">
        <v>1100</v>
      </c>
      <c r="E74" s="4" t="s">
        <v>683</v>
      </c>
      <c r="F74" s="199">
        <v>2018.0</v>
      </c>
      <c r="G74" s="4" t="s">
        <v>1000</v>
      </c>
      <c r="H74" s="200">
        <v>2015.0</v>
      </c>
      <c r="I74" s="200" t="s">
        <v>683</v>
      </c>
      <c r="J74" s="199">
        <v>8446246.48</v>
      </c>
      <c r="K74" s="199">
        <v>100.0</v>
      </c>
      <c r="L74" s="199">
        <v>2030.0</v>
      </c>
      <c r="M74" s="199">
        <v>36.0</v>
      </c>
      <c r="N74" s="200" t="s">
        <v>683</v>
      </c>
      <c r="O74" s="199">
        <v>5405597.7472</v>
      </c>
      <c r="P74" s="199">
        <v>8132508.36</v>
      </c>
      <c r="Q74" s="200"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199">
        <v>64.0</v>
      </c>
      <c r="B75" s="199" t="s">
        <v>895</v>
      </c>
      <c r="C75" s="199" t="s">
        <v>896</v>
      </c>
      <c r="D75" s="199" t="s">
        <v>1004</v>
      </c>
      <c r="E75" s="4" t="s">
        <v>683</v>
      </c>
      <c r="F75" s="199">
        <v>2016.0</v>
      </c>
      <c r="G75" s="201"/>
      <c r="H75" s="200">
        <v>2015.0</v>
      </c>
      <c r="I75" s="200" t="s">
        <v>683</v>
      </c>
      <c r="J75" s="199">
        <v>1458970.0</v>
      </c>
      <c r="K75" s="199">
        <v>100.0</v>
      </c>
      <c r="L75" s="199">
        <v>2025.0</v>
      </c>
      <c r="M75" s="199">
        <v>40.0</v>
      </c>
      <c r="N75" s="200" t="s">
        <v>683</v>
      </c>
      <c r="O75" s="199">
        <v>875382.0</v>
      </c>
      <c r="P75" s="199">
        <v>1071970.0</v>
      </c>
      <c r="Q75" s="200"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199">
        <v>65.0</v>
      </c>
      <c r="B76" s="199" t="s">
        <v>895</v>
      </c>
      <c r="C76" s="199" t="s">
        <v>896</v>
      </c>
      <c r="D76" s="199" t="s">
        <v>1076</v>
      </c>
      <c r="E76" s="4" t="s">
        <v>683</v>
      </c>
      <c r="F76" s="199">
        <v>2015.0</v>
      </c>
      <c r="G76" s="4" t="s">
        <v>1000</v>
      </c>
      <c r="H76" s="200">
        <v>2012.0</v>
      </c>
      <c r="I76" s="200" t="s">
        <v>683</v>
      </c>
      <c r="J76" s="199">
        <v>176955.0</v>
      </c>
      <c r="K76" s="199">
        <v>100.0</v>
      </c>
      <c r="L76" s="199">
        <v>2020.0</v>
      </c>
      <c r="M76" s="199">
        <v>10.0</v>
      </c>
      <c r="N76" s="200" t="s">
        <v>683</v>
      </c>
      <c r="O76" s="199">
        <v>159259.5</v>
      </c>
      <c r="P76" s="199">
        <v>129852.0</v>
      </c>
      <c r="Q76" s="200"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199">
        <v>65.0</v>
      </c>
      <c r="B77" s="199" t="s">
        <v>895</v>
      </c>
      <c r="C77" s="199" t="s">
        <v>899</v>
      </c>
      <c r="D77" s="199" t="s">
        <v>1007</v>
      </c>
      <c r="E77" s="4" t="s">
        <v>683</v>
      </c>
      <c r="F77" s="199">
        <v>2015.0</v>
      </c>
      <c r="G77" s="4" t="s">
        <v>1000</v>
      </c>
      <c r="H77" s="200">
        <v>2019.0</v>
      </c>
      <c r="I77" s="200" t="s">
        <v>683</v>
      </c>
      <c r="J77" s="199">
        <v>129852.0</v>
      </c>
      <c r="K77" s="199">
        <v>100.0</v>
      </c>
      <c r="L77" s="199">
        <v>2019.0</v>
      </c>
      <c r="M77" s="199">
        <v>100.0</v>
      </c>
      <c r="N77" s="200" t="s">
        <v>683</v>
      </c>
      <c r="O77" s="199">
        <v>0.0</v>
      </c>
      <c r="P77" s="199">
        <v>129852.0</v>
      </c>
      <c r="Q77" s="200"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199">
        <v>66.0</v>
      </c>
      <c r="B78" s="199" t="s">
        <v>895</v>
      </c>
      <c r="C78" s="199" t="s">
        <v>899</v>
      </c>
      <c r="D78" s="199" t="s">
        <v>1105</v>
      </c>
      <c r="E78" s="4" t="s">
        <v>683</v>
      </c>
      <c r="F78" s="199">
        <v>2013.0</v>
      </c>
      <c r="G78" s="4" t="s">
        <v>1000</v>
      </c>
      <c r="H78" s="200">
        <v>2018.0</v>
      </c>
      <c r="I78" s="200" t="s">
        <v>683</v>
      </c>
      <c r="J78" s="199">
        <v>0.01</v>
      </c>
      <c r="K78" s="199">
        <v>100.0</v>
      </c>
      <c r="L78" s="199">
        <v>2019.0</v>
      </c>
      <c r="M78" s="199">
        <v>100.0</v>
      </c>
      <c r="N78" s="200" t="s">
        <v>683</v>
      </c>
      <c r="O78" s="199">
        <v>0.0</v>
      </c>
      <c r="P78" s="199">
        <v>0.0</v>
      </c>
      <c r="Q78" s="200"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199">
        <v>66.0</v>
      </c>
      <c r="B79" s="199" t="s">
        <v>895</v>
      </c>
      <c r="C79" s="199" t="s">
        <v>896</v>
      </c>
      <c r="D79" s="199" t="s">
        <v>1004</v>
      </c>
      <c r="E79" s="4" t="s">
        <v>683</v>
      </c>
      <c r="F79" s="199">
        <v>2017.0</v>
      </c>
      <c r="G79" s="4" t="s">
        <v>1000</v>
      </c>
      <c r="H79" s="200">
        <v>2013.0</v>
      </c>
      <c r="I79" s="200" t="s">
        <v>683</v>
      </c>
      <c r="J79" s="199">
        <v>920143.0</v>
      </c>
      <c r="K79" s="199">
        <v>100.0</v>
      </c>
      <c r="L79" s="199">
        <v>2030.0</v>
      </c>
      <c r="M79" s="199">
        <v>75.0</v>
      </c>
      <c r="N79" s="200" t="s">
        <v>683</v>
      </c>
      <c r="O79" s="199">
        <v>230035.75</v>
      </c>
      <c r="P79" s="199">
        <v>388787.0</v>
      </c>
      <c r="Q79" s="200"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199">
        <v>66.0</v>
      </c>
      <c r="B80" s="199" t="s">
        <v>895</v>
      </c>
      <c r="C80" s="199" t="s">
        <v>896</v>
      </c>
      <c r="D80" s="199" t="s">
        <v>1004</v>
      </c>
      <c r="E80" s="4" t="s">
        <v>683</v>
      </c>
      <c r="F80" s="199">
        <v>2017.0</v>
      </c>
      <c r="G80" s="4" t="s">
        <v>1000</v>
      </c>
      <c r="H80" s="200">
        <v>2013.0</v>
      </c>
      <c r="I80" s="200" t="s">
        <v>683</v>
      </c>
      <c r="J80" s="199">
        <v>920143.0</v>
      </c>
      <c r="K80" s="199">
        <v>100.0</v>
      </c>
      <c r="L80" s="199">
        <v>2045.0</v>
      </c>
      <c r="M80" s="199">
        <v>75.0</v>
      </c>
      <c r="N80" s="200" t="s">
        <v>683</v>
      </c>
      <c r="O80" s="199">
        <v>230035.75</v>
      </c>
      <c r="P80" s="199">
        <v>388787.0</v>
      </c>
      <c r="Q80" s="200"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199">
        <v>67.0</v>
      </c>
      <c r="B81" s="199" t="s">
        <v>895</v>
      </c>
      <c r="C81" s="199" t="s">
        <v>896</v>
      </c>
      <c r="D81" s="199" t="s">
        <v>1004</v>
      </c>
      <c r="E81" s="4" t="s">
        <v>683</v>
      </c>
      <c r="F81" s="199">
        <v>2015.0</v>
      </c>
      <c r="G81" s="4" t="s">
        <v>1000</v>
      </c>
      <c r="H81" s="200">
        <v>2013.0</v>
      </c>
      <c r="I81" s="200" t="s">
        <v>683</v>
      </c>
      <c r="J81" s="199">
        <v>1566367.0</v>
      </c>
      <c r="K81" s="199">
        <v>90.0</v>
      </c>
      <c r="L81" s="199">
        <v>2020.0</v>
      </c>
      <c r="M81" s="199">
        <v>15.0</v>
      </c>
      <c r="N81" s="200" t="s">
        <v>683</v>
      </c>
      <c r="O81" s="199">
        <v>1331411.95</v>
      </c>
      <c r="P81" s="199">
        <v>1336793.0</v>
      </c>
      <c r="Q81" s="200"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199">
        <v>67.0</v>
      </c>
      <c r="B82" s="199" t="s">
        <v>895</v>
      </c>
      <c r="C82" s="199" t="s">
        <v>899</v>
      </c>
      <c r="D82" s="199" t="s">
        <v>1067</v>
      </c>
      <c r="E82" s="4" t="s">
        <v>683</v>
      </c>
      <c r="F82" s="199">
        <v>2019.0</v>
      </c>
      <c r="G82" s="4" t="s">
        <v>1000</v>
      </c>
      <c r="H82" s="200">
        <v>2018.0</v>
      </c>
      <c r="I82" s="200" t="s">
        <v>683</v>
      </c>
      <c r="J82" s="199">
        <v>1.890334E7</v>
      </c>
      <c r="K82" s="199">
        <v>80.0</v>
      </c>
      <c r="L82" s="199">
        <v>2025.0</v>
      </c>
      <c r="M82" s="199">
        <v>10.0</v>
      </c>
      <c r="N82" s="200" t="s">
        <v>683</v>
      </c>
      <c r="O82" s="199">
        <v>1.7013006E7</v>
      </c>
      <c r="P82" s="199"/>
      <c r="Q82" s="200"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199">
        <v>68.0</v>
      </c>
      <c r="B83" s="199" t="s">
        <v>895</v>
      </c>
      <c r="C83" s="199" t="s">
        <v>899</v>
      </c>
      <c r="D83" s="199" t="s">
        <v>1111</v>
      </c>
      <c r="E83" s="4" t="s">
        <v>683</v>
      </c>
      <c r="F83" s="199">
        <v>2017.0</v>
      </c>
      <c r="G83" s="4" t="s">
        <v>1000</v>
      </c>
      <c r="H83" s="200">
        <v>2012.0</v>
      </c>
      <c r="I83" s="200" t="s">
        <v>683</v>
      </c>
      <c r="J83" s="199">
        <v>465350.0</v>
      </c>
      <c r="K83" s="199">
        <v>100.0</v>
      </c>
      <c r="L83" s="199">
        <v>2022.0</v>
      </c>
      <c r="M83" s="199">
        <v>100.0</v>
      </c>
      <c r="N83" s="200" t="s">
        <v>683</v>
      </c>
      <c r="O83" s="199">
        <v>0.0</v>
      </c>
      <c r="P83" s="199">
        <v>304200.0</v>
      </c>
      <c r="Q83" s="200"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199">
        <v>68.0</v>
      </c>
      <c r="B84" s="199" t="s">
        <v>895</v>
      </c>
      <c r="C84" s="199" t="s">
        <v>896</v>
      </c>
      <c r="D84" s="199" t="s">
        <v>1004</v>
      </c>
      <c r="E84" s="4" t="s">
        <v>683</v>
      </c>
      <c r="F84" s="199">
        <v>2017.0</v>
      </c>
      <c r="G84" s="4" t="s">
        <v>1000</v>
      </c>
      <c r="H84" s="200">
        <v>2012.0</v>
      </c>
      <c r="I84" s="200" t="s">
        <v>683</v>
      </c>
      <c r="J84" s="199">
        <v>357990.0</v>
      </c>
      <c r="K84" s="199">
        <v>100.0</v>
      </c>
      <c r="L84" s="199">
        <v>2022.0</v>
      </c>
      <c r="M84" s="199">
        <v>90.0</v>
      </c>
      <c r="N84" s="200" t="s">
        <v>683</v>
      </c>
      <c r="O84" s="199">
        <v>35799.0</v>
      </c>
      <c r="P84" s="199">
        <v>204500.0</v>
      </c>
      <c r="Q84" s="200"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199">
        <v>68.0</v>
      </c>
      <c r="B85" s="199" t="s">
        <v>895</v>
      </c>
      <c r="C85" s="199" t="s">
        <v>896</v>
      </c>
      <c r="D85" s="199" t="s">
        <v>1004</v>
      </c>
      <c r="E85" s="4" t="s">
        <v>683</v>
      </c>
      <c r="F85" s="199">
        <v>2017.0</v>
      </c>
      <c r="G85" s="4" t="s">
        <v>1000</v>
      </c>
      <c r="H85" s="200">
        <v>2012.0</v>
      </c>
      <c r="I85" s="200" t="s">
        <v>683</v>
      </c>
      <c r="J85" s="199">
        <v>357990.0</v>
      </c>
      <c r="K85" s="199">
        <v>100.0</v>
      </c>
      <c r="L85" s="199">
        <v>2033.0</v>
      </c>
      <c r="M85" s="199">
        <v>90.0</v>
      </c>
      <c r="N85" s="200" t="s">
        <v>683</v>
      </c>
      <c r="O85" s="199">
        <v>35799.0</v>
      </c>
      <c r="P85" s="199">
        <v>204500.0</v>
      </c>
      <c r="Q85" s="200"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199">
        <v>71.0</v>
      </c>
      <c r="B86" s="199" t="s">
        <v>895</v>
      </c>
      <c r="C86" s="199" t="s">
        <v>896</v>
      </c>
      <c r="D86" s="199" t="s">
        <v>1004</v>
      </c>
      <c r="E86" s="4" t="s">
        <v>683</v>
      </c>
      <c r="F86" s="199">
        <v>2019.0</v>
      </c>
      <c r="G86" s="4" t="s">
        <v>1000</v>
      </c>
      <c r="H86" s="200">
        <v>2015.0</v>
      </c>
      <c r="I86" s="200" t="s">
        <v>683</v>
      </c>
      <c r="J86" s="199">
        <v>264394.0</v>
      </c>
      <c r="K86" s="199">
        <v>100.0</v>
      </c>
      <c r="L86" s="199">
        <v>2025.0</v>
      </c>
      <c r="M86" s="199">
        <v>65.0</v>
      </c>
      <c r="N86" s="200" t="s">
        <v>683</v>
      </c>
      <c r="O86" s="199">
        <v>92537.9</v>
      </c>
      <c r="P86" s="199">
        <v>255779.0</v>
      </c>
      <c r="Q86" s="200"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199">
        <v>73.0</v>
      </c>
      <c r="B87" s="199" t="s">
        <v>895</v>
      </c>
      <c r="C87" s="199" t="s">
        <v>896</v>
      </c>
      <c r="D87" s="199" t="s">
        <v>999</v>
      </c>
      <c r="E87" s="4" t="s">
        <v>683</v>
      </c>
      <c r="F87" s="199">
        <v>2020.0</v>
      </c>
      <c r="G87" s="4" t="s">
        <v>1068</v>
      </c>
      <c r="H87" s="200">
        <v>2013.0</v>
      </c>
      <c r="I87" s="200" t="s">
        <v>683</v>
      </c>
      <c r="J87" s="199">
        <v>8081870.0</v>
      </c>
      <c r="K87" s="199">
        <v>77.0</v>
      </c>
      <c r="L87" s="199">
        <v>2025.0</v>
      </c>
      <c r="M87" s="199">
        <v>4.6</v>
      </c>
      <c r="N87" s="200" t="s">
        <v>683</v>
      </c>
      <c r="O87" s="199">
        <v>7710103.98</v>
      </c>
      <c r="P87" s="199"/>
      <c r="Q87" s="200"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199">
        <v>74.0</v>
      </c>
      <c r="B88" s="199" t="s">
        <v>895</v>
      </c>
      <c r="C88" s="199" t="s">
        <v>896</v>
      </c>
      <c r="D88" s="199" t="s">
        <v>1004</v>
      </c>
      <c r="E88" s="4" t="s">
        <v>683</v>
      </c>
      <c r="F88" s="199">
        <v>2018.0</v>
      </c>
      <c r="G88" s="4" t="s">
        <v>1000</v>
      </c>
      <c r="H88" s="200">
        <v>2015.0</v>
      </c>
      <c r="I88" s="200" t="s">
        <v>683</v>
      </c>
      <c r="J88" s="199">
        <v>459516.0</v>
      </c>
      <c r="K88" s="199">
        <v>100.0</v>
      </c>
      <c r="L88" s="199">
        <v>2025.0</v>
      </c>
      <c r="M88" s="199">
        <v>26.0</v>
      </c>
      <c r="N88" s="200" t="s">
        <v>683</v>
      </c>
      <c r="O88" s="199">
        <v>340041.84</v>
      </c>
      <c r="P88" s="199">
        <v>365543.0</v>
      </c>
      <c r="Q88" s="200"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199">
        <v>74.0</v>
      </c>
      <c r="B89" s="199" t="s">
        <v>895</v>
      </c>
      <c r="C89" s="199" t="s">
        <v>896</v>
      </c>
      <c r="D89" s="199" t="s">
        <v>1004</v>
      </c>
      <c r="E89" s="4" t="s">
        <v>683</v>
      </c>
      <c r="F89" s="199">
        <v>2018.0</v>
      </c>
      <c r="G89" s="4" t="s">
        <v>1000</v>
      </c>
      <c r="H89" s="200">
        <v>2015.0</v>
      </c>
      <c r="I89" s="200" t="s">
        <v>683</v>
      </c>
      <c r="J89" s="199">
        <v>459516.0</v>
      </c>
      <c r="K89" s="199">
        <v>100.0</v>
      </c>
      <c r="L89" s="199">
        <v>2050.0</v>
      </c>
      <c r="M89" s="199">
        <v>65.0</v>
      </c>
      <c r="N89" s="200" t="s">
        <v>683</v>
      </c>
      <c r="O89" s="199">
        <v>160830.6</v>
      </c>
      <c r="P89" s="199">
        <v>365543.0</v>
      </c>
      <c r="Q89" s="200"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199">
        <v>74.0</v>
      </c>
      <c r="B90" s="199" t="s">
        <v>895</v>
      </c>
      <c r="C90" s="199" t="s">
        <v>896</v>
      </c>
      <c r="D90" s="199" t="s">
        <v>1004</v>
      </c>
      <c r="E90" s="4" t="s">
        <v>683</v>
      </c>
      <c r="F90" s="199">
        <v>2016.0</v>
      </c>
      <c r="G90" s="4" t="s">
        <v>1068</v>
      </c>
      <c r="H90" s="200">
        <v>2015.0</v>
      </c>
      <c r="I90" s="200" t="s">
        <v>683</v>
      </c>
      <c r="J90" s="199">
        <v>373626.0</v>
      </c>
      <c r="K90" s="199">
        <v>81.0</v>
      </c>
      <c r="L90" s="199">
        <v>2020.0</v>
      </c>
      <c r="M90" s="199">
        <v>20.0</v>
      </c>
      <c r="N90" s="200" t="s">
        <v>683</v>
      </c>
      <c r="O90" s="199">
        <v>298900.8</v>
      </c>
      <c r="P90" s="199">
        <v>211880.0</v>
      </c>
      <c r="Q90" s="200"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199">
        <v>74.0</v>
      </c>
      <c r="B91" s="199" t="s">
        <v>895</v>
      </c>
      <c r="C91" s="199" t="s">
        <v>689</v>
      </c>
      <c r="D91" s="199" t="s">
        <v>1056</v>
      </c>
      <c r="E91" s="4" t="s">
        <v>683</v>
      </c>
      <c r="F91" s="199">
        <v>2019.0</v>
      </c>
      <c r="G91" s="4" t="s">
        <v>1000</v>
      </c>
      <c r="H91" s="200">
        <v>2019.0</v>
      </c>
      <c r="I91" s="200" t="s">
        <v>683</v>
      </c>
      <c r="J91" s="199">
        <v>173807.0</v>
      </c>
      <c r="K91" s="199">
        <v>100.0</v>
      </c>
      <c r="L91" s="199">
        <v>2025.0</v>
      </c>
      <c r="M91" s="199">
        <v>25.0</v>
      </c>
      <c r="N91" s="200" t="s">
        <v>683</v>
      </c>
      <c r="O91" s="199">
        <v>130355.25</v>
      </c>
      <c r="P91" s="199">
        <v>173807.0</v>
      </c>
      <c r="Q91" s="200"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199">
        <v>76.0</v>
      </c>
      <c r="B92" s="199" t="s">
        <v>895</v>
      </c>
      <c r="C92" s="199" t="s">
        <v>899</v>
      </c>
      <c r="D92" s="199" t="s">
        <v>1040</v>
      </c>
      <c r="E92" s="4" t="s">
        <v>683</v>
      </c>
      <c r="F92" s="199">
        <v>2016.0</v>
      </c>
      <c r="G92" s="4" t="s">
        <v>1000</v>
      </c>
      <c r="H92" s="200">
        <v>2015.0</v>
      </c>
      <c r="I92" s="200" t="s">
        <v>683</v>
      </c>
      <c r="J92" s="199">
        <v>5.8755109E7</v>
      </c>
      <c r="K92" s="199">
        <v>100.0</v>
      </c>
      <c r="L92" s="199">
        <v>2030.0</v>
      </c>
      <c r="M92" s="199">
        <v>20.0</v>
      </c>
      <c r="N92" s="200" t="s">
        <v>683</v>
      </c>
      <c r="O92" s="199">
        <v>4.70040872E7</v>
      </c>
      <c r="P92" s="199">
        <v>5.5442735E7</v>
      </c>
      <c r="Q92" s="200"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199">
        <v>77.0</v>
      </c>
      <c r="B93" s="199" t="s">
        <v>895</v>
      </c>
      <c r="C93" s="199" t="s">
        <v>896</v>
      </c>
      <c r="D93" s="199" t="s">
        <v>999</v>
      </c>
      <c r="E93" s="4" t="s">
        <v>683</v>
      </c>
      <c r="F93" s="199">
        <v>2013.0</v>
      </c>
      <c r="G93" s="4" t="s">
        <v>1000</v>
      </c>
      <c r="H93" s="200">
        <v>2012.0</v>
      </c>
      <c r="I93" s="200" t="s">
        <v>683</v>
      </c>
      <c r="J93" s="199">
        <v>2005730.0</v>
      </c>
      <c r="K93" s="199">
        <v>100.0</v>
      </c>
      <c r="L93" s="199">
        <v>2020.0</v>
      </c>
      <c r="M93" s="199">
        <v>20.0</v>
      </c>
      <c r="N93" s="200" t="s">
        <v>683</v>
      </c>
      <c r="O93" s="199">
        <v>1604584.0</v>
      </c>
      <c r="P93" s="199">
        <v>1496924.0</v>
      </c>
      <c r="Q93" s="200"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199">
        <v>77.0</v>
      </c>
      <c r="B94" s="199" t="s">
        <v>895</v>
      </c>
      <c r="C94" s="199" t="s">
        <v>896</v>
      </c>
      <c r="D94" s="199" t="s">
        <v>999</v>
      </c>
      <c r="E94" s="4" t="s">
        <v>683</v>
      </c>
      <c r="F94" s="199">
        <v>2002.0</v>
      </c>
      <c r="G94" s="4" t="s">
        <v>1000</v>
      </c>
      <c r="H94" s="200">
        <v>2000.0</v>
      </c>
      <c r="I94" s="200" t="s">
        <v>683</v>
      </c>
      <c r="J94" s="199">
        <v>3479388.0</v>
      </c>
      <c r="K94" s="199">
        <v>100.0</v>
      </c>
      <c r="L94" s="199">
        <v>2050.0</v>
      </c>
      <c r="M94" s="199">
        <v>60.0</v>
      </c>
      <c r="N94" s="200" t="s">
        <v>683</v>
      </c>
      <c r="O94" s="199">
        <v>1391755.2</v>
      </c>
      <c r="P94" s="199">
        <v>1496924.0</v>
      </c>
      <c r="Q94" s="200"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199">
        <v>78.0</v>
      </c>
      <c r="B95" s="199" t="s">
        <v>895</v>
      </c>
      <c r="C95" s="199" t="s">
        <v>896</v>
      </c>
      <c r="D95" s="199" t="s">
        <v>1004</v>
      </c>
      <c r="E95" s="4" t="s">
        <v>683</v>
      </c>
      <c r="F95" s="199">
        <v>2016.0</v>
      </c>
      <c r="G95" s="4" t="s">
        <v>1000</v>
      </c>
      <c r="H95" s="199">
        <v>2010.0</v>
      </c>
      <c r="I95" s="200" t="s">
        <v>683</v>
      </c>
      <c r="J95" s="199">
        <v>914050.0</v>
      </c>
      <c r="K95" s="199">
        <v>100.0</v>
      </c>
      <c r="L95" s="199">
        <v>2030.0</v>
      </c>
      <c r="M95" s="199">
        <v>40.0</v>
      </c>
      <c r="N95" s="200" t="s">
        <v>683</v>
      </c>
      <c r="O95" s="199">
        <v>548430.0</v>
      </c>
      <c r="P95" s="199">
        <v>555882.0</v>
      </c>
      <c r="Q95" s="200"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199">
        <v>78.0</v>
      </c>
      <c r="B96" s="199" t="s">
        <v>895</v>
      </c>
      <c r="C96" s="199" t="s">
        <v>896</v>
      </c>
      <c r="D96" s="199" t="s">
        <v>1004</v>
      </c>
      <c r="E96" s="4" t="s">
        <v>683</v>
      </c>
      <c r="F96" s="199">
        <v>2016.0</v>
      </c>
      <c r="G96" s="4" t="s">
        <v>1000</v>
      </c>
      <c r="H96" s="199">
        <v>2010.0</v>
      </c>
      <c r="I96" s="200" t="s">
        <v>683</v>
      </c>
      <c r="J96" s="199">
        <v>914050.0</v>
      </c>
      <c r="K96" s="199">
        <v>100.0</v>
      </c>
      <c r="L96" s="199">
        <v>2040.0</v>
      </c>
      <c r="M96" s="199">
        <v>60.0</v>
      </c>
      <c r="N96" s="200" t="s">
        <v>683</v>
      </c>
      <c r="O96" s="199">
        <v>365620.0</v>
      </c>
      <c r="P96" s="199">
        <v>555882.0</v>
      </c>
      <c r="Q96" s="200"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199">
        <v>78.0</v>
      </c>
      <c r="B97" s="199" t="s">
        <v>895</v>
      </c>
      <c r="C97" s="199" t="s">
        <v>899</v>
      </c>
      <c r="D97" s="199" t="s">
        <v>1040</v>
      </c>
      <c r="E97" s="4" t="s">
        <v>683</v>
      </c>
      <c r="F97" s="199">
        <v>2016.0</v>
      </c>
      <c r="G97" s="4" t="s">
        <v>1000</v>
      </c>
      <c r="H97" s="199">
        <v>2010.0</v>
      </c>
      <c r="I97" s="200" t="s">
        <v>683</v>
      </c>
      <c r="J97" s="199">
        <v>8062275.0</v>
      </c>
      <c r="K97" s="199">
        <v>100.0</v>
      </c>
      <c r="L97" s="199">
        <v>2030.0</v>
      </c>
      <c r="M97" s="199">
        <v>40.0</v>
      </c>
      <c r="N97" s="200" t="s">
        <v>683</v>
      </c>
      <c r="O97" s="199">
        <v>4837365.0</v>
      </c>
      <c r="P97" s="199">
        <v>4682492.0</v>
      </c>
      <c r="Q97" s="200"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199">
        <v>79.0</v>
      </c>
      <c r="B98" s="199" t="s">
        <v>895</v>
      </c>
      <c r="C98" s="199" t="s">
        <v>896</v>
      </c>
      <c r="D98" s="199" t="s">
        <v>1004</v>
      </c>
      <c r="E98" s="4" t="s">
        <v>683</v>
      </c>
      <c r="F98" s="199">
        <v>2012.0</v>
      </c>
      <c r="G98" s="4" t="s">
        <v>1000</v>
      </c>
      <c r="H98" s="199">
        <v>2010.0</v>
      </c>
      <c r="I98" s="200" t="s">
        <v>683</v>
      </c>
      <c r="J98" s="199">
        <v>5422275.0</v>
      </c>
      <c r="K98" s="199">
        <v>100.0</v>
      </c>
      <c r="L98" s="199">
        <v>2020.0</v>
      </c>
      <c r="M98" s="199">
        <v>30.0</v>
      </c>
      <c r="N98" s="200" t="s">
        <v>683</v>
      </c>
      <c r="O98" s="199">
        <v>3795592.5</v>
      </c>
      <c r="P98" s="199">
        <v>4050000.0</v>
      </c>
      <c r="Q98" s="200"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199">
        <v>79.0</v>
      </c>
      <c r="B99" s="199" t="s">
        <v>895</v>
      </c>
      <c r="C99" s="199" t="s">
        <v>896</v>
      </c>
      <c r="D99" s="199" t="s">
        <v>1004</v>
      </c>
      <c r="E99" s="4" t="s">
        <v>683</v>
      </c>
      <c r="F99" s="199">
        <v>2018.0</v>
      </c>
      <c r="G99" s="4" t="s">
        <v>1000</v>
      </c>
      <c r="H99" s="199">
        <v>2010.0</v>
      </c>
      <c r="I99" s="200" t="s">
        <v>683</v>
      </c>
      <c r="J99" s="199">
        <v>5422275.0</v>
      </c>
      <c r="K99" s="199">
        <v>100.0</v>
      </c>
      <c r="L99" s="199">
        <v>2030.0</v>
      </c>
      <c r="M99" s="199">
        <v>50.0</v>
      </c>
      <c r="N99" s="200" t="s">
        <v>683</v>
      </c>
      <c r="O99" s="199">
        <v>2711137.5</v>
      </c>
      <c r="P99" s="199">
        <v>4050000.0</v>
      </c>
      <c r="Q99" s="200"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199">
        <v>80.0</v>
      </c>
      <c r="B100" s="199" t="s">
        <v>895</v>
      </c>
      <c r="C100" s="199" t="s">
        <v>896</v>
      </c>
      <c r="D100" s="199" t="s">
        <v>1004</v>
      </c>
      <c r="E100" s="4" t="s">
        <v>683</v>
      </c>
      <c r="F100" s="199">
        <v>2015.0</v>
      </c>
      <c r="G100" s="4" t="s">
        <v>1000</v>
      </c>
      <c r="H100" s="200">
        <v>2014.0</v>
      </c>
      <c r="I100" s="200" t="s">
        <v>683</v>
      </c>
      <c r="J100" s="199">
        <v>230637.0</v>
      </c>
      <c r="K100" s="199">
        <v>100.0</v>
      </c>
      <c r="L100" s="199">
        <v>2025.0</v>
      </c>
      <c r="M100" s="199">
        <v>30.0</v>
      </c>
      <c r="N100" s="200" t="s">
        <v>683</v>
      </c>
      <c r="O100" s="199">
        <v>161445.9</v>
      </c>
      <c r="P100" s="199">
        <v>189350.0</v>
      </c>
      <c r="Q100" s="200"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199">
        <v>82.0</v>
      </c>
      <c r="B101" s="199" t="s">
        <v>895</v>
      </c>
      <c r="C101" s="199" t="s">
        <v>896</v>
      </c>
      <c r="D101" s="199" t="s">
        <v>1004</v>
      </c>
      <c r="E101" s="4" t="s">
        <v>683</v>
      </c>
      <c r="F101" s="199">
        <v>2016.0</v>
      </c>
      <c r="G101" s="4" t="s">
        <v>1000</v>
      </c>
      <c r="H101" s="200">
        <v>2015.0</v>
      </c>
      <c r="I101" s="200" t="s">
        <v>683</v>
      </c>
      <c r="J101" s="199">
        <v>106542.0</v>
      </c>
      <c r="K101" s="199">
        <v>100.0</v>
      </c>
      <c r="L101" s="199">
        <v>2050.0</v>
      </c>
      <c r="M101" s="199">
        <v>100.0</v>
      </c>
      <c r="N101" s="200" t="s">
        <v>683</v>
      </c>
      <c r="O101" s="199">
        <v>0.0</v>
      </c>
      <c r="P101" s="199">
        <v>140506.0</v>
      </c>
      <c r="Q101" s="200"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199">
        <v>82.0</v>
      </c>
      <c r="B102" s="199" t="s">
        <v>895</v>
      </c>
      <c r="C102" s="199" t="s">
        <v>896</v>
      </c>
      <c r="D102" s="199" t="s">
        <v>1004</v>
      </c>
      <c r="E102" s="4" t="s">
        <v>683</v>
      </c>
      <c r="F102" s="199">
        <v>2016.0</v>
      </c>
      <c r="G102" s="4" t="s">
        <v>1000</v>
      </c>
      <c r="H102" s="200">
        <v>2015.0</v>
      </c>
      <c r="I102" s="200" t="s">
        <v>683</v>
      </c>
      <c r="J102" s="199">
        <v>106542.0</v>
      </c>
      <c r="K102" s="199">
        <v>100.0</v>
      </c>
      <c r="L102" s="199">
        <v>2050.0</v>
      </c>
      <c r="M102" s="199">
        <v>52.0</v>
      </c>
      <c r="N102" s="200" t="s">
        <v>683</v>
      </c>
      <c r="O102" s="199">
        <v>51140.16</v>
      </c>
      <c r="P102" s="199">
        <v>140506.0</v>
      </c>
      <c r="Q102" s="200"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199">
        <v>82.0</v>
      </c>
      <c r="B103" s="199" t="s">
        <v>895</v>
      </c>
      <c r="C103" s="199" t="s">
        <v>896</v>
      </c>
      <c r="D103" s="199" t="s">
        <v>1004</v>
      </c>
      <c r="E103" s="4" t="s">
        <v>683</v>
      </c>
      <c r="F103" s="199">
        <v>2016.0</v>
      </c>
      <c r="G103" s="4" t="s">
        <v>1000</v>
      </c>
      <c r="H103" s="200">
        <v>2015.0</v>
      </c>
      <c r="I103" s="200" t="s">
        <v>683</v>
      </c>
      <c r="J103" s="199">
        <v>106542.0</v>
      </c>
      <c r="K103" s="199">
        <v>100.0</v>
      </c>
      <c r="L103" s="199">
        <v>2030.0</v>
      </c>
      <c r="M103" s="199">
        <v>27.0</v>
      </c>
      <c r="N103" s="200" t="s">
        <v>683</v>
      </c>
      <c r="O103" s="199">
        <v>77775.66</v>
      </c>
      <c r="P103" s="199">
        <v>140506.0</v>
      </c>
      <c r="Q103" s="200"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199">
        <v>82.0</v>
      </c>
      <c r="B104" s="199" t="s">
        <v>895</v>
      </c>
      <c r="C104" s="199" t="s">
        <v>896</v>
      </c>
      <c r="D104" s="199" t="s">
        <v>1004</v>
      </c>
      <c r="E104" s="4" t="s">
        <v>683</v>
      </c>
      <c r="F104" s="199">
        <v>2019.0</v>
      </c>
      <c r="G104" s="4" t="s">
        <v>1000</v>
      </c>
      <c r="H104" s="200">
        <v>2018.0</v>
      </c>
      <c r="I104" s="200" t="s">
        <v>683</v>
      </c>
      <c r="J104" s="199">
        <v>162938.0</v>
      </c>
      <c r="K104" s="199">
        <v>100.0</v>
      </c>
      <c r="L104" s="199">
        <v>2030.0</v>
      </c>
      <c r="M104" s="199">
        <v>50.0</v>
      </c>
      <c r="N104" s="200" t="s">
        <v>683</v>
      </c>
      <c r="O104" s="199">
        <v>81469.0</v>
      </c>
      <c r="P104" s="199">
        <v>140506.0</v>
      </c>
      <c r="Q104" s="200"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199">
        <v>82.0</v>
      </c>
      <c r="B105" s="199" t="s">
        <v>895</v>
      </c>
      <c r="C105" s="199" t="s">
        <v>689</v>
      </c>
      <c r="D105" s="199" t="s">
        <v>1135</v>
      </c>
      <c r="E105" s="4" t="s">
        <v>683</v>
      </c>
      <c r="F105" s="199">
        <v>2018.0</v>
      </c>
      <c r="G105" s="4" t="s">
        <v>1000</v>
      </c>
      <c r="H105" s="200">
        <v>2018.0</v>
      </c>
      <c r="I105" s="200" t="s">
        <v>683</v>
      </c>
      <c r="J105" s="199">
        <v>67890.0</v>
      </c>
      <c r="K105" s="199">
        <v>100.0</v>
      </c>
      <c r="L105" s="199">
        <v>2030.0</v>
      </c>
      <c r="M105" s="199">
        <v>50.0</v>
      </c>
      <c r="N105" s="200" t="s">
        <v>683</v>
      </c>
      <c r="O105" s="199">
        <v>33945.0</v>
      </c>
      <c r="P105" s="199">
        <v>61544.0</v>
      </c>
      <c r="Q105" s="200"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199">
        <v>84.0</v>
      </c>
      <c r="B106" s="199" t="s">
        <v>895</v>
      </c>
      <c r="C106" s="199" t="s">
        <v>896</v>
      </c>
      <c r="D106" s="199" t="s">
        <v>1004</v>
      </c>
      <c r="E106" s="4" t="s">
        <v>683</v>
      </c>
      <c r="F106" s="199">
        <v>2020.0</v>
      </c>
      <c r="G106" s="4" t="s">
        <v>1000</v>
      </c>
      <c r="H106" s="200">
        <v>2019.0</v>
      </c>
      <c r="I106" s="200" t="s">
        <v>683</v>
      </c>
      <c r="J106" s="199">
        <v>266578.01</v>
      </c>
      <c r="K106" s="199">
        <v>100.0</v>
      </c>
      <c r="L106" s="199">
        <v>2035.0</v>
      </c>
      <c r="M106" s="199">
        <v>68.0</v>
      </c>
      <c r="N106" s="200" t="s">
        <v>683</v>
      </c>
      <c r="O106" s="199">
        <v>85304.9632</v>
      </c>
      <c r="P106" s="199">
        <v>266578.01</v>
      </c>
      <c r="Q106" s="200"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199">
        <v>84.0</v>
      </c>
      <c r="B107" s="199" t="s">
        <v>895</v>
      </c>
      <c r="C107" s="199" t="s">
        <v>902</v>
      </c>
      <c r="D107" s="199" t="s">
        <v>1038</v>
      </c>
      <c r="E107" s="4" t="s">
        <v>683</v>
      </c>
      <c r="F107" s="199">
        <v>2019.0</v>
      </c>
      <c r="G107" s="4" t="s">
        <v>1000</v>
      </c>
      <c r="H107" s="200">
        <v>2018.0</v>
      </c>
      <c r="I107" s="200" t="s">
        <v>683</v>
      </c>
      <c r="J107" s="199">
        <v>259394.23</v>
      </c>
      <c r="K107" s="199">
        <v>100.0</v>
      </c>
      <c r="L107" s="199">
        <v>2019.0</v>
      </c>
      <c r="M107" s="199">
        <v>1.0</v>
      </c>
      <c r="N107" s="200" t="s">
        <v>683</v>
      </c>
      <c r="O107" s="199">
        <v>256800.2877</v>
      </c>
      <c r="P107" s="199">
        <v>249714.82</v>
      </c>
      <c r="Q107" s="200"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199">
        <v>87.0</v>
      </c>
      <c r="B108" s="199" t="s">
        <v>895</v>
      </c>
      <c r="C108" s="199" t="s">
        <v>896</v>
      </c>
      <c r="D108" s="199" t="s">
        <v>1004</v>
      </c>
      <c r="E108" s="4" t="s">
        <v>683</v>
      </c>
      <c r="F108" s="199">
        <v>2019.0</v>
      </c>
      <c r="G108" s="4" t="s">
        <v>1000</v>
      </c>
      <c r="H108" s="200">
        <v>2017.0</v>
      </c>
      <c r="I108" s="200" t="s">
        <v>683</v>
      </c>
      <c r="J108" s="199">
        <v>2567880.0</v>
      </c>
      <c r="K108" s="199">
        <v>100.0</v>
      </c>
      <c r="L108" s="199">
        <v>2030.0</v>
      </c>
      <c r="M108" s="199">
        <v>30.0</v>
      </c>
      <c r="N108" s="200" t="s">
        <v>683</v>
      </c>
      <c r="O108" s="199">
        <v>1797516.0</v>
      </c>
      <c r="P108" s="199">
        <v>2298450.0</v>
      </c>
      <c r="Q108" s="200"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199">
        <v>87.0</v>
      </c>
      <c r="B109" s="199" t="s">
        <v>895</v>
      </c>
      <c r="C109" s="199" t="s">
        <v>689</v>
      </c>
      <c r="D109" s="199" t="s">
        <v>1140</v>
      </c>
      <c r="E109" s="4" t="s">
        <v>683</v>
      </c>
      <c r="F109" s="199">
        <v>2019.0</v>
      </c>
      <c r="G109" s="4" t="s">
        <v>1000</v>
      </c>
      <c r="H109" s="200">
        <v>2017.0</v>
      </c>
      <c r="I109" s="200" t="s">
        <v>683</v>
      </c>
      <c r="J109" s="199">
        <v>2.6939E7</v>
      </c>
      <c r="K109" s="199">
        <v>100.0</v>
      </c>
      <c r="L109" s="199">
        <v>2030.0</v>
      </c>
      <c r="M109" s="199">
        <v>30.0</v>
      </c>
      <c r="N109" s="200" t="s">
        <v>683</v>
      </c>
      <c r="O109" s="199">
        <v>1.88573E7</v>
      </c>
      <c r="P109" s="199">
        <v>2.6363E7</v>
      </c>
      <c r="Q109" s="200"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199">
        <v>88.0</v>
      </c>
      <c r="B110" s="199" t="s">
        <v>895</v>
      </c>
      <c r="C110" s="199" t="s">
        <v>896</v>
      </c>
      <c r="D110" s="199" t="s">
        <v>999</v>
      </c>
      <c r="E110" s="4" t="s">
        <v>683</v>
      </c>
      <c r="F110" s="199">
        <v>2016.0</v>
      </c>
      <c r="G110" s="4" t="s">
        <v>1000</v>
      </c>
      <c r="H110" s="200">
        <v>2015.0</v>
      </c>
      <c r="I110" s="200" t="s">
        <v>683</v>
      </c>
      <c r="J110" s="199">
        <v>2408435.0</v>
      </c>
      <c r="K110" s="199">
        <v>100.0</v>
      </c>
      <c r="L110" s="199">
        <v>2020.0</v>
      </c>
      <c r="M110" s="199">
        <v>15.0</v>
      </c>
      <c r="N110" s="200" t="s">
        <v>683</v>
      </c>
      <c r="O110" s="199">
        <v>2047169.75</v>
      </c>
      <c r="P110" s="199">
        <v>2034760.0</v>
      </c>
      <c r="Q110" s="200"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199">
        <v>6.0</v>
      </c>
      <c r="B111" s="199" t="s">
        <v>895</v>
      </c>
      <c r="C111" s="199" t="s">
        <v>896</v>
      </c>
      <c r="D111" s="199" t="s">
        <v>999</v>
      </c>
      <c r="E111" s="4" t="s">
        <v>683</v>
      </c>
      <c r="F111" s="199">
        <v>2010.0</v>
      </c>
      <c r="G111" s="4" t="s">
        <v>1000</v>
      </c>
      <c r="H111" s="200">
        <v>2007.0</v>
      </c>
      <c r="I111" s="200" t="s">
        <v>683</v>
      </c>
      <c r="J111" s="199">
        <v>188715.0</v>
      </c>
      <c r="K111" s="199">
        <v>66.0</v>
      </c>
      <c r="L111" s="199">
        <v>2020.0</v>
      </c>
      <c r="M111" s="199">
        <v>20.0</v>
      </c>
      <c r="N111" s="200" t="s">
        <v>683</v>
      </c>
      <c r="O111" s="199">
        <v>150972.0</v>
      </c>
      <c r="P111" s="199">
        <v>126094.0</v>
      </c>
      <c r="Q111" s="200"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199">
        <v>29.0</v>
      </c>
      <c r="B112" s="199" t="s">
        <v>895</v>
      </c>
      <c r="C112" s="199" t="s">
        <v>899</v>
      </c>
      <c r="D112" s="199" t="s">
        <v>1040</v>
      </c>
      <c r="E112" s="4" t="s">
        <v>683</v>
      </c>
      <c r="F112" s="199">
        <v>2019.0</v>
      </c>
      <c r="G112" s="4" t="s">
        <v>1000</v>
      </c>
      <c r="H112" s="200">
        <v>2015.0</v>
      </c>
      <c r="I112" s="200" t="s">
        <v>683</v>
      </c>
      <c r="J112" s="199">
        <v>7.014441E7</v>
      </c>
      <c r="K112" s="199">
        <v>100.0</v>
      </c>
      <c r="L112" s="199">
        <v>2030.0</v>
      </c>
      <c r="M112" s="199">
        <v>25.0</v>
      </c>
      <c r="N112" s="200" t="s">
        <v>683</v>
      </c>
      <c r="O112" s="199">
        <v>5.26083075E7</v>
      </c>
      <c r="P112" s="199">
        <v>5.26083075E7</v>
      </c>
      <c r="Q112" s="200"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199">
        <v>36.0</v>
      </c>
      <c r="B113" s="199" t="s">
        <v>895</v>
      </c>
      <c r="C113" s="199" t="s">
        <v>896</v>
      </c>
      <c r="D113" s="199" t="s">
        <v>1004</v>
      </c>
      <c r="E113" s="4" t="s">
        <v>683</v>
      </c>
      <c r="F113" s="199">
        <v>2015.0</v>
      </c>
      <c r="G113" s="4" t="s">
        <v>1000</v>
      </c>
      <c r="H113" s="200">
        <v>2006.0</v>
      </c>
      <c r="I113" s="200" t="s">
        <v>683</v>
      </c>
      <c r="J113" s="199">
        <v>4.21E7</v>
      </c>
      <c r="K113" s="199">
        <v>100.0</v>
      </c>
      <c r="L113" s="199">
        <v>2025.0</v>
      </c>
      <c r="M113" s="199">
        <v>0.0</v>
      </c>
      <c r="N113" s="200" t="s">
        <v>683</v>
      </c>
      <c r="O113" s="199">
        <v>4.21E7</v>
      </c>
      <c r="P113" s="199">
        <v>3.3581018E7</v>
      </c>
      <c r="Q113" s="200"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199">
        <v>51.0</v>
      </c>
      <c r="B114" s="199" t="s">
        <v>895</v>
      </c>
      <c r="C114" s="199" t="s">
        <v>896</v>
      </c>
      <c r="D114" s="199" t="s">
        <v>999</v>
      </c>
      <c r="E114" s="4" t="s">
        <v>683</v>
      </c>
      <c r="F114" s="199">
        <v>2015.0</v>
      </c>
      <c r="G114" s="4" t="s">
        <v>1000</v>
      </c>
      <c r="H114" s="199">
        <v>2010.0</v>
      </c>
      <c r="I114" s="200" t="s">
        <v>683</v>
      </c>
      <c r="J114" s="199">
        <v>3073094.0</v>
      </c>
      <c r="K114" s="199">
        <v>100.0</v>
      </c>
      <c r="L114" s="199">
        <v>2020.0</v>
      </c>
      <c r="M114" s="199">
        <v>20.0</v>
      </c>
      <c r="N114" s="200" t="s">
        <v>683</v>
      </c>
      <c r="O114" s="199">
        <v>2458475.2</v>
      </c>
      <c r="P114" s="199">
        <v>1948233.0</v>
      </c>
      <c r="Q114" s="200"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199">
        <v>51.0</v>
      </c>
      <c r="B115" s="199" t="s">
        <v>895</v>
      </c>
      <c r="C115" s="199" t="s">
        <v>896</v>
      </c>
      <c r="D115" s="199" t="s">
        <v>999</v>
      </c>
      <c r="E115" s="4" t="s">
        <v>683</v>
      </c>
      <c r="F115" s="199">
        <v>2018.0</v>
      </c>
      <c r="G115" s="4" t="s">
        <v>1068</v>
      </c>
      <c r="H115" s="199">
        <v>2011.0</v>
      </c>
      <c r="I115" s="200" t="s">
        <v>683</v>
      </c>
      <c r="J115" s="199">
        <v>3020011.0</v>
      </c>
      <c r="K115" s="199">
        <v>100.0</v>
      </c>
      <c r="L115" s="199">
        <v>2030.0</v>
      </c>
      <c r="M115" s="199">
        <v>39.9</v>
      </c>
      <c r="N115" s="200" t="s">
        <v>683</v>
      </c>
      <c r="O115" s="199">
        <v>1815026.611</v>
      </c>
      <c r="P115" s="199">
        <v>1948233.0</v>
      </c>
      <c r="Q115" s="200"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199">
        <v>51.0</v>
      </c>
      <c r="B116" s="199" t="s">
        <v>895</v>
      </c>
      <c r="C116" s="199" t="s">
        <v>896</v>
      </c>
      <c r="D116" s="199" t="s">
        <v>999</v>
      </c>
      <c r="E116" s="4" t="s">
        <v>683</v>
      </c>
      <c r="F116" s="199">
        <v>2018.0</v>
      </c>
      <c r="G116" s="4" t="s">
        <v>1000</v>
      </c>
      <c r="H116" s="199">
        <v>2011.0</v>
      </c>
      <c r="I116" s="200" t="s">
        <v>683</v>
      </c>
      <c r="J116" s="199">
        <v>3020011.0</v>
      </c>
      <c r="K116" s="199">
        <v>100.0</v>
      </c>
      <c r="L116" s="199">
        <v>2035.0</v>
      </c>
      <c r="M116" s="199">
        <v>50.4</v>
      </c>
      <c r="N116" s="200" t="s">
        <v>683</v>
      </c>
      <c r="O116" s="199">
        <v>1497925.456</v>
      </c>
      <c r="P116" s="199">
        <v>1948233.0</v>
      </c>
      <c r="Q116" s="200"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199">
        <v>85.0</v>
      </c>
      <c r="B117" s="199" t="s">
        <v>895</v>
      </c>
      <c r="C117" s="199" t="s">
        <v>900</v>
      </c>
      <c r="D117" s="199" t="s">
        <v>1033</v>
      </c>
      <c r="E117" s="4" t="s">
        <v>683</v>
      </c>
      <c r="F117" s="199">
        <v>2018.0</v>
      </c>
      <c r="G117" s="4" t="s">
        <v>1149</v>
      </c>
      <c r="H117" s="199">
        <v>2007.0</v>
      </c>
      <c r="I117" s="200" t="s">
        <v>683</v>
      </c>
      <c r="J117" s="199">
        <v>1.56650363E8</v>
      </c>
      <c r="K117" s="199">
        <v>100.0</v>
      </c>
      <c r="L117" s="199">
        <v>2050.0</v>
      </c>
      <c r="M117" s="199">
        <v>100.0</v>
      </c>
      <c r="N117" s="200" t="s">
        <v>683</v>
      </c>
      <c r="O117" s="199">
        <v>0.0</v>
      </c>
      <c r="P117" s="199">
        <v>8.8213565E7</v>
      </c>
      <c r="Q117" s="200"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199">
        <v>85.0</v>
      </c>
      <c r="B118" s="199" t="s">
        <v>895</v>
      </c>
      <c r="C118" s="199" t="s">
        <v>900</v>
      </c>
      <c r="D118" s="199" t="s">
        <v>1033</v>
      </c>
      <c r="E118" s="4" t="s">
        <v>683</v>
      </c>
      <c r="F118" s="199">
        <v>2018.0</v>
      </c>
      <c r="G118" s="4" t="s">
        <v>1149</v>
      </c>
      <c r="H118" s="199">
        <v>2007.0</v>
      </c>
      <c r="I118" s="200" t="s">
        <v>683</v>
      </c>
      <c r="J118" s="199">
        <v>1.56650363E8</v>
      </c>
      <c r="K118" s="199">
        <v>100.0</v>
      </c>
      <c r="L118" s="199">
        <v>2030.0</v>
      </c>
      <c r="M118" s="199">
        <v>50.0</v>
      </c>
      <c r="N118" s="200" t="s">
        <v>683</v>
      </c>
      <c r="O118" s="199">
        <v>7.83251815E7</v>
      </c>
      <c r="P118" s="199">
        <v>8.8213565E7</v>
      </c>
      <c r="Q118" s="200"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199">
        <v>95.0</v>
      </c>
      <c r="B119" s="199" t="s">
        <v>895</v>
      </c>
      <c r="C119" s="199" t="s">
        <v>896</v>
      </c>
      <c r="D119" s="199" t="s">
        <v>1004</v>
      </c>
      <c r="E119" s="4" t="s">
        <v>683</v>
      </c>
      <c r="F119" s="199">
        <v>2016.0</v>
      </c>
      <c r="G119" s="4" t="s">
        <v>1000</v>
      </c>
      <c r="H119" s="199">
        <v>2014.0</v>
      </c>
      <c r="I119" s="200" t="s">
        <v>683</v>
      </c>
      <c r="J119" s="199">
        <v>415211.0</v>
      </c>
      <c r="K119" s="199">
        <v>100.0</v>
      </c>
      <c r="L119" s="199">
        <v>2029.0</v>
      </c>
      <c r="M119" s="199">
        <v>40.0</v>
      </c>
      <c r="N119" s="200" t="s">
        <v>683</v>
      </c>
      <c r="O119" s="199">
        <v>249126.6</v>
      </c>
      <c r="P119" s="199">
        <v>232928.0</v>
      </c>
      <c r="Q119" s="200"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199">
        <v>95.0</v>
      </c>
      <c r="B120" s="199" t="s">
        <v>895</v>
      </c>
      <c r="C120" s="199" t="s">
        <v>896</v>
      </c>
      <c r="D120" s="199" t="s">
        <v>1004</v>
      </c>
      <c r="E120" s="4" t="s">
        <v>683</v>
      </c>
      <c r="F120" s="199">
        <v>2016.0</v>
      </c>
      <c r="G120" s="4" t="s">
        <v>1000</v>
      </c>
      <c r="H120" s="199">
        <v>2014.0</v>
      </c>
      <c r="I120" s="200" t="s">
        <v>683</v>
      </c>
      <c r="J120" s="199">
        <v>415211.0</v>
      </c>
      <c r="K120" s="199">
        <v>100.0</v>
      </c>
      <c r="L120" s="199">
        <v>2044.0</v>
      </c>
      <c r="M120" s="199">
        <v>60.0</v>
      </c>
      <c r="N120" s="200" t="s">
        <v>683</v>
      </c>
      <c r="O120" s="199">
        <v>166084.4</v>
      </c>
      <c r="P120" s="199">
        <v>232928.0</v>
      </c>
      <c r="Q120" s="200"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199">
        <v>93.0</v>
      </c>
      <c r="B121" s="199" t="s">
        <v>895</v>
      </c>
      <c r="C121" s="199" t="s">
        <v>896</v>
      </c>
      <c r="D121" s="199" t="s">
        <v>1004</v>
      </c>
      <c r="E121" s="4" t="s">
        <v>683</v>
      </c>
      <c r="F121" s="199">
        <v>2019.0</v>
      </c>
      <c r="G121" s="4" t="s">
        <v>1152</v>
      </c>
      <c r="H121" s="199">
        <v>2017.0</v>
      </c>
      <c r="I121" s="200" t="s">
        <v>683</v>
      </c>
      <c r="J121" s="199">
        <v>95079.0</v>
      </c>
      <c r="K121" s="199">
        <v>55.0</v>
      </c>
      <c r="L121" s="199">
        <v>2023.0</v>
      </c>
      <c r="M121" s="199">
        <v>3.0</v>
      </c>
      <c r="N121" s="200" t="s">
        <v>683</v>
      </c>
      <c r="O121" s="199">
        <v>92226.63</v>
      </c>
      <c r="P121" s="199">
        <v>82785.0</v>
      </c>
      <c r="Q121" s="200"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199">
        <v>94.0</v>
      </c>
      <c r="B122" s="199" t="s">
        <v>895</v>
      </c>
      <c r="C122" s="199" t="s">
        <v>896</v>
      </c>
      <c r="D122" s="199" t="s">
        <v>1004</v>
      </c>
      <c r="E122" s="4" t="s">
        <v>683</v>
      </c>
      <c r="F122" s="199">
        <v>2016.0</v>
      </c>
      <c r="G122" s="4" t="s">
        <v>1149</v>
      </c>
      <c r="H122" s="199">
        <v>2015.0</v>
      </c>
      <c r="I122" s="200" t="s">
        <v>683</v>
      </c>
      <c r="J122" s="199">
        <v>5636000.0</v>
      </c>
      <c r="K122" s="199">
        <v>43.0</v>
      </c>
      <c r="L122" s="199">
        <v>2025.0</v>
      </c>
      <c r="M122" s="199">
        <v>12.0</v>
      </c>
      <c r="N122" s="200" t="s">
        <v>683</v>
      </c>
      <c r="O122" s="199">
        <v>4959680.0</v>
      </c>
      <c r="P122" s="199">
        <v>5938000.0</v>
      </c>
      <c r="Q122" s="200"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199">
        <v>96.0</v>
      </c>
      <c r="B123" s="199" t="s">
        <v>895</v>
      </c>
      <c r="C123" s="199" t="s">
        <v>896</v>
      </c>
      <c r="D123" s="199" t="s">
        <v>999</v>
      </c>
      <c r="E123" s="4" t="s">
        <v>683</v>
      </c>
      <c r="F123" s="199">
        <v>2018.0</v>
      </c>
      <c r="G123" s="4" t="s">
        <v>1000</v>
      </c>
      <c r="H123" s="199">
        <v>2018.0</v>
      </c>
      <c r="I123" s="200" t="s">
        <v>683</v>
      </c>
      <c r="J123" s="199">
        <v>4418820.0</v>
      </c>
      <c r="K123" s="199">
        <v>100.0</v>
      </c>
      <c r="L123" s="199">
        <v>2035.0</v>
      </c>
      <c r="M123" s="199">
        <v>100.0</v>
      </c>
      <c r="N123" s="200" t="s">
        <v>683</v>
      </c>
      <c r="O123" s="199">
        <v>0.0</v>
      </c>
      <c r="P123" s="199">
        <v>4365627.32</v>
      </c>
      <c r="Q123" s="200"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199">
        <v>96.0</v>
      </c>
      <c r="B124" s="199" t="s">
        <v>895</v>
      </c>
      <c r="C124" s="199" t="s">
        <v>902</v>
      </c>
      <c r="D124" s="199" t="s">
        <v>1156</v>
      </c>
      <c r="E124" s="4" t="s">
        <v>683</v>
      </c>
      <c r="F124" s="199">
        <v>2018.0</v>
      </c>
      <c r="G124" s="4" t="s">
        <v>1000</v>
      </c>
      <c r="H124" s="199">
        <v>2018.0</v>
      </c>
      <c r="I124" s="200" t="s">
        <v>683</v>
      </c>
      <c r="J124" s="199">
        <v>4033579.0</v>
      </c>
      <c r="K124" s="199">
        <v>100.0</v>
      </c>
      <c r="L124" s="199">
        <v>2025.0</v>
      </c>
      <c r="M124" s="199">
        <v>50.0</v>
      </c>
      <c r="N124" s="200" t="s">
        <v>683</v>
      </c>
      <c r="O124" s="199">
        <v>2016789.5</v>
      </c>
      <c r="P124" s="199">
        <v>4006874.47</v>
      </c>
      <c r="Q124" s="200"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199">
        <v>99.0</v>
      </c>
      <c r="B125" s="199" t="s">
        <v>895</v>
      </c>
      <c r="C125" s="199" t="s">
        <v>896</v>
      </c>
      <c r="D125" s="199" t="s">
        <v>1004</v>
      </c>
      <c r="E125" s="4" t="s">
        <v>683</v>
      </c>
      <c r="F125" s="199">
        <v>2016.0</v>
      </c>
      <c r="G125" s="4" t="s">
        <v>1000</v>
      </c>
      <c r="H125" s="199">
        <v>2015.0</v>
      </c>
      <c r="I125" s="200" t="s">
        <v>683</v>
      </c>
      <c r="J125" s="199">
        <v>1.9547272E7</v>
      </c>
      <c r="K125" s="199">
        <v>100.0</v>
      </c>
      <c r="L125" s="199">
        <v>2025.0</v>
      </c>
      <c r="M125" s="199">
        <v>18.0</v>
      </c>
      <c r="N125" s="200" t="s">
        <v>683</v>
      </c>
      <c r="O125" s="199">
        <v>1.602876304E7</v>
      </c>
      <c r="P125" s="199">
        <v>1.7563596E7</v>
      </c>
      <c r="Q125" s="200"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199">
        <v>99.0</v>
      </c>
      <c r="B126" s="199" t="s">
        <v>895</v>
      </c>
      <c r="C126" s="199" t="s">
        <v>689</v>
      </c>
      <c r="D126" s="199" t="s">
        <v>1021</v>
      </c>
      <c r="E126" s="4" t="s">
        <v>683</v>
      </c>
      <c r="F126" s="199">
        <v>2016.0</v>
      </c>
      <c r="G126" s="4" t="s">
        <v>1000</v>
      </c>
      <c r="H126" s="199">
        <v>2015.0</v>
      </c>
      <c r="I126" s="200" t="s">
        <v>683</v>
      </c>
      <c r="J126" s="199">
        <v>1.0E9</v>
      </c>
      <c r="K126" s="199">
        <v>100.0</v>
      </c>
      <c r="L126" s="199">
        <v>2030.0</v>
      </c>
      <c r="M126" s="199">
        <v>100.0</v>
      </c>
      <c r="N126" s="200" t="s">
        <v>683</v>
      </c>
      <c r="O126" s="199">
        <v>0.0</v>
      </c>
      <c r="P126" s="199">
        <v>7.7E8</v>
      </c>
      <c r="Q126" s="200"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199">
        <v>90.0</v>
      </c>
      <c r="B127" s="199" t="s">
        <v>895</v>
      </c>
      <c r="C127" s="199" t="s">
        <v>896</v>
      </c>
      <c r="D127" s="199" t="s">
        <v>1004</v>
      </c>
      <c r="E127" s="4" t="s">
        <v>683</v>
      </c>
      <c r="F127" s="199">
        <v>2013.0</v>
      </c>
      <c r="G127" s="4" t="s">
        <v>1000</v>
      </c>
      <c r="H127" s="199">
        <v>2012.0</v>
      </c>
      <c r="I127" s="200" t="s">
        <v>683</v>
      </c>
      <c r="J127" s="199">
        <v>1742927.0</v>
      </c>
      <c r="K127" s="199">
        <v>100.0</v>
      </c>
      <c r="L127" s="199">
        <v>2020.0</v>
      </c>
      <c r="M127" s="199">
        <v>50.0</v>
      </c>
      <c r="N127" s="200" t="s">
        <v>683</v>
      </c>
      <c r="O127" s="199">
        <v>871463.5</v>
      </c>
      <c r="P127" s="199">
        <v>925998.0</v>
      </c>
      <c r="Q127" s="200"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199">
        <v>100.0</v>
      </c>
      <c r="B128" s="199" t="s">
        <v>895</v>
      </c>
      <c r="C128" s="199" t="s">
        <v>899</v>
      </c>
      <c r="D128" s="199" t="s">
        <v>1076</v>
      </c>
      <c r="E128" s="4" t="s">
        <v>683</v>
      </c>
      <c r="F128" s="199">
        <v>2008.0</v>
      </c>
      <c r="G128" s="201"/>
      <c r="H128" s="199">
        <v>2008.0</v>
      </c>
      <c r="I128" s="200" t="s">
        <v>683</v>
      </c>
      <c r="J128" s="199">
        <v>1953466.0</v>
      </c>
      <c r="K128" s="199">
        <v>100.0</v>
      </c>
      <c r="L128" s="199">
        <v>2020.0</v>
      </c>
      <c r="M128" s="199">
        <v>45.0</v>
      </c>
      <c r="N128" s="200" t="s">
        <v>683</v>
      </c>
      <c r="O128" s="199">
        <v>1074406.3</v>
      </c>
      <c r="P128" s="199">
        <v>941597.0</v>
      </c>
      <c r="Q128" s="200"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199">
        <v>1.0</v>
      </c>
      <c r="B129" s="199" t="s">
        <v>903</v>
      </c>
      <c r="C129" s="199" t="s">
        <v>896</v>
      </c>
      <c r="D129" s="199" t="s">
        <v>999</v>
      </c>
      <c r="E129" s="4" t="s">
        <v>904</v>
      </c>
      <c r="F129" s="199">
        <v>2015.0</v>
      </c>
      <c r="G129" s="201"/>
      <c r="H129" s="199">
        <v>2015.0</v>
      </c>
      <c r="I129" s="199">
        <v>937.0</v>
      </c>
      <c r="J129" s="200" t="s">
        <v>683</v>
      </c>
      <c r="K129" s="199">
        <v>50.0</v>
      </c>
      <c r="L129" s="199">
        <v>2025.0</v>
      </c>
      <c r="M129" s="199">
        <v>30.0</v>
      </c>
      <c r="N129" s="199">
        <v>655.9</v>
      </c>
      <c r="O129" s="200" t="s">
        <v>683</v>
      </c>
      <c r="P129" s="200" t="s">
        <v>683</v>
      </c>
      <c r="Q129" s="199">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199">
        <v>2.0</v>
      </c>
      <c r="B130" s="199" t="s">
        <v>903</v>
      </c>
      <c r="C130" s="199" t="s">
        <v>896</v>
      </c>
      <c r="D130" s="199" t="s">
        <v>999</v>
      </c>
      <c r="E130" s="4" t="s">
        <v>912</v>
      </c>
      <c r="F130" s="199">
        <v>2012.0</v>
      </c>
      <c r="G130" s="4" t="s">
        <v>1000</v>
      </c>
      <c r="H130" s="199">
        <v>2010.0</v>
      </c>
      <c r="I130" s="199">
        <v>5.34E-5</v>
      </c>
      <c r="J130" s="200" t="s">
        <v>683</v>
      </c>
      <c r="K130" s="199">
        <v>100.0</v>
      </c>
      <c r="L130" s="199">
        <v>2020.0</v>
      </c>
      <c r="M130" s="199">
        <v>40.0</v>
      </c>
      <c r="N130" s="199">
        <v>3.204E-5</v>
      </c>
      <c r="O130" s="200" t="s">
        <v>683</v>
      </c>
      <c r="P130" s="200" t="s">
        <v>683</v>
      </c>
      <c r="Q130" s="199">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199">
        <v>5.0</v>
      </c>
      <c r="B131" s="199" t="s">
        <v>903</v>
      </c>
      <c r="C131" s="199" t="s">
        <v>689</v>
      </c>
      <c r="D131" s="199" t="s">
        <v>1056</v>
      </c>
      <c r="E131" s="4" t="s">
        <v>906</v>
      </c>
      <c r="F131" s="199">
        <v>2016.0</v>
      </c>
      <c r="G131" s="4" t="s">
        <v>1000</v>
      </c>
      <c r="H131" s="199">
        <v>2015.0</v>
      </c>
      <c r="I131" s="199">
        <v>4.0</v>
      </c>
      <c r="J131" s="200" t="s">
        <v>683</v>
      </c>
      <c r="K131" s="199">
        <v>100.0</v>
      </c>
      <c r="L131" s="199">
        <v>2025.0</v>
      </c>
      <c r="M131" s="199">
        <v>5.0</v>
      </c>
      <c r="N131" s="199">
        <v>3.8</v>
      </c>
      <c r="O131" s="200" t="s">
        <v>683</v>
      </c>
      <c r="P131" s="200" t="s">
        <v>683</v>
      </c>
      <c r="Q131" s="199">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199">
        <v>5.0</v>
      </c>
      <c r="B132" s="199" t="s">
        <v>903</v>
      </c>
      <c r="C132" s="199" t="s">
        <v>689</v>
      </c>
      <c r="D132" s="199" t="s">
        <v>1135</v>
      </c>
      <c r="E132" s="4" t="s">
        <v>907</v>
      </c>
      <c r="F132" s="199">
        <v>2016.0</v>
      </c>
      <c r="G132" s="4" t="s">
        <v>1000</v>
      </c>
      <c r="H132" s="199">
        <v>2015.0</v>
      </c>
      <c r="I132" s="199">
        <v>0.003574</v>
      </c>
      <c r="J132" s="200" t="s">
        <v>683</v>
      </c>
      <c r="K132" s="199">
        <v>100.0</v>
      </c>
      <c r="L132" s="199">
        <v>2025.0</v>
      </c>
      <c r="M132" s="199">
        <v>15.0</v>
      </c>
      <c r="N132" s="199">
        <v>0.0030379</v>
      </c>
      <c r="O132" s="200" t="s">
        <v>683</v>
      </c>
      <c r="P132" s="200" t="s">
        <v>683</v>
      </c>
      <c r="Q132" s="199">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199">
        <v>11.0</v>
      </c>
      <c r="B133" s="199" t="s">
        <v>903</v>
      </c>
      <c r="C133" s="199" t="s">
        <v>902</v>
      </c>
      <c r="D133" s="199" t="s">
        <v>1156</v>
      </c>
      <c r="E133" s="4" t="s">
        <v>907</v>
      </c>
      <c r="F133" s="199">
        <v>2012.0</v>
      </c>
      <c r="G133" s="4" t="s">
        <v>1031</v>
      </c>
      <c r="H133" s="199">
        <v>2011.0</v>
      </c>
      <c r="I133" s="199">
        <v>14.16</v>
      </c>
      <c r="J133" s="200" t="s">
        <v>683</v>
      </c>
      <c r="K133" s="199">
        <v>83.0</v>
      </c>
      <c r="L133" s="199">
        <v>2023.0</v>
      </c>
      <c r="M133" s="199">
        <v>30.0</v>
      </c>
      <c r="N133" s="199">
        <v>9.911999999999999</v>
      </c>
      <c r="O133" s="200" t="s">
        <v>683</v>
      </c>
      <c r="P133" s="200" t="s">
        <v>683</v>
      </c>
      <c r="Q133" s="199">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199">
        <v>15.0</v>
      </c>
      <c r="B134" s="199" t="s">
        <v>903</v>
      </c>
      <c r="C134" s="199" t="s">
        <v>909</v>
      </c>
      <c r="D134" s="199" t="s">
        <v>1168</v>
      </c>
      <c r="E134" s="4" t="s">
        <v>908</v>
      </c>
      <c r="F134" s="199">
        <v>2015.0</v>
      </c>
      <c r="G134" s="4" t="s">
        <v>1000</v>
      </c>
      <c r="H134" s="199"/>
      <c r="I134" s="199"/>
      <c r="J134" s="200" t="s">
        <v>683</v>
      </c>
      <c r="K134" s="199"/>
      <c r="L134" s="199">
        <v>2025.0</v>
      </c>
      <c r="M134" s="199"/>
      <c r="N134" s="199">
        <v>0.0</v>
      </c>
      <c r="O134" s="200" t="s">
        <v>683</v>
      </c>
      <c r="P134" s="200" t="s">
        <v>683</v>
      </c>
      <c r="Q134" s="199"/>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199">
        <v>19.0</v>
      </c>
      <c r="B135" s="199" t="s">
        <v>903</v>
      </c>
      <c r="C135" s="199" t="s">
        <v>902</v>
      </c>
      <c r="D135" s="199" t="s">
        <v>1156</v>
      </c>
      <c r="E135" s="4" t="s">
        <v>906</v>
      </c>
      <c r="F135" s="199">
        <v>2013.0</v>
      </c>
      <c r="G135" s="4" t="s">
        <v>1170</v>
      </c>
      <c r="H135" s="199">
        <v>2011.0</v>
      </c>
      <c r="I135" s="199">
        <v>2.91</v>
      </c>
      <c r="J135" s="200" t="s">
        <v>683</v>
      </c>
      <c r="K135" s="199">
        <v>12.0</v>
      </c>
      <c r="L135" s="199">
        <v>2023.0</v>
      </c>
      <c r="M135" s="199">
        <v>30.0</v>
      </c>
      <c r="N135" s="199">
        <v>2.037</v>
      </c>
      <c r="O135" s="200" t="s">
        <v>683</v>
      </c>
      <c r="P135" s="200" t="s">
        <v>683</v>
      </c>
      <c r="Q135" s="199">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199">
        <v>19.0</v>
      </c>
      <c r="B136" s="199" t="s">
        <v>903</v>
      </c>
      <c r="C136" s="199" t="s">
        <v>896</v>
      </c>
      <c r="D136" s="199" t="s">
        <v>999</v>
      </c>
      <c r="E136" s="4" t="s">
        <v>906</v>
      </c>
      <c r="F136" s="199">
        <v>2016.0</v>
      </c>
      <c r="G136" s="4" t="s">
        <v>1000</v>
      </c>
      <c r="H136" s="199">
        <v>2014.0</v>
      </c>
      <c r="I136" s="199">
        <v>2.59</v>
      </c>
      <c r="J136" s="200" t="s">
        <v>683</v>
      </c>
      <c r="K136" s="199">
        <v>100.0</v>
      </c>
      <c r="L136" s="199">
        <v>2020.0</v>
      </c>
      <c r="M136" s="199">
        <v>45.0</v>
      </c>
      <c r="N136" s="199">
        <v>1.4245</v>
      </c>
      <c r="O136" s="200" t="s">
        <v>683</v>
      </c>
      <c r="P136" s="200" t="s">
        <v>683</v>
      </c>
      <c r="Q136" s="199">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199">
        <v>19.0</v>
      </c>
      <c r="B137" s="199" t="s">
        <v>903</v>
      </c>
      <c r="C137" s="199" t="s">
        <v>689</v>
      </c>
      <c r="D137" s="199" t="s">
        <v>1056</v>
      </c>
      <c r="E137" s="4" t="s">
        <v>906</v>
      </c>
      <c r="F137" s="199">
        <v>2016.0</v>
      </c>
      <c r="G137" s="4" t="s">
        <v>1000</v>
      </c>
      <c r="H137" s="199">
        <v>2014.0</v>
      </c>
      <c r="I137" s="199">
        <v>3.42</v>
      </c>
      <c r="J137" s="200" t="s">
        <v>683</v>
      </c>
      <c r="K137" s="199">
        <v>98.0</v>
      </c>
      <c r="L137" s="199">
        <v>2020.0</v>
      </c>
      <c r="M137" s="199">
        <v>20.0</v>
      </c>
      <c r="N137" s="199">
        <v>2.736</v>
      </c>
      <c r="O137" s="200" t="s">
        <v>683</v>
      </c>
      <c r="P137" s="200" t="s">
        <v>683</v>
      </c>
      <c r="Q137" s="199">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199">
        <v>32.0</v>
      </c>
      <c r="B138" s="199" t="s">
        <v>903</v>
      </c>
      <c r="C138" s="199" t="s">
        <v>896</v>
      </c>
      <c r="D138" s="199" t="s">
        <v>999</v>
      </c>
      <c r="E138" s="4" t="s">
        <v>910</v>
      </c>
      <c r="F138" s="199">
        <v>2017.0</v>
      </c>
      <c r="G138" s="4" t="s">
        <v>1000</v>
      </c>
      <c r="H138" s="199">
        <v>2017.0</v>
      </c>
      <c r="I138" s="199">
        <v>39.1</v>
      </c>
      <c r="J138" s="200" t="s">
        <v>683</v>
      </c>
      <c r="K138" s="199">
        <v>99.0</v>
      </c>
      <c r="L138" s="199">
        <v>2030.0</v>
      </c>
      <c r="M138" s="199">
        <v>10.0</v>
      </c>
      <c r="N138" s="199">
        <v>35.190000000000005</v>
      </c>
      <c r="O138" s="200" t="s">
        <v>683</v>
      </c>
      <c r="P138" s="200" t="s">
        <v>683</v>
      </c>
      <c r="Q138" s="199">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199">
        <v>39.0</v>
      </c>
      <c r="B139" s="199" t="s">
        <v>903</v>
      </c>
      <c r="C139" s="199" t="s">
        <v>896</v>
      </c>
      <c r="D139" s="199" t="s">
        <v>1175</v>
      </c>
      <c r="E139" s="4" t="s">
        <v>907</v>
      </c>
      <c r="F139" s="199">
        <v>2013.0</v>
      </c>
      <c r="G139" s="4" t="s">
        <v>1000</v>
      </c>
      <c r="H139" s="199">
        <v>2012.0</v>
      </c>
      <c r="I139" s="199">
        <v>0.0415</v>
      </c>
      <c r="J139" s="200" t="s">
        <v>683</v>
      </c>
      <c r="K139" s="199">
        <v>100.0</v>
      </c>
      <c r="L139" s="199">
        <v>2020.0</v>
      </c>
      <c r="M139" s="199">
        <v>20.0</v>
      </c>
      <c r="N139" s="199">
        <v>0.0332</v>
      </c>
      <c r="O139" s="200" t="s">
        <v>683</v>
      </c>
      <c r="P139" s="200" t="s">
        <v>683</v>
      </c>
      <c r="Q139" s="199">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199">
        <v>44.0</v>
      </c>
      <c r="B140" s="199" t="s">
        <v>903</v>
      </c>
      <c r="C140" s="199" t="s">
        <v>900</v>
      </c>
      <c r="D140" s="199" t="s">
        <v>1033</v>
      </c>
      <c r="E140" s="4" t="s">
        <v>1177</v>
      </c>
      <c r="F140" s="199">
        <v>2011.0</v>
      </c>
      <c r="G140" s="4" t="s">
        <v>1068</v>
      </c>
      <c r="H140" s="199">
        <v>2005.0</v>
      </c>
      <c r="I140" s="199">
        <v>1.51</v>
      </c>
      <c r="J140" s="200" t="s">
        <v>683</v>
      </c>
      <c r="K140" s="199">
        <v>82.0</v>
      </c>
      <c r="L140" s="199">
        <v>2020.0</v>
      </c>
      <c r="M140" s="199">
        <v>30.0</v>
      </c>
      <c r="N140" s="199">
        <v>1.057</v>
      </c>
      <c r="O140" s="200" t="s">
        <v>683</v>
      </c>
      <c r="P140" s="200" t="s">
        <v>683</v>
      </c>
      <c r="Q140" s="199">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199">
        <v>45.0</v>
      </c>
      <c r="B141" s="199" t="s">
        <v>903</v>
      </c>
      <c r="C141" s="199" t="s">
        <v>689</v>
      </c>
      <c r="D141" s="199" t="s">
        <v>1059</v>
      </c>
      <c r="E141" s="4" t="s">
        <v>1179</v>
      </c>
      <c r="F141" s="199">
        <v>2020.0</v>
      </c>
      <c r="G141" s="4" t="s">
        <v>1031</v>
      </c>
      <c r="H141" s="199">
        <v>2019.0</v>
      </c>
      <c r="I141" s="199"/>
      <c r="J141" s="200" t="s">
        <v>683</v>
      </c>
      <c r="K141" s="199"/>
      <c r="L141" s="199"/>
      <c r="M141" s="199"/>
      <c r="N141" s="199">
        <v>0.0</v>
      </c>
      <c r="O141" s="200" t="s">
        <v>683</v>
      </c>
      <c r="P141" s="200" t="s">
        <v>683</v>
      </c>
      <c r="Q141" s="199"/>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199">
        <v>52.0</v>
      </c>
      <c r="B142" s="199" t="s">
        <v>903</v>
      </c>
      <c r="C142" s="199" t="s">
        <v>896</v>
      </c>
      <c r="D142" s="199" t="s">
        <v>999</v>
      </c>
      <c r="E142" s="4" t="s">
        <v>912</v>
      </c>
      <c r="F142" s="199">
        <v>2019.0</v>
      </c>
      <c r="G142" s="4" t="s">
        <v>1000</v>
      </c>
      <c r="H142" s="199">
        <v>2018.0</v>
      </c>
      <c r="I142" s="199">
        <v>6.04754E-5</v>
      </c>
      <c r="J142" s="200" t="s">
        <v>683</v>
      </c>
      <c r="K142" s="199">
        <v>0.0</v>
      </c>
      <c r="L142" s="199">
        <v>2023.0</v>
      </c>
      <c r="M142" s="199">
        <v>10.0</v>
      </c>
      <c r="N142" s="199">
        <v>5.442786E-5</v>
      </c>
      <c r="O142" s="200" t="s">
        <v>683</v>
      </c>
      <c r="P142" s="200" t="s">
        <v>683</v>
      </c>
      <c r="Q142" s="199">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199">
        <v>54.0</v>
      </c>
      <c r="B143" s="199" t="s">
        <v>903</v>
      </c>
      <c r="C143" s="199" t="s">
        <v>900</v>
      </c>
      <c r="D143" s="199" t="s">
        <v>1033</v>
      </c>
      <c r="E143" s="4" t="s">
        <v>1182</v>
      </c>
      <c r="F143" s="199">
        <v>2010.0</v>
      </c>
      <c r="G143" s="4" t="s">
        <v>1000</v>
      </c>
      <c r="H143" s="199">
        <v>2010.0</v>
      </c>
      <c r="I143" s="199">
        <v>100.0</v>
      </c>
      <c r="J143" s="200" t="s">
        <v>683</v>
      </c>
      <c r="K143" s="199">
        <v>75.0</v>
      </c>
      <c r="L143" s="199">
        <v>2020.0</v>
      </c>
      <c r="M143" s="199">
        <v>10.0</v>
      </c>
      <c r="N143" s="199">
        <v>90.0</v>
      </c>
      <c r="O143" s="200" t="s">
        <v>683</v>
      </c>
      <c r="P143" s="200" t="s">
        <v>683</v>
      </c>
      <c r="Q143" s="199">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199">
        <v>62.0</v>
      </c>
      <c r="B144" s="199" t="s">
        <v>903</v>
      </c>
      <c r="C144" s="199" t="s">
        <v>689</v>
      </c>
      <c r="D144" s="199" t="s">
        <v>1184</v>
      </c>
      <c r="E144" s="4" t="s">
        <v>914</v>
      </c>
      <c r="F144" s="199">
        <v>2018.0</v>
      </c>
      <c r="G144" s="4" t="s">
        <v>1000</v>
      </c>
      <c r="H144" s="199">
        <v>2015.0</v>
      </c>
      <c r="I144" s="199">
        <v>8.14</v>
      </c>
      <c r="J144" s="200" t="s">
        <v>683</v>
      </c>
      <c r="K144" s="199">
        <v>80.44</v>
      </c>
      <c r="L144" s="199">
        <v>2030.0</v>
      </c>
      <c r="M144" s="199">
        <v>31.0</v>
      </c>
      <c r="N144" s="199">
        <v>5.6166</v>
      </c>
      <c r="O144" s="200" t="s">
        <v>683</v>
      </c>
      <c r="P144" s="200" t="s">
        <v>683</v>
      </c>
      <c r="Q144" s="199">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199">
        <v>63.0</v>
      </c>
      <c r="B145" s="199" t="s">
        <v>903</v>
      </c>
      <c r="C145" s="199" t="s">
        <v>896</v>
      </c>
      <c r="D145" s="199" t="s">
        <v>1004</v>
      </c>
      <c r="E145" s="4" t="s">
        <v>912</v>
      </c>
      <c r="F145" s="199">
        <v>2013.0</v>
      </c>
      <c r="G145" s="4" t="s">
        <v>1000</v>
      </c>
      <c r="H145" s="199">
        <v>2013.0</v>
      </c>
      <c r="I145" s="199">
        <v>15.24</v>
      </c>
      <c r="J145" s="200" t="s">
        <v>683</v>
      </c>
      <c r="K145" s="199">
        <v>100.0</v>
      </c>
      <c r="L145" s="199">
        <v>2020.0</v>
      </c>
      <c r="M145" s="199">
        <v>15.0</v>
      </c>
      <c r="N145" s="199">
        <v>12.954</v>
      </c>
      <c r="O145" s="200" t="s">
        <v>683</v>
      </c>
      <c r="P145" s="200" t="s">
        <v>683</v>
      </c>
      <c r="Q145" s="199">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199">
        <v>71.0</v>
      </c>
      <c r="B146" s="199" t="s">
        <v>903</v>
      </c>
      <c r="C146" s="199" t="s">
        <v>899</v>
      </c>
      <c r="D146" s="199" t="s">
        <v>1007</v>
      </c>
      <c r="E146" s="4" t="s">
        <v>1182</v>
      </c>
      <c r="F146" s="199">
        <v>2015.0</v>
      </c>
      <c r="G146" s="4" t="s">
        <v>1187</v>
      </c>
      <c r="H146" s="199">
        <v>2015.0</v>
      </c>
      <c r="I146" s="199">
        <v>1.89</v>
      </c>
      <c r="J146" s="200" t="s">
        <v>683</v>
      </c>
      <c r="K146" s="199">
        <v>95.0</v>
      </c>
      <c r="L146" s="199">
        <v>2020.0</v>
      </c>
      <c r="M146" s="199">
        <v>25.0</v>
      </c>
      <c r="N146" s="199">
        <v>1.4175</v>
      </c>
      <c r="O146" s="200" t="s">
        <v>683</v>
      </c>
      <c r="P146" s="200" t="s">
        <v>683</v>
      </c>
      <c r="Q146" s="199">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199">
        <v>71.0</v>
      </c>
      <c r="B147" s="199" t="s">
        <v>903</v>
      </c>
      <c r="C147" s="199" t="s">
        <v>689</v>
      </c>
      <c r="D147" s="199" t="s">
        <v>1189</v>
      </c>
      <c r="E147" s="4" t="s">
        <v>1190</v>
      </c>
      <c r="F147" s="199">
        <v>2015.0</v>
      </c>
      <c r="G147" s="4" t="s">
        <v>1191</v>
      </c>
      <c r="H147" s="199">
        <v>2015.0</v>
      </c>
      <c r="I147" s="199">
        <v>4.78</v>
      </c>
      <c r="J147" s="200" t="s">
        <v>683</v>
      </c>
      <c r="K147" s="199">
        <v>80.0</v>
      </c>
      <c r="L147" s="199">
        <v>2020.0</v>
      </c>
      <c r="M147" s="199">
        <v>35.0</v>
      </c>
      <c r="N147" s="199">
        <v>3.107</v>
      </c>
      <c r="O147" s="200" t="s">
        <v>683</v>
      </c>
      <c r="P147" s="200" t="s">
        <v>683</v>
      </c>
      <c r="Q147" s="199">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199">
        <v>72.0</v>
      </c>
      <c r="B148" s="199" t="s">
        <v>903</v>
      </c>
      <c r="C148" s="199" t="s">
        <v>896</v>
      </c>
      <c r="D148" s="199" t="s">
        <v>1004</v>
      </c>
      <c r="E148" s="4" t="s">
        <v>1193</v>
      </c>
      <c r="F148" s="199">
        <v>2015.0</v>
      </c>
      <c r="G148" s="4" t="s">
        <v>1000</v>
      </c>
      <c r="H148" s="199">
        <v>2014.0</v>
      </c>
      <c r="I148" s="199">
        <v>4.525</v>
      </c>
      <c r="J148" s="200" t="s">
        <v>683</v>
      </c>
      <c r="K148" s="199">
        <v>100.0</v>
      </c>
      <c r="L148" s="199">
        <v>2020.0</v>
      </c>
      <c r="M148" s="199">
        <v>15.0</v>
      </c>
      <c r="N148" s="199">
        <v>3.8462500000000004</v>
      </c>
      <c r="O148" s="200" t="s">
        <v>683</v>
      </c>
      <c r="P148" s="200" t="s">
        <v>683</v>
      </c>
      <c r="Q148" s="199">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199">
        <v>73.0</v>
      </c>
      <c r="B149" s="199" t="s">
        <v>903</v>
      </c>
      <c r="C149" s="199" t="s">
        <v>900</v>
      </c>
      <c r="D149" s="199" t="s">
        <v>1033</v>
      </c>
      <c r="E149" s="4" t="s">
        <v>915</v>
      </c>
      <c r="F149" s="199">
        <v>2018.0</v>
      </c>
      <c r="G149" s="4" t="s">
        <v>1149</v>
      </c>
      <c r="H149" s="199">
        <v>2017.0</v>
      </c>
      <c r="I149" s="199">
        <v>0.06</v>
      </c>
      <c r="J149" s="200" t="s">
        <v>683</v>
      </c>
      <c r="K149" s="199">
        <v>100.0</v>
      </c>
      <c r="L149" s="199">
        <v>2025.0</v>
      </c>
      <c r="M149" s="199">
        <v>13.0</v>
      </c>
      <c r="N149" s="199">
        <v>0.052199999999999996</v>
      </c>
      <c r="O149" s="200" t="s">
        <v>683</v>
      </c>
      <c r="P149" s="200" t="s">
        <v>683</v>
      </c>
      <c r="Q149" s="199"/>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199">
        <v>73.0</v>
      </c>
      <c r="B150" s="199" t="s">
        <v>903</v>
      </c>
      <c r="C150" s="199" t="s">
        <v>900</v>
      </c>
      <c r="D150" s="199" t="s">
        <v>1033</v>
      </c>
      <c r="E150" s="4" t="s">
        <v>916</v>
      </c>
      <c r="F150" s="199">
        <v>2017.0</v>
      </c>
      <c r="G150" s="4" t="s">
        <v>1149</v>
      </c>
      <c r="H150" s="199">
        <v>2018.0</v>
      </c>
      <c r="I150" s="199">
        <v>0.113</v>
      </c>
      <c r="J150" s="200" t="s">
        <v>683</v>
      </c>
      <c r="K150" s="199"/>
      <c r="L150" s="199">
        <v>2025.0</v>
      </c>
      <c r="M150" s="199">
        <v>21.0</v>
      </c>
      <c r="N150" s="199">
        <v>0.08927</v>
      </c>
      <c r="O150" s="200" t="s">
        <v>683</v>
      </c>
      <c r="P150" s="200" t="s">
        <v>683</v>
      </c>
      <c r="Q150" s="199"/>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199">
        <v>73.0</v>
      </c>
      <c r="B151" s="199" t="s">
        <v>903</v>
      </c>
      <c r="C151" s="199" t="s">
        <v>896</v>
      </c>
      <c r="D151" s="199" t="s">
        <v>999</v>
      </c>
      <c r="E151" s="4" t="s">
        <v>914</v>
      </c>
      <c r="F151" s="199">
        <v>2020.0</v>
      </c>
      <c r="G151" s="4" t="s">
        <v>1068</v>
      </c>
      <c r="H151" s="199">
        <v>2013.0</v>
      </c>
      <c r="I151" s="199">
        <v>0.665</v>
      </c>
      <c r="J151" s="200" t="s">
        <v>683</v>
      </c>
      <c r="K151" s="199">
        <v>77.0</v>
      </c>
      <c r="L151" s="199">
        <v>2025.0</v>
      </c>
      <c r="M151" s="199">
        <v>4.65</v>
      </c>
      <c r="N151" s="199">
        <v>0.6340775000000001</v>
      </c>
      <c r="O151" s="200" t="s">
        <v>683</v>
      </c>
      <c r="P151" s="200" t="s">
        <v>683</v>
      </c>
      <c r="Q151" s="199"/>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199">
        <v>74.0</v>
      </c>
      <c r="B152" s="199" t="s">
        <v>903</v>
      </c>
      <c r="C152" s="199" t="s">
        <v>896</v>
      </c>
      <c r="D152" s="199" t="s">
        <v>1004</v>
      </c>
      <c r="E152" s="4" t="s">
        <v>917</v>
      </c>
      <c r="F152" s="199">
        <v>2018.0</v>
      </c>
      <c r="G152" s="4" t="s">
        <v>1000</v>
      </c>
      <c r="H152" s="199">
        <v>2015.0</v>
      </c>
      <c r="I152" s="199">
        <v>0.431</v>
      </c>
      <c r="J152" s="200" t="s">
        <v>683</v>
      </c>
      <c r="K152" s="199">
        <v>100.0</v>
      </c>
      <c r="L152" s="199">
        <v>2025.0</v>
      </c>
      <c r="M152" s="199">
        <v>55.0</v>
      </c>
      <c r="N152" s="199">
        <v>0.19394999999999998</v>
      </c>
      <c r="O152" s="200" t="s">
        <v>683</v>
      </c>
      <c r="P152" s="200" t="s">
        <v>683</v>
      </c>
      <c r="Q152" s="199">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199">
        <v>78.0</v>
      </c>
      <c r="B153" s="199" t="s">
        <v>903</v>
      </c>
      <c r="C153" s="199" t="s">
        <v>899</v>
      </c>
      <c r="D153" s="199" t="s">
        <v>1199</v>
      </c>
      <c r="E153" s="4" t="s">
        <v>1200</v>
      </c>
      <c r="F153" s="199">
        <v>2012.0</v>
      </c>
      <c r="G153" s="4" t="s">
        <v>1000</v>
      </c>
      <c r="H153" s="199">
        <v>2010.0</v>
      </c>
      <c r="I153" s="199">
        <v>8706.0</v>
      </c>
      <c r="J153" s="200" t="s">
        <v>683</v>
      </c>
      <c r="K153" s="199">
        <v>100.0</v>
      </c>
      <c r="L153" s="199">
        <v>2020.0</v>
      </c>
      <c r="M153" s="199">
        <v>30.0</v>
      </c>
      <c r="N153" s="199">
        <v>6094.2</v>
      </c>
      <c r="O153" s="200" t="s">
        <v>683</v>
      </c>
      <c r="P153" s="200" t="s">
        <v>683</v>
      </c>
      <c r="Q153" s="199">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199">
        <v>29.0</v>
      </c>
      <c r="B154" s="199" t="s">
        <v>903</v>
      </c>
      <c r="C154" s="199" t="s">
        <v>899</v>
      </c>
      <c r="D154" s="199" t="s">
        <v>1199</v>
      </c>
      <c r="E154" s="4" t="s">
        <v>1202</v>
      </c>
      <c r="F154" s="199">
        <v>2013.0</v>
      </c>
      <c r="G154" s="4" t="s">
        <v>1000</v>
      </c>
      <c r="H154" s="199">
        <v>2010.0</v>
      </c>
      <c r="I154" s="199">
        <v>452.0</v>
      </c>
      <c r="J154" s="200" t="s">
        <v>683</v>
      </c>
      <c r="K154" s="199">
        <v>100.0</v>
      </c>
      <c r="L154" s="199">
        <v>2020.0</v>
      </c>
      <c r="M154" s="199">
        <v>25.0</v>
      </c>
      <c r="N154" s="199">
        <v>339.0</v>
      </c>
      <c r="O154" s="200" t="s">
        <v>683</v>
      </c>
      <c r="P154" s="200" t="s">
        <v>683</v>
      </c>
      <c r="Q154" s="199">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199">
        <v>58.0</v>
      </c>
      <c r="B155" s="199" t="s">
        <v>903</v>
      </c>
      <c r="C155" s="199" t="s">
        <v>896</v>
      </c>
      <c r="D155" s="199" t="s">
        <v>999</v>
      </c>
      <c r="E155" s="4" t="s">
        <v>914</v>
      </c>
      <c r="F155" s="199">
        <v>2016.0</v>
      </c>
      <c r="G155" s="4" t="s">
        <v>1000</v>
      </c>
      <c r="H155" s="199">
        <v>2015.0</v>
      </c>
      <c r="I155" s="199">
        <v>0.17</v>
      </c>
      <c r="J155" s="200" t="s">
        <v>683</v>
      </c>
      <c r="K155" s="199">
        <v>100.0</v>
      </c>
      <c r="L155" s="199">
        <v>2020.0</v>
      </c>
      <c r="M155" s="199">
        <v>15.0</v>
      </c>
      <c r="N155" s="199">
        <v>0.14450000000000002</v>
      </c>
      <c r="O155" s="200" t="s">
        <v>683</v>
      </c>
      <c r="P155" s="200" t="s">
        <v>683</v>
      </c>
      <c r="Q155" s="199">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199">
        <v>92.0</v>
      </c>
      <c r="B156" s="199" t="s">
        <v>903</v>
      </c>
      <c r="C156" s="199" t="s">
        <v>900</v>
      </c>
      <c r="D156" s="199" t="s">
        <v>1033</v>
      </c>
      <c r="E156" s="4" t="s">
        <v>1205</v>
      </c>
      <c r="F156" s="199">
        <v>2018.0</v>
      </c>
      <c r="G156" s="4" t="s">
        <v>1000</v>
      </c>
      <c r="H156" s="199">
        <v>2017.0</v>
      </c>
      <c r="I156" s="199">
        <v>0.001237</v>
      </c>
      <c r="J156" s="200" t="s">
        <v>683</v>
      </c>
      <c r="K156" s="199">
        <v>93.0</v>
      </c>
      <c r="L156" s="199">
        <v>2020.0</v>
      </c>
      <c r="M156" s="199">
        <v>1.5</v>
      </c>
      <c r="N156" s="199">
        <v>0.001218445</v>
      </c>
      <c r="O156" s="200" t="s">
        <v>683</v>
      </c>
      <c r="P156" s="200" t="s">
        <v>683</v>
      </c>
      <c r="Q156" s="199">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199">
        <v>94.0</v>
      </c>
      <c r="B157" s="199" t="s">
        <v>903</v>
      </c>
      <c r="C157" s="199" t="s">
        <v>896</v>
      </c>
      <c r="D157" s="199" t="s">
        <v>1004</v>
      </c>
      <c r="E157" s="4" t="s">
        <v>1207</v>
      </c>
      <c r="F157" s="199">
        <v>2010.0</v>
      </c>
      <c r="G157" s="4" t="s">
        <v>1068</v>
      </c>
      <c r="H157" s="199">
        <v>2007.0</v>
      </c>
      <c r="I157" s="199">
        <v>1.94</v>
      </c>
      <c r="J157" s="200" t="s">
        <v>683</v>
      </c>
      <c r="K157" s="199">
        <v>95.0</v>
      </c>
      <c r="L157" s="199">
        <v>2020.0</v>
      </c>
      <c r="M157" s="199">
        <v>20.0</v>
      </c>
      <c r="N157" s="199">
        <v>1.552</v>
      </c>
      <c r="O157" s="200" t="s">
        <v>683</v>
      </c>
      <c r="P157" s="200" t="s">
        <v>683</v>
      </c>
      <c r="Q157" s="199">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199">
        <v>94.0</v>
      </c>
      <c r="B158" s="199" t="s">
        <v>903</v>
      </c>
      <c r="C158" s="199" t="s">
        <v>900</v>
      </c>
      <c r="D158" s="199" t="s">
        <v>1033</v>
      </c>
      <c r="E158" s="4" t="s">
        <v>1209</v>
      </c>
      <c r="F158" s="199">
        <v>2008.0</v>
      </c>
      <c r="G158" s="4" t="s">
        <v>1068</v>
      </c>
      <c r="H158" s="199">
        <v>2005.0</v>
      </c>
      <c r="I158" s="199">
        <v>1.54</v>
      </c>
      <c r="J158" s="200" t="s">
        <v>683</v>
      </c>
      <c r="K158" s="199">
        <v>59.0</v>
      </c>
      <c r="L158" s="199">
        <v>2020.0</v>
      </c>
      <c r="M158" s="199">
        <v>20.0</v>
      </c>
      <c r="N158" s="199">
        <v>1.2320000000000002</v>
      </c>
      <c r="O158" s="200" t="s">
        <v>683</v>
      </c>
      <c r="P158" s="200" t="s">
        <v>683</v>
      </c>
      <c r="Q158" s="199">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199">
        <v>96.0</v>
      </c>
      <c r="B159" s="199" t="s">
        <v>903</v>
      </c>
      <c r="C159" s="199" t="s">
        <v>896</v>
      </c>
      <c r="D159" s="199" t="s">
        <v>999</v>
      </c>
      <c r="E159" s="4" t="s">
        <v>1211</v>
      </c>
      <c r="F159" s="199">
        <v>2010.0</v>
      </c>
      <c r="G159" s="4" t="s">
        <v>1000</v>
      </c>
      <c r="H159" s="199">
        <v>2009.0</v>
      </c>
      <c r="I159" s="199">
        <v>0.118996</v>
      </c>
      <c r="J159" s="200" t="s">
        <v>683</v>
      </c>
      <c r="K159" s="199">
        <v>100.0</v>
      </c>
      <c r="L159" s="199">
        <v>2020.0</v>
      </c>
      <c r="M159" s="199">
        <v>50.0</v>
      </c>
      <c r="N159" s="199">
        <v>0.059498</v>
      </c>
      <c r="O159" s="200" t="s">
        <v>683</v>
      </c>
      <c r="P159" s="200" t="s">
        <v>683</v>
      </c>
      <c r="Q159" s="199">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199">
        <v>96.0</v>
      </c>
      <c r="B160" s="199" t="s">
        <v>903</v>
      </c>
      <c r="C160" s="199" t="s">
        <v>896</v>
      </c>
      <c r="D160" s="199" t="s">
        <v>999</v>
      </c>
      <c r="E160" s="4" t="s">
        <v>918</v>
      </c>
      <c r="F160" s="199">
        <v>2016.0</v>
      </c>
      <c r="G160" s="4" t="s">
        <v>1000</v>
      </c>
      <c r="H160" s="199">
        <v>2016.0</v>
      </c>
      <c r="I160" s="199">
        <v>0.051919</v>
      </c>
      <c r="J160" s="200" t="s">
        <v>683</v>
      </c>
      <c r="K160" s="199">
        <v>100.0</v>
      </c>
      <c r="L160" s="199">
        <v>2025.0</v>
      </c>
      <c r="M160" s="199">
        <v>50.0</v>
      </c>
      <c r="N160" s="199">
        <v>0.0259595</v>
      </c>
      <c r="O160" s="200" t="s">
        <v>683</v>
      </c>
      <c r="P160" s="200" t="s">
        <v>683</v>
      </c>
      <c r="Q160" s="199">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199">
        <v>98.0</v>
      </c>
      <c r="B161" s="199" t="s">
        <v>903</v>
      </c>
      <c r="C161" s="199" t="s">
        <v>896</v>
      </c>
      <c r="D161" s="199" t="s">
        <v>999</v>
      </c>
      <c r="E161" s="4" t="s">
        <v>907</v>
      </c>
      <c r="F161" s="199">
        <v>2012.0</v>
      </c>
      <c r="G161" s="4" t="s">
        <v>1068</v>
      </c>
      <c r="H161" s="199">
        <v>2011.0</v>
      </c>
      <c r="I161" s="199">
        <v>0.039602</v>
      </c>
      <c r="J161" s="200" t="s">
        <v>683</v>
      </c>
      <c r="K161" s="199">
        <v>50.0</v>
      </c>
      <c r="L161" s="199">
        <v>2020.0</v>
      </c>
      <c r="M161" s="199">
        <v>20.0</v>
      </c>
      <c r="N161" s="199">
        <v>0.0316816</v>
      </c>
      <c r="O161" s="200" t="s">
        <v>683</v>
      </c>
      <c r="P161" s="200" t="s">
        <v>683</v>
      </c>
      <c r="Q161" s="199">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199"/>
      <c r="B162" s="199"/>
      <c r="C162" s="199"/>
      <c r="D162" s="199"/>
      <c r="E162" s="4"/>
      <c r="F162" s="199"/>
      <c r="G162" s="4"/>
      <c r="H162" s="4"/>
      <c r="I162" s="4"/>
      <c r="J162" s="4"/>
      <c r="K162" s="199"/>
      <c r="L162" s="199"/>
      <c r="M162" s="199"/>
      <c r="N162" s="199"/>
      <c r="O162" s="199"/>
      <c r="P162" s="199"/>
      <c r="Q162" s="199"/>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199"/>
      <c r="B163" s="199"/>
      <c r="C163" s="199"/>
      <c r="D163" s="199"/>
      <c r="E163" s="4"/>
      <c r="F163" s="199"/>
      <c r="G163" s="4"/>
      <c r="H163" s="4"/>
      <c r="I163" s="4"/>
      <c r="J163" s="4"/>
      <c r="K163" s="199"/>
      <c r="L163" s="199"/>
      <c r="M163" s="199"/>
      <c r="N163" s="199"/>
      <c r="O163" s="199"/>
      <c r="P163" s="199"/>
      <c r="Q163" s="199"/>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199"/>
      <c r="B164" s="199"/>
      <c r="C164" s="199"/>
      <c r="D164" s="199"/>
      <c r="E164" s="4"/>
      <c r="F164" s="199"/>
      <c r="G164" s="4"/>
      <c r="H164" s="4"/>
      <c r="I164" s="4"/>
      <c r="J164" s="4"/>
      <c r="K164" s="199"/>
      <c r="L164" s="199"/>
      <c r="M164" s="199"/>
      <c r="N164" s="199"/>
      <c r="O164" s="199"/>
      <c r="P164" s="199"/>
      <c r="Q164" s="199"/>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199"/>
      <c r="B165" s="199"/>
      <c r="C165" s="199"/>
      <c r="D165" s="199"/>
      <c r="E165" s="4"/>
      <c r="F165" s="199"/>
      <c r="G165" s="4"/>
      <c r="H165" s="4"/>
      <c r="I165" s="4"/>
      <c r="J165" s="4"/>
      <c r="K165" s="199"/>
      <c r="L165" s="199"/>
      <c r="M165" s="199"/>
      <c r="N165" s="199"/>
      <c r="O165" s="199"/>
      <c r="P165" s="199"/>
      <c r="Q165" s="199"/>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199"/>
      <c r="B166" s="199"/>
      <c r="C166" s="199"/>
      <c r="D166" s="199"/>
      <c r="E166" s="4"/>
      <c r="F166" s="199"/>
      <c r="G166" s="4"/>
      <c r="H166" s="4"/>
      <c r="I166" s="4"/>
      <c r="J166" s="4"/>
      <c r="K166" s="199"/>
      <c r="L166" s="199"/>
      <c r="M166" s="199"/>
      <c r="N166" s="199"/>
      <c r="O166" s="199"/>
      <c r="P166" s="199"/>
      <c r="Q166" s="199"/>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199"/>
      <c r="B167" s="199"/>
      <c r="C167" s="199"/>
      <c r="D167" s="199"/>
      <c r="E167" s="4"/>
      <c r="F167" s="199"/>
      <c r="G167" s="4"/>
      <c r="H167" s="4"/>
      <c r="I167" s="4"/>
      <c r="J167" s="4"/>
      <c r="K167" s="199"/>
      <c r="L167" s="199"/>
      <c r="M167" s="199"/>
      <c r="N167" s="199"/>
      <c r="O167" s="199"/>
      <c r="P167" s="199"/>
      <c r="Q167" s="199"/>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199"/>
      <c r="B168" s="199"/>
      <c r="C168" s="199"/>
      <c r="D168" s="199"/>
      <c r="E168" s="4"/>
      <c r="F168" s="199"/>
      <c r="G168" s="4"/>
      <c r="H168" s="4"/>
      <c r="I168" s="4"/>
      <c r="J168" s="4"/>
      <c r="K168" s="199"/>
      <c r="L168" s="199"/>
      <c r="M168" s="199"/>
      <c r="N168" s="199"/>
      <c r="O168" s="199"/>
      <c r="P168" s="199"/>
      <c r="Q168" s="199"/>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199"/>
      <c r="B169" s="199"/>
      <c r="C169" s="199"/>
      <c r="D169" s="199"/>
      <c r="E169" s="4"/>
      <c r="F169" s="199"/>
      <c r="G169" s="4"/>
      <c r="H169" s="4"/>
      <c r="I169" s="4"/>
      <c r="J169" s="4"/>
      <c r="K169" s="199"/>
      <c r="L169" s="199"/>
      <c r="M169" s="199"/>
      <c r="N169" s="199"/>
      <c r="O169" s="199"/>
      <c r="P169" s="199"/>
      <c r="Q169" s="199"/>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199"/>
      <c r="B170" s="199"/>
      <c r="C170" s="199"/>
      <c r="D170" s="199"/>
      <c r="E170" s="4"/>
      <c r="F170" s="199"/>
      <c r="G170" s="4"/>
      <c r="H170" s="4"/>
      <c r="I170" s="4"/>
      <c r="J170" s="4"/>
      <c r="K170" s="199"/>
      <c r="L170" s="199"/>
      <c r="M170" s="199"/>
      <c r="N170" s="199"/>
      <c r="O170" s="199"/>
      <c r="P170" s="199"/>
      <c r="Q170" s="199"/>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199"/>
      <c r="B171" s="199"/>
      <c r="C171" s="199"/>
      <c r="D171" s="199"/>
      <c r="E171" s="4"/>
      <c r="F171" s="199"/>
      <c r="G171" s="4"/>
      <c r="H171" s="4"/>
      <c r="I171" s="4"/>
      <c r="J171" s="4"/>
      <c r="K171" s="199"/>
      <c r="L171" s="199"/>
      <c r="M171" s="199"/>
      <c r="N171" s="199"/>
      <c r="O171" s="199"/>
      <c r="P171" s="199"/>
      <c r="Q171" s="199"/>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199"/>
      <c r="B172" s="199"/>
      <c r="C172" s="199"/>
      <c r="D172" s="199"/>
      <c r="E172" s="4"/>
      <c r="F172" s="199"/>
      <c r="G172" s="4"/>
      <c r="H172" s="4"/>
      <c r="I172" s="4"/>
      <c r="J172" s="4"/>
      <c r="K172" s="199"/>
      <c r="L172" s="199"/>
      <c r="M172" s="199"/>
      <c r="N172" s="199"/>
      <c r="O172" s="199"/>
      <c r="P172" s="199"/>
      <c r="Q172" s="199"/>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199"/>
      <c r="B173" s="199"/>
      <c r="C173" s="199"/>
      <c r="D173" s="199"/>
      <c r="E173" s="4"/>
      <c r="F173" s="199"/>
      <c r="G173" s="4"/>
      <c r="H173" s="4"/>
      <c r="I173" s="4"/>
      <c r="J173" s="4"/>
      <c r="K173" s="199"/>
      <c r="L173" s="199"/>
      <c r="M173" s="199"/>
      <c r="N173" s="199"/>
      <c r="O173" s="199"/>
      <c r="P173" s="199"/>
      <c r="Q173" s="199"/>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199"/>
      <c r="B174" s="199"/>
      <c r="C174" s="199"/>
      <c r="D174" s="199"/>
      <c r="E174" s="4"/>
      <c r="F174" s="199"/>
      <c r="G174" s="4"/>
      <c r="H174" s="4"/>
      <c r="I174" s="4"/>
      <c r="J174" s="4"/>
      <c r="K174" s="4"/>
      <c r="L174" s="199"/>
      <c r="M174" s="199"/>
      <c r="N174" s="199"/>
      <c r="O174" s="199"/>
      <c r="P174" s="199"/>
      <c r="Q174" s="199"/>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199"/>
      <c r="B175" s="199"/>
      <c r="C175" s="199"/>
      <c r="D175" s="199"/>
      <c r="E175" s="4"/>
      <c r="F175" s="199"/>
      <c r="G175" s="4"/>
      <c r="H175" s="4"/>
      <c r="I175" s="4"/>
      <c r="J175" s="4"/>
      <c r="K175" s="4"/>
      <c r="L175" s="199"/>
      <c r="M175" s="199"/>
      <c r="N175" s="199"/>
      <c r="O175" s="199"/>
      <c r="P175" s="199"/>
      <c r="Q175" s="199"/>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199"/>
      <c r="B176" s="199"/>
      <c r="C176" s="199"/>
      <c r="D176" s="199"/>
      <c r="E176" s="4"/>
      <c r="F176" s="199"/>
      <c r="G176" s="4"/>
      <c r="H176" s="4"/>
      <c r="I176" s="4"/>
      <c r="J176" s="4"/>
      <c r="K176" s="4"/>
      <c r="L176" s="199"/>
      <c r="M176" s="199"/>
      <c r="N176" s="199"/>
      <c r="O176" s="199"/>
      <c r="P176" s="199"/>
      <c r="Q176" s="199"/>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5"/>
      <c r="B177" s="25"/>
      <c r="C177" s="25"/>
      <c r="D177" s="25"/>
      <c r="E177" s="202"/>
      <c r="F177" s="25"/>
      <c r="G177" s="202"/>
      <c r="H177" s="202"/>
      <c r="I177" s="202"/>
      <c r="J177" s="202"/>
      <c r="K177" s="202"/>
      <c r="L177" s="25"/>
      <c r="M177" s="25"/>
      <c r="N177" s="25"/>
      <c r="O177" s="25"/>
      <c r="P177" s="25"/>
      <c r="Q177" s="25"/>
      <c r="R177" s="202"/>
      <c r="S177" s="202"/>
      <c r="T177" s="202"/>
      <c r="U177" s="202"/>
      <c r="V177" s="202"/>
      <c r="W177" s="202"/>
      <c r="X177" s="202"/>
      <c r="Y177" s="202"/>
      <c r="Z177" s="202"/>
      <c r="AA177" s="202"/>
      <c r="AB177" s="202"/>
      <c r="AC177" s="202"/>
      <c r="AD177" s="202"/>
      <c r="AE177" s="202"/>
      <c r="AF177" s="202"/>
      <c r="AG177" s="202"/>
      <c r="AH177" s="202"/>
      <c r="AI177" s="202"/>
      <c r="AJ177" s="202"/>
      <c r="AK177" s="202"/>
      <c r="AL177" s="202"/>
      <c r="AM177" s="202"/>
      <c r="AN177" s="202"/>
      <c r="AO177" s="202"/>
    </row>
    <row r="178" ht="12.75" customHeight="1">
      <c r="A178" s="25"/>
      <c r="B178" s="25"/>
      <c r="C178" s="25"/>
      <c r="D178" s="25"/>
      <c r="E178" s="202"/>
      <c r="F178" s="25"/>
      <c r="G178" s="202"/>
      <c r="H178" s="202"/>
      <c r="I178" s="202"/>
      <c r="J178" s="202"/>
      <c r="K178" s="202"/>
      <c r="L178" s="25"/>
      <c r="M178" s="25"/>
      <c r="N178" s="25"/>
      <c r="O178" s="25"/>
      <c r="P178" s="25"/>
      <c r="Q178" s="25"/>
      <c r="R178" s="202"/>
      <c r="S178" s="202"/>
      <c r="T178" s="202"/>
      <c r="U178" s="202"/>
      <c r="V178" s="202"/>
      <c r="W178" s="202"/>
      <c r="X178" s="202"/>
      <c r="Y178" s="202"/>
      <c r="Z178" s="202"/>
      <c r="AA178" s="202"/>
      <c r="AB178" s="202"/>
      <c r="AC178" s="202"/>
      <c r="AD178" s="202"/>
      <c r="AE178" s="202"/>
      <c r="AF178" s="202"/>
      <c r="AG178" s="202"/>
      <c r="AH178" s="202"/>
      <c r="AI178" s="202"/>
      <c r="AJ178" s="202"/>
      <c r="AK178" s="202"/>
      <c r="AL178" s="202"/>
      <c r="AM178" s="202"/>
      <c r="AN178" s="202"/>
      <c r="AO178" s="202"/>
    </row>
    <row r="179" ht="12.75" customHeight="1">
      <c r="A179" s="25"/>
      <c r="B179" s="25"/>
      <c r="C179" s="25"/>
      <c r="D179" s="25"/>
      <c r="E179" s="202"/>
      <c r="F179" s="25"/>
      <c r="G179" s="202"/>
      <c r="H179" s="202"/>
      <c r="I179" s="202"/>
      <c r="J179" s="202"/>
      <c r="K179" s="202"/>
      <c r="L179" s="25"/>
      <c r="M179" s="25"/>
      <c r="N179" s="25"/>
      <c r="O179" s="25"/>
      <c r="P179" s="25"/>
      <c r="Q179" s="25"/>
      <c r="R179" s="202"/>
      <c r="S179" s="202"/>
      <c r="T179" s="202"/>
      <c r="U179" s="202"/>
      <c r="V179" s="202"/>
      <c r="W179" s="202"/>
      <c r="X179" s="202"/>
      <c r="Y179" s="202"/>
      <c r="Z179" s="202"/>
      <c r="AA179" s="202"/>
      <c r="AB179" s="202"/>
      <c r="AC179" s="202"/>
      <c r="AD179" s="202"/>
      <c r="AE179" s="202"/>
      <c r="AF179" s="202"/>
      <c r="AG179" s="202"/>
      <c r="AH179" s="202"/>
      <c r="AI179" s="202"/>
      <c r="AJ179" s="202"/>
      <c r="AK179" s="202"/>
      <c r="AL179" s="202"/>
      <c r="AM179" s="202"/>
      <c r="AN179" s="202"/>
      <c r="AO179" s="202"/>
    </row>
    <row r="180" ht="12.75" customHeight="1">
      <c r="A180" s="25"/>
      <c r="B180" s="25"/>
      <c r="C180" s="25"/>
      <c r="D180" s="25"/>
      <c r="E180" s="202"/>
      <c r="F180" s="25"/>
      <c r="G180" s="202"/>
      <c r="H180" s="202"/>
      <c r="I180" s="202"/>
      <c r="J180" s="202"/>
      <c r="K180" s="202"/>
      <c r="L180" s="25"/>
      <c r="M180" s="25"/>
      <c r="N180" s="25"/>
      <c r="O180" s="25"/>
      <c r="P180" s="25"/>
      <c r="Q180" s="25"/>
      <c r="R180" s="202"/>
      <c r="S180" s="202"/>
      <c r="T180" s="202"/>
      <c r="U180" s="202"/>
      <c r="V180" s="202"/>
      <c r="W180" s="202"/>
      <c r="X180" s="202"/>
      <c r="Y180" s="202"/>
      <c r="Z180" s="202"/>
      <c r="AA180" s="202"/>
      <c r="AB180" s="202"/>
      <c r="AC180" s="202"/>
      <c r="AD180" s="202"/>
      <c r="AE180" s="202"/>
      <c r="AF180" s="202"/>
      <c r="AG180" s="202"/>
      <c r="AH180" s="202"/>
      <c r="AI180" s="202"/>
      <c r="AJ180" s="202"/>
      <c r="AK180" s="202"/>
      <c r="AL180" s="202"/>
      <c r="AM180" s="202"/>
      <c r="AN180" s="202"/>
      <c r="AO180" s="202"/>
    </row>
    <row r="181" ht="12.75" customHeight="1">
      <c r="A181" s="25"/>
      <c r="B181" s="25"/>
      <c r="C181" s="25"/>
      <c r="D181" s="25"/>
      <c r="E181" s="202"/>
      <c r="F181" s="25"/>
      <c r="G181" s="202"/>
      <c r="H181" s="202"/>
      <c r="I181" s="202"/>
      <c r="J181" s="202"/>
      <c r="K181" s="202"/>
      <c r="L181" s="25"/>
      <c r="M181" s="25"/>
      <c r="N181" s="25"/>
      <c r="O181" s="25"/>
      <c r="P181" s="25"/>
      <c r="Q181" s="25"/>
      <c r="R181" s="202"/>
      <c r="S181" s="202"/>
      <c r="T181" s="202"/>
      <c r="U181" s="202"/>
      <c r="V181" s="202"/>
      <c r="W181" s="202"/>
      <c r="X181" s="202"/>
      <c r="Y181" s="202"/>
      <c r="Z181" s="202"/>
      <c r="AA181" s="202"/>
      <c r="AB181" s="202"/>
      <c r="AC181" s="202"/>
      <c r="AD181" s="202"/>
      <c r="AE181" s="202"/>
      <c r="AF181" s="202"/>
      <c r="AG181" s="202"/>
      <c r="AH181" s="202"/>
      <c r="AI181" s="202"/>
      <c r="AJ181" s="202"/>
      <c r="AK181" s="202"/>
      <c r="AL181" s="202"/>
      <c r="AM181" s="202"/>
      <c r="AN181" s="202"/>
      <c r="AO181" s="202"/>
    </row>
    <row r="182" ht="12.75" customHeight="1">
      <c r="A182" s="25"/>
      <c r="B182" s="25"/>
      <c r="C182" s="25"/>
      <c r="D182" s="25"/>
      <c r="E182" s="202"/>
      <c r="F182" s="25"/>
      <c r="G182" s="202"/>
      <c r="H182" s="202"/>
      <c r="I182" s="202"/>
      <c r="J182" s="202"/>
      <c r="K182" s="202"/>
      <c r="L182" s="25"/>
      <c r="M182" s="25"/>
      <c r="N182" s="25"/>
      <c r="O182" s="25"/>
      <c r="P182" s="25"/>
      <c r="Q182" s="25"/>
      <c r="R182" s="202"/>
      <c r="S182" s="202"/>
      <c r="T182" s="202"/>
      <c r="U182" s="202"/>
      <c r="V182" s="202"/>
      <c r="W182" s="202"/>
      <c r="X182" s="202"/>
      <c r="Y182" s="202"/>
      <c r="Z182" s="202"/>
      <c r="AA182" s="202"/>
      <c r="AB182" s="202"/>
      <c r="AC182" s="202"/>
      <c r="AD182" s="202"/>
      <c r="AE182" s="202"/>
      <c r="AF182" s="202"/>
      <c r="AG182" s="202"/>
      <c r="AH182" s="202"/>
      <c r="AI182" s="202"/>
      <c r="AJ182" s="202"/>
      <c r="AK182" s="202"/>
      <c r="AL182" s="202"/>
      <c r="AM182" s="202"/>
      <c r="AN182" s="202"/>
      <c r="AO182" s="202"/>
    </row>
    <row r="183" ht="12.75" customHeight="1">
      <c r="A183" s="25"/>
      <c r="B183" s="25"/>
      <c r="C183" s="25"/>
      <c r="D183" s="25"/>
      <c r="E183" s="202"/>
      <c r="F183" s="25"/>
      <c r="G183" s="202"/>
      <c r="H183" s="202"/>
      <c r="I183" s="202"/>
      <c r="J183" s="202"/>
      <c r="K183" s="202"/>
      <c r="L183" s="25"/>
      <c r="M183" s="25"/>
      <c r="N183" s="25"/>
      <c r="O183" s="25"/>
      <c r="P183" s="25"/>
      <c r="Q183" s="25"/>
      <c r="R183" s="202"/>
      <c r="S183" s="202"/>
      <c r="T183" s="202"/>
      <c r="U183" s="202"/>
      <c r="V183" s="202"/>
      <c r="W183" s="202"/>
      <c r="X183" s="202"/>
      <c r="Y183" s="202"/>
      <c r="Z183" s="202"/>
      <c r="AA183" s="202"/>
      <c r="AB183" s="202"/>
      <c r="AC183" s="202"/>
      <c r="AD183" s="202"/>
      <c r="AE183" s="202"/>
      <c r="AF183" s="202"/>
      <c r="AG183" s="202"/>
      <c r="AH183" s="202"/>
      <c r="AI183" s="202"/>
      <c r="AJ183" s="202"/>
      <c r="AK183" s="202"/>
      <c r="AL183" s="202"/>
      <c r="AM183" s="202"/>
      <c r="AN183" s="202"/>
      <c r="AO183" s="202"/>
    </row>
    <row r="184" ht="12.75" customHeight="1">
      <c r="A184" s="25"/>
      <c r="B184" s="25"/>
      <c r="C184" s="25"/>
      <c r="D184" s="25"/>
      <c r="E184" s="202"/>
      <c r="F184" s="25"/>
      <c r="G184" s="202"/>
      <c r="H184" s="202"/>
      <c r="I184" s="202"/>
      <c r="J184" s="202"/>
      <c r="K184" s="202"/>
      <c r="L184" s="25"/>
      <c r="M184" s="25"/>
      <c r="N184" s="25"/>
      <c r="O184" s="25"/>
      <c r="P184" s="25"/>
      <c r="Q184" s="25"/>
      <c r="R184" s="202"/>
      <c r="S184" s="202"/>
      <c r="T184" s="202"/>
      <c r="U184" s="202"/>
      <c r="V184" s="202"/>
      <c r="W184" s="202"/>
      <c r="X184" s="202"/>
      <c r="Y184" s="202"/>
      <c r="Z184" s="202"/>
      <c r="AA184" s="202"/>
      <c r="AB184" s="202"/>
      <c r="AC184" s="202"/>
      <c r="AD184" s="202"/>
      <c r="AE184" s="202"/>
      <c r="AF184" s="202"/>
      <c r="AG184" s="202"/>
      <c r="AH184" s="202"/>
      <c r="AI184" s="202"/>
      <c r="AJ184" s="202"/>
      <c r="AK184" s="202"/>
      <c r="AL184" s="202"/>
      <c r="AM184" s="202"/>
      <c r="AN184" s="202"/>
      <c r="AO184" s="202"/>
    </row>
    <row r="185" ht="12.75" customHeight="1">
      <c r="A185" s="25"/>
      <c r="B185" s="25"/>
      <c r="C185" s="25"/>
      <c r="D185" s="25"/>
      <c r="E185" s="202"/>
      <c r="F185" s="25"/>
      <c r="G185" s="202"/>
      <c r="H185" s="202"/>
      <c r="I185" s="202"/>
      <c r="J185" s="202"/>
      <c r="K185" s="202"/>
      <c r="L185" s="25"/>
      <c r="M185" s="25"/>
      <c r="N185" s="25"/>
      <c r="O185" s="25"/>
      <c r="P185" s="25"/>
      <c r="Q185" s="25"/>
      <c r="R185" s="202"/>
      <c r="S185" s="202"/>
      <c r="T185" s="202"/>
      <c r="U185" s="202"/>
      <c r="V185" s="202"/>
      <c r="W185" s="202"/>
      <c r="X185" s="202"/>
      <c r="Y185" s="202"/>
      <c r="Z185" s="202"/>
      <c r="AA185" s="202"/>
      <c r="AB185" s="202"/>
      <c r="AC185" s="202"/>
      <c r="AD185" s="202"/>
      <c r="AE185" s="202"/>
      <c r="AF185" s="202"/>
      <c r="AG185" s="202"/>
      <c r="AH185" s="202"/>
      <c r="AI185" s="202"/>
      <c r="AJ185" s="202"/>
      <c r="AK185" s="202"/>
      <c r="AL185" s="202"/>
      <c r="AM185" s="202"/>
      <c r="AN185" s="202"/>
      <c r="AO185" s="202"/>
    </row>
    <row r="186" ht="12.75" customHeight="1">
      <c r="A186" s="25"/>
      <c r="B186" s="25"/>
      <c r="C186" s="25"/>
      <c r="D186" s="25"/>
      <c r="E186" s="202"/>
      <c r="F186" s="25"/>
      <c r="G186" s="202"/>
      <c r="H186" s="202"/>
      <c r="I186" s="202"/>
      <c r="J186" s="202"/>
      <c r="K186" s="202"/>
      <c r="L186" s="25"/>
      <c r="M186" s="25"/>
      <c r="N186" s="25"/>
      <c r="O186" s="25"/>
      <c r="P186" s="25"/>
      <c r="Q186" s="25"/>
      <c r="R186" s="202"/>
      <c r="S186" s="202"/>
      <c r="T186" s="202"/>
      <c r="U186" s="202"/>
      <c r="V186" s="202"/>
      <c r="W186" s="202"/>
      <c r="X186" s="202"/>
      <c r="Y186" s="202"/>
      <c r="Z186" s="202"/>
      <c r="AA186" s="202"/>
      <c r="AB186" s="202"/>
      <c r="AC186" s="202"/>
      <c r="AD186" s="202"/>
      <c r="AE186" s="202"/>
      <c r="AF186" s="202"/>
      <c r="AG186" s="202"/>
      <c r="AH186" s="202"/>
      <c r="AI186" s="202"/>
      <c r="AJ186" s="202"/>
      <c r="AK186" s="202"/>
      <c r="AL186" s="202"/>
      <c r="AM186" s="202"/>
      <c r="AN186" s="202"/>
      <c r="AO186" s="202"/>
    </row>
    <row r="187" ht="12.75" customHeight="1">
      <c r="A187" s="25"/>
      <c r="B187" s="25"/>
      <c r="C187" s="25"/>
      <c r="D187" s="25"/>
      <c r="E187" s="202"/>
      <c r="F187" s="25"/>
      <c r="G187" s="202"/>
      <c r="H187" s="202"/>
      <c r="I187" s="202"/>
      <c r="J187" s="202"/>
      <c r="K187" s="202"/>
      <c r="L187" s="25"/>
      <c r="M187" s="25"/>
      <c r="N187" s="25"/>
      <c r="O187" s="25"/>
      <c r="P187" s="25"/>
      <c r="Q187" s="25"/>
      <c r="R187" s="202"/>
      <c r="S187" s="202"/>
      <c r="T187" s="202"/>
      <c r="U187" s="202"/>
      <c r="V187" s="202"/>
      <c r="W187" s="202"/>
      <c r="X187" s="202"/>
      <c r="Y187" s="202"/>
      <c r="Z187" s="202"/>
      <c r="AA187" s="202"/>
      <c r="AB187" s="202"/>
      <c r="AC187" s="202"/>
      <c r="AD187" s="202"/>
      <c r="AE187" s="202"/>
      <c r="AF187" s="202"/>
      <c r="AG187" s="202"/>
      <c r="AH187" s="202"/>
      <c r="AI187" s="202"/>
      <c r="AJ187" s="202"/>
      <c r="AK187" s="202"/>
      <c r="AL187" s="202"/>
      <c r="AM187" s="202"/>
      <c r="AN187" s="202"/>
      <c r="AO187" s="202"/>
    </row>
    <row r="188" ht="12.75" customHeight="1">
      <c r="A188" s="25"/>
      <c r="B188" s="25"/>
      <c r="C188" s="25"/>
      <c r="D188" s="25"/>
      <c r="E188" s="202"/>
      <c r="F188" s="25"/>
      <c r="G188" s="202"/>
      <c r="H188" s="202"/>
      <c r="I188" s="202"/>
      <c r="J188" s="202"/>
      <c r="K188" s="202"/>
      <c r="L188" s="25"/>
      <c r="M188" s="25"/>
      <c r="N188" s="25"/>
      <c r="O188" s="25"/>
      <c r="P188" s="25"/>
      <c r="Q188" s="25"/>
      <c r="R188" s="202"/>
      <c r="S188" s="202"/>
      <c r="T188" s="202"/>
      <c r="U188" s="202"/>
      <c r="V188" s="202"/>
      <c r="W188" s="202"/>
      <c r="X188" s="202"/>
      <c r="Y188" s="202"/>
      <c r="Z188" s="202"/>
      <c r="AA188" s="202"/>
      <c r="AB188" s="202"/>
      <c r="AC188" s="202"/>
      <c r="AD188" s="202"/>
      <c r="AE188" s="202"/>
      <c r="AF188" s="202"/>
      <c r="AG188" s="202"/>
      <c r="AH188" s="202"/>
      <c r="AI188" s="202"/>
      <c r="AJ188" s="202"/>
      <c r="AK188" s="202"/>
      <c r="AL188" s="202"/>
      <c r="AM188" s="202"/>
      <c r="AN188" s="202"/>
      <c r="AO188" s="202"/>
    </row>
    <row r="189" ht="12.75" customHeight="1">
      <c r="A189" s="25"/>
      <c r="B189" s="25"/>
      <c r="C189" s="25"/>
      <c r="D189" s="25"/>
      <c r="E189" s="202"/>
      <c r="F189" s="25"/>
      <c r="G189" s="202"/>
      <c r="H189" s="202"/>
      <c r="I189" s="202"/>
      <c r="J189" s="202"/>
      <c r="K189" s="202"/>
      <c r="L189" s="25"/>
      <c r="M189" s="25"/>
      <c r="N189" s="25"/>
      <c r="O189" s="25"/>
      <c r="P189" s="25"/>
      <c r="Q189" s="25"/>
      <c r="R189" s="202"/>
      <c r="S189" s="202"/>
      <c r="T189" s="202"/>
      <c r="U189" s="202"/>
      <c r="V189" s="202"/>
      <c r="W189" s="202"/>
      <c r="X189" s="202"/>
      <c r="Y189" s="202"/>
      <c r="Z189" s="202"/>
      <c r="AA189" s="202"/>
      <c r="AB189" s="202"/>
      <c r="AC189" s="202"/>
      <c r="AD189" s="202"/>
      <c r="AE189" s="202"/>
      <c r="AF189" s="202"/>
      <c r="AG189" s="202"/>
      <c r="AH189" s="202"/>
      <c r="AI189" s="202"/>
      <c r="AJ189" s="202"/>
      <c r="AK189" s="202"/>
      <c r="AL189" s="202"/>
      <c r="AM189" s="202"/>
      <c r="AN189" s="202"/>
      <c r="AO189" s="202"/>
    </row>
    <row r="190" ht="12.75" customHeight="1">
      <c r="A190" s="25"/>
      <c r="B190" s="25"/>
      <c r="C190" s="25"/>
      <c r="D190" s="25"/>
      <c r="E190" s="202"/>
      <c r="F190" s="25"/>
      <c r="G190" s="202"/>
      <c r="H190" s="202"/>
      <c r="I190" s="202"/>
      <c r="J190" s="202"/>
      <c r="K190" s="202"/>
      <c r="L190" s="25"/>
      <c r="M190" s="25"/>
      <c r="N190" s="25"/>
      <c r="O190" s="25"/>
      <c r="P190" s="25"/>
      <c r="Q190" s="25"/>
      <c r="R190" s="202"/>
      <c r="S190" s="202"/>
      <c r="T190" s="202"/>
      <c r="U190" s="202"/>
      <c r="V190" s="202"/>
      <c r="W190" s="202"/>
      <c r="X190" s="202"/>
      <c r="Y190" s="202"/>
      <c r="Z190" s="202"/>
      <c r="AA190" s="202"/>
      <c r="AB190" s="202"/>
      <c r="AC190" s="202"/>
      <c r="AD190" s="202"/>
      <c r="AE190" s="202"/>
      <c r="AF190" s="202"/>
      <c r="AG190" s="202"/>
      <c r="AH190" s="202"/>
      <c r="AI190" s="202"/>
      <c r="AJ190" s="202"/>
      <c r="AK190" s="202"/>
      <c r="AL190" s="202"/>
      <c r="AM190" s="202"/>
      <c r="AN190" s="202"/>
      <c r="AO190" s="202"/>
    </row>
    <row r="191" ht="12.75" customHeight="1">
      <c r="A191" s="25"/>
      <c r="B191" s="25"/>
      <c r="C191" s="25"/>
      <c r="D191" s="25"/>
      <c r="E191" s="202"/>
      <c r="F191" s="25"/>
      <c r="G191" s="202"/>
      <c r="H191" s="202"/>
      <c r="I191" s="202"/>
      <c r="J191" s="202"/>
      <c r="K191" s="202"/>
      <c r="L191" s="25"/>
      <c r="M191" s="25"/>
      <c r="N191" s="25"/>
      <c r="O191" s="25"/>
      <c r="P191" s="25"/>
      <c r="Q191" s="25"/>
      <c r="R191" s="202"/>
      <c r="S191" s="202"/>
      <c r="T191" s="202"/>
      <c r="U191" s="202"/>
      <c r="V191" s="202"/>
      <c r="W191" s="202"/>
      <c r="X191" s="202"/>
      <c r="Y191" s="202"/>
      <c r="Z191" s="202"/>
      <c r="AA191" s="202"/>
      <c r="AB191" s="202"/>
      <c r="AC191" s="202"/>
      <c r="AD191" s="202"/>
      <c r="AE191" s="202"/>
      <c r="AF191" s="202"/>
      <c r="AG191" s="202"/>
      <c r="AH191" s="202"/>
      <c r="AI191" s="202"/>
      <c r="AJ191" s="202"/>
      <c r="AK191" s="202"/>
      <c r="AL191" s="202"/>
      <c r="AM191" s="202"/>
      <c r="AN191" s="202"/>
      <c r="AO191" s="202"/>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3" t="s">
        <v>1215</v>
      </c>
      <c r="B1" s="203" t="s">
        <v>1216</v>
      </c>
    </row>
    <row r="2" ht="12.75" customHeight="1">
      <c r="A2" s="199">
        <v>5.0</v>
      </c>
    </row>
    <row r="3" ht="12.75" customHeight="1">
      <c r="A3" s="199">
        <v>8.0</v>
      </c>
    </row>
    <row r="4" ht="12.75" customHeight="1">
      <c r="A4" s="199">
        <v>10.0</v>
      </c>
    </row>
    <row r="5" ht="12.75" customHeight="1">
      <c r="A5" s="199">
        <v>19.0</v>
      </c>
    </row>
    <row r="6" ht="12.75" customHeight="1">
      <c r="A6" s="199">
        <v>23.0</v>
      </c>
    </row>
    <row r="7" ht="12.75" customHeight="1">
      <c r="A7" s="199">
        <v>27.0</v>
      </c>
    </row>
    <row r="8" ht="12.75" customHeight="1">
      <c r="A8" s="199">
        <v>29.0</v>
      </c>
    </row>
    <row r="9" ht="12.75" customHeight="1">
      <c r="A9" s="199">
        <v>30.0</v>
      </c>
    </row>
    <row r="10" ht="12.75" customHeight="1">
      <c r="A10" s="199">
        <v>45.0</v>
      </c>
    </row>
    <row r="11" ht="12.75" customHeight="1">
      <c r="A11" s="199">
        <v>48.0</v>
      </c>
    </row>
    <row r="12" ht="12.75" customHeight="1">
      <c r="A12" s="199">
        <v>50.0</v>
      </c>
    </row>
    <row r="13" ht="12.75" customHeight="1">
      <c r="A13" s="199">
        <v>53.0</v>
      </c>
    </row>
    <row r="14" ht="12.75" customHeight="1">
      <c r="A14" s="199">
        <v>61.0</v>
      </c>
    </row>
    <row r="15" ht="12.75" customHeight="1">
      <c r="A15" s="199">
        <v>62.0</v>
      </c>
    </row>
    <row r="16" ht="12.75" customHeight="1">
      <c r="A16" s="199">
        <v>65.0</v>
      </c>
    </row>
    <row r="17" ht="12.75" customHeight="1">
      <c r="A17" s="199">
        <v>66.0</v>
      </c>
    </row>
    <row r="18" ht="12.75" customHeight="1">
      <c r="A18" s="199">
        <v>67.0</v>
      </c>
    </row>
    <row r="19" ht="12.75" customHeight="1">
      <c r="A19" s="199">
        <v>68.0</v>
      </c>
    </row>
    <row r="20" ht="12.75" customHeight="1">
      <c r="A20" s="199">
        <v>71.0</v>
      </c>
    </row>
    <row r="21" ht="12.75" customHeight="1">
      <c r="A21" s="199">
        <v>74.0</v>
      </c>
    </row>
    <row r="22" ht="12.75" customHeight="1">
      <c r="A22" s="199">
        <v>76.0</v>
      </c>
    </row>
    <row r="23" ht="12.75" customHeight="1">
      <c r="A23" s="199">
        <v>78.0</v>
      </c>
    </row>
    <row r="24" ht="12.75" customHeight="1">
      <c r="A24" s="199">
        <v>82.0</v>
      </c>
    </row>
    <row r="25" ht="12.75" customHeight="1">
      <c r="A25" s="199">
        <v>87.0</v>
      </c>
    </row>
    <row r="26" ht="12.75" customHeight="1">
      <c r="A26" s="199">
        <v>99.0</v>
      </c>
    </row>
    <row r="27" ht="12.75" customHeight="1">
      <c r="A27" s="199">
        <v>100.0</v>
      </c>
    </row>
    <row r="28" ht="12.75" customHeight="1">
      <c r="A28" s="199"/>
    </row>
    <row r="29" ht="12.75" customHeight="1">
      <c r="A29" s="199"/>
    </row>
    <row r="30" ht="12.75" customHeight="1">
      <c r="A30" s="199"/>
    </row>
    <row r="31" ht="12.75" customHeight="1">
      <c r="A31" s="199"/>
    </row>
    <row r="32" ht="12.75" customHeight="1">
      <c r="A32" s="199"/>
    </row>
    <row r="33" ht="12.75" customHeight="1">
      <c r="A33" s="199"/>
    </row>
    <row r="34" ht="12.75" customHeight="1">
      <c r="A34" s="199"/>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198" t="s">
        <v>1217</v>
      </c>
      <c r="C1" s="3" t="s">
        <v>913</v>
      </c>
      <c r="D1" s="3" t="s">
        <v>1218</v>
      </c>
      <c r="E1" s="204"/>
      <c r="F1" s="204"/>
    </row>
    <row r="2" ht="12.75" hidden="1" customHeight="1">
      <c r="A2" s="5">
        <f>companies!A2</f>
        <v>1</v>
      </c>
      <c r="B2" s="4">
        <v>2019.0</v>
      </c>
      <c r="C2" s="205">
        <v>3.2136E10</v>
      </c>
      <c r="D2" s="205">
        <v>4.57E9</v>
      </c>
      <c r="E2" s="4"/>
      <c r="F2" s="4"/>
    </row>
    <row r="3" ht="12.75" hidden="1" customHeight="1">
      <c r="A3" s="5">
        <f>companies!A3</f>
        <v>2</v>
      </c>
      <c r="B3" s="4">
        <v>2019.0</v>
      </c>
      <c r="C3" s="205">
        <v>3.1904E10</v>
      </c>
      <c r="D3" s="205">
        <v>3.687E9</v>
      </c>
      <c r="E3" s="4"/>
      <c r="F3" s="4"/>
    </row>
    <row r="4" ht="12.75" hidden="1" customHeight="1">
      <c r="A4" s="5">
        <f>companies!A4</f>
        <v>3</v>
      </c>
      <c r="B4" s="4">
        <v>2019.0</v>
      </c>
      <c r="C4" s="205">
        <v>3.3266E10</v>
      </c>
      <c r="D4" s="205">
        <v>5.697E9</v>
      </c>
      <c r="E4" s="4"/>
      <c r="F4" s="4"/>
    </row>
    <row r="5" ht="12.75" hidden="1" customHeight="1">
      <c r="A5" s="5">
        <f>companies!A5</f>
        <v>4</v>
      </c>
      <c r="B5" s="4">
        <v>2019.0</v>
      </c>
      <c r="C5" s="205">
        <v>4.32E10</v>
      </c>
      <c r="D5" s="205">
        <v>4.78E9</v>
      </c>
      <c r="E5" s="4"/>
      <c r="F5" s="4"/>
    </row>
    <row r="6" ht="12.75" hidden="1" customHeight="1">
      <c r="A6" s="5">
        <f>companies!A6</f>
        <v>5</v>
      </c>
      <c r="B6" s="4">
        <v>2019.0</v>
      </c>
      <c r="C6" s="205">
        <v>1.1171E10</v>
      </c>
      <c r="D6" s="205">
        <v>2.951E9</v>
      </c>
      <c r="E6" s="4"/>
      <c r="F6" s="4"/>
    </row>
    <row r="7" ht="12.75" hidden="1" customHeight="1">
      <c r="A7" s="5">
        <f>companies!A7</f>
        <v>6</v>
      </c>
      <c r="B7" s="4">
        <v>2019.0</v>
      </c>
      <c r="C7" s="205">
        <v>4.4675E10</v>
      </c>
      <c r="D7" s="205">
        <v>4.847E9</v>
      </c>
      <c r="E7" s="4"/>
      <c r="F7" s="4"/>
    </row>
    <row r="8" ht="12.75" hidden="1" customHeight="1">
      <c r="A8" s="5">
        <f>companies!A8</f>
        <v>7</v>
      </c>
      <c r="B8" s="4">
        <v>2019.0</v>
      </c>
      <c r="C8" s="205">
        <v>1.61857E11</v>
      </c>
      <c r="D8" s="205">
        <v>3.434E10</v>
      </c>
      <c r="E8" s="4"/>
      <c r="F8" s="4"/>
    </row>
    <row r="9" ht="12.75" hidden="1" customHeight="1">
      <c r="A9" s="5">
        <f>companies!A9</f>
        <v>8</v>
      </c>
      <c r="B9" s="4">
        <v>2019.0</v>
      </c>
      <c r="C9" s="205">
        <v>2.5364E10</v>
      </c>
      <c r="D9" s="205">
        <v>6.963E9</v>
      </c>
      <c r="E9" s="4"/>
      <c r="F9" s="4"/>
    </row>
    <row r="10" ht="12.75" hidden="1" customHeight="1">
      <c r="A10" s="5">
        <f>companies!A10</f>
        <v>9</v>
      </c>
      <c r="B10" s="4">
        <v>2019.0</v>
      </c>
      <c r="C10" s="205">
        <v>2.8E11</v>
      </c>
      <c r="D10" s="205">
        <v>1.1588E10</v>
      </c>
    </row>
    <row r="11" ht="12.75" hidden="1" customHeight="1">
      <c r="A11" s="5">
        <f>companies!A11</f>
        <v>10</v>
      </c>
      <c r="B11" s="4">
        <v>2019.0</v>
      </c>
      <c r="C11" s="205">
        <v>4.3556E10</v>
      </c>
      <c r="D11" s="205">
        <v>6.921E9</v>
      </c>
      <c r="E11" s="4"/>
      <c r="F11" s="4"/>
    </row>
    <row r="12" ht="12.75" hidden="1" customHeight="1">
      <c r="A12" s="5">
        <f>companies!A12</f>
        <v>11</v>
      </c>
      <c r="B12" s="4">
        <v>2019.0</v>
      </c>
      <c r="C12" s="205">
        <v>4.975E10</v>
      </c>
      <c r="D12" s="205">
        <v>3.3E9</v>
      </c>
      <c r="E12" s="4"/>
      <c r="F12" s="4"/>
    </row>
    <row r="13" ht="12.75" hidden="1" customHeight="1">
      <c r="A13" s="5">
        <f>companies!A13</f>
        <v>12</v>
      </c>
      <c r="B13" s="4">
        <v>2019.0</v>
      </c>
      <c r="C13" s="205">
        <v>7.58E9</v>
      </c>
      <c r="D13" s="205">
        <v>1.888E9</v>
      </c>
      <c r="E13" s="4"/>
      <c r="F13" s="4"/>
    </row>
    <row r="14" ht="12.75" hidden="1" customHeight="1">
      <c r="A14" s="5">
        <f>companies!A14</f>
        <v>13</v>
      </c>
      <c r="B14" s="4">
        <v>2019.0</v>
      </c>
      <c r="C14" s="205">
        <v>2.34E10</v>
      </c>
      <c r="D14" s="205">
        <v>7.84E9</v>
      </c>
      <c r="E14" s="4"/>
      <c r="F14" s="4"/>
    </row>
    <row r="15" ht="12.75" hidden="1" customHeight="1">
      <c r="A15" s="5">
        <f>companies!A15</f>
        <v>14</v>
      </c>
      <c r="B15" s="4">
        <v>2019.0</v>
      </c>
      <c r="C15" s="205">
        <v>2.60174E11</v>
      </c>
      <c r="D15" s="205">
        <v>5.5256E10</v>
      </c>
      <c r="E15" s="4"/>
      <c r="F15" s="4"/>
    </row>
    <row r="16" ht="12.75" hidden="1" customHeight="1">
      <c r="A16" s="5">
        <f>companies!A16</f>
        <v>15</v>
      </c>
      <c r="B16" s="4">
        <v>2019.0</v>
      </c>
      <c r="C16" s="205">
        <v>1.812E11</v>
      </c>
      <c r="D16" s="205">
        <v>1.39E10</v>
      </c>
      <c r="E16" s="4"/>
      <c r="F16" s="4"/>
    </row>
    <row r="17" ht="12.75" hidden="1" customHeight="1">
      <c r="A17" s="5">
        <f>companies!A17</f>
        <v>16</v>
      </c>
      <c r="B17" s="4">
        <v>2019.0</v>
      </c>
      <c r="C17" s="205">
        <v>9.124E10</v>
      </c>
      <c r="D17" s="205">
        <v>2.5998E10</v>
      </c>
      <c r="E17" s="4"/>
      <c r="F17" s="4"/>
    </row>
    <row r="18" ht="12.75" hidden="1" customHeight="1">
      <c r="A18" s="5">
        <f>companies!A18</f>
        <v>17</v>
      </c>
      <c r="B18" s="4">
        <v>2019.0</v>
      </c>
      <c r="C18" s="205">
        <v>2.54616E11</v>
      </c>
      <c r="D18" s="205">
        <v>8.1417E10</v>
      </c>
    </row>
    <row r="19" ht="12.75" hidden="1" customHeight="1">
      <c r="A19" s="5">
        <f>companies!A19</f>
        <v>18</v>
      </c>
      <c r="B19" s="4">
        <v>2019.0</v>
      </c>
      <c r="C19" s="205">
        <v>1.35E10</v>
      </c>
      <c r="D19" s="205">
        <v>4.4E9</v>
      </c>
      <c r="E19" s="4"/>
      <c r="F19" s="4"/>
    </row>
    <row r="20" ht="12.75" hidden="1" customHeight="1">
      <c r="A20" s="5">
        <f>companies!A20</f>
        <v>19</v>
      </c>
      <c r="B20" s="4">
        <v>2019.0</v>
      </c>
      <c r="C20" s="205">
        <v>1.4539E10</v>
      </c>
      <c r="D20" s="205">
        <v>4.484E9</v>
      </c>
      <c r="E20" s="4"/>
      <c r="F20" s="4"/>
    </row>
    <row r="21" ht="12.75" hidden="1" customHeight="1">
      <c r="A21" s="5">
        <f>companies!A21</f>
        <v>20</v>
      </c>
      <c r="B21" s="4">
        <v>2019.0</v>
      </c>
      <c r="C21" s="205">
        <v>7.6559E10</v>
      </c>
      <c r="D21" s="205">
        <v>-6.36E8</v>
      </c>
      <c r="E21" s="4"/>
      <c r="F21" s="4"/>
    </row>
    <row r="22" ht="12.75" hidden="1" customHeight="1">
      <c r="A22" s="5">
        <f>companies!A22</f>
        <v>21</v>
      </c>
      <c r="B22" s="4">
        <v>2019.0</v>
      </c>
      <c r="C22" s="205">
        <v>1.5066E10</v>
      </c>
      <c r="D22" s="205">
        <v>4.865E9</v>
      </c>
    </row>
    <row r="23" ht="12.75" hidden="1" customHeight="1">
      <c r="A23" s="5">
        <f>companies!A23</f>
        <v>22</v>
      </c>
      <c r="B23" s="4">
        <v>2019.0</v>
      </c>
      <c r="C23" s="205">
        <v>2.6145E10</v>
      </c>
      <c r="D23" s="205">
        <v>3.439E9</v>
      </c>
      <c r="E23" s="4"/>
      <c r="F23" s="4"/>
    </row>
    <row r="24" ht="12.75" hidden="1" customHeight="1">
      <c r="A24" s="5">
        <f>companies!A24</f>
        <v>23</v>
      </c>
      <c r="B24" s="4">
        <v>2019.0</v>
      </c>
      <c r="C24" s="205">
        <v>2.86E10</v>
      </c>
      <c r="D24" s="205">
        <v>5.192E9</v>
      </c>
      <c r="E24" s="4"/>
      <c r="F24" s="4"/>
    </row>
    <row r="25" ht="12.75" hidden="1" customHeight="1">
      <c r="A25" s="5">
        <f>companies!A25</f>
        <v>24</v>
      </c>
      <c r="B25" s="4">
        <v>2019.0</v>
      </c>
      <c r="C25" s="205">
        <v>5.38E10</v>
      </c>
      <c r="D25" s="205">
        <v>6.093E9</v>
      </c>
    </row>
    <row r="26" ht="12.75" hidden="1" customHeight="1">
      <c r="A26" s="5">
        <f>companies!A26</f>
        <v>25</v>
      </c>
      <c r="B26" s="4">
        <v>2019.0</v>
      </c>
      <c r="C26" s="205">
        <v>4.5764E10</v>
      </c>
      <c r="D26" s="205">
        <v>1.668E9</v>
      </c>
    </row>
    <row r="27" ht="12.75" hidden="1" customHeight="1">
      <c r="A27" s="5">
        <f>companies!A27</f>
        <v>26</v>
      </c>
      <c r="B27" s="4">
        <v>2019.0</v>
      </c>
      <c r="C27" s="205">
        <v>1.46516E11</v>
      </c>
      <c r="D27" s="205">
        <v>2.924E9</v>
      </c>
    </row>
    <row r="28" ht="12.75" hidden="1" customHeight="1">
      <c r="A28" s="5">
        <f>companies!A28</f>
        <v>27</v>
      </c>
      <c r="B28" s="4">
        <v>2019.0</v>
      </c>
      <c r="C28" s="205">
        <v>5.19E10</v>
      </c>
      <c r="D28" s="205">
        <v>1.162E10</v>
      </c>
      <c r="E28" s="4"/>
      <c r="F28" s="4"/>
    </row>
    <row r="29" ht="12.75" hidden="1" customHeight="1">
      <c r="A29" s="5">
        <f>companies!A29</f>
        <v>28</v>
      </c>
      <c r="B29" s="4">
        <v>2019.0</v>
      </c>
      <c r="C29" s="205">
        <v>1.03449E11</v>
      </c>
      <c r="D29" s="205">
        <v>1.8171E10</v>
      </c>
      <c r="E29" s="4"/>
      <c r="F29" s="4"/>
    </row>
    <row r="30" ht="12.75" hidden="1" customHeight="1">
      <c r="A30" s="5">
        <f>companies!A30</f>
        <v>29</v>
      </c>
      <c r="B30" s="4">
        <v>2019.0</v>
      </c>
      <c r="C30" s="205">
        <v>3.7266E10</v>
      </c>
      <c r="D30" s="205">
        <v>3.864E10</v>
      </c>
      <c r="E30" s="4"/>
      <c r="F30" s="4"/>
    </row>
    <row r="31" ht="12.75" hidden="1" customHeight="1">
      <c r="A31" s="5">
        <f>companies!A31</f>
        <v>30</v>
      </c>
      <c r="B31" s="4">
        <v>2019.0</v>
      </c>
      <c r="C31" s="205">
        <v>1.5693E10</v>
      </c>
      <c r="D31" s="205">
        <v>2.367E9</v>
      </c>
      <c r="E31" s="4"/>
      <c r="F31" s="4"/>
    </row>
    <row r="32" ht="12.75" hidden="1" customHeight="1">
      <c r="A32" s="5">
        <f>companies!A32</f>
        <v>31</v>
      </c>
      <c r="B32" s="4">
        <v>2019.0</v>
      </c>
      <c r="C32" s="205">
        <v>1.08942E11</v>
      </c>
      <c r="D32" s="205">
        <v>1.3057E10</v>
      </c>
      <c r="E32" s="4"/>
      <c r="F32" s="4"/>
    </row>
    <row r="33" ht="12.75" hidden="1" customHeight="1">
      <c r="A33" s="5">
        <f>companies!A33</f>
        <v>32</v>
      </c>
      <c r="B33" s="4">
        <v>2019.0</v>
      </c>
      <c r="C33" s="205">
        <v>3.667E10</v>
      </c>
      <c r="D33" s="205">
        <v>7.189E9</v>
      </c>
      <c r="E33" s="4"/>
      <c r="F33" s="4"/>
    </row>
    <row r="34" ht="12.75" hidden="1" customHeight="1">
      <c r="A34" s="5">
        <f>companies!A34</f>
        <v>33</v>
      </c>
      <c r="B34" s="4">
        <v>2019.0</v>
      </c>
      <c r="C34" s="205">
        <v>1.52703E11</v>
      </c>
      <c r="D34" s="205">
        <v>3.659E9</v>
      </c>
      <c r="E34" s="4"/>
      <c r="F34" s="4"/>
    </row>
    <row r="35" ht="12.75" hidden="1" customHeight="1">
      <c r="A35" s="5">
        <f>companies!A35</f>
        <v>34</v>
      </c>
      <c r="B35" s="4">
        <v>2019.0</v>
      </c>
      <c r="C35" s="205">
        <v>2.56776E11</v>
      </c>
      <c r="D35" s="205">
        <v>6.634E9</v>
      </c>
      <c r="E35" s="4"/>
      <c r="F35" s="4"/>
    </row>
    <row r="36" ht="12.75" hidden="1" customHeight="1">
      <c r="A36" s="5">
        <f>companies!A36</f>
        <v>35</v>
      </c>
      <c r="B36" s="4">
        <v>2019.0</v>
      </c>
      <c r="C36" s="205">
        <v>1.791E10</v>
      </c>
      <c r="D36" s="205">
        <v>2.94E9</v>
      </c>
    </row>
    <row r="37" ht="12.75" hidden="1" customHeight="1">
      <c r="A37" s="5">
        <f>companies!A37</f>
        <v>36</v>
      </c>
      <c r="B37" s="4">
        <v>2019.0</v>
      </c>
      <c r="C37" s="205">
        <v>4.2951E10</v>
      </c>
      <c r="D37" s="205">
        <v>-1.359E9</v>
      </c>
      <c r="E37" s="4"/>
      <c r="F37" s="4"/>
    </row>
    <row r="38" ht="12.75" hidden="1" customHeight="1">
      <c r="A38" s="5">
        <f>companies!A38</f>
        <v>37</v>
      </c>
      <c r="B38" s="4">
        <v>2019.0</v>
      </c>
      <c r="C38" s="205">
        <v>2.5079E10</v>
      </c>
      <c r="D38" s="205">
        <v>3.707E9</v>
      </c>
      <c r="E38" s="4"/>
      <c r="F38" s="4"/>
    </row>
    <row r="39" ht="12.75" hidden="1" customHeight="1">
      <c r="A39" s="5">
        <f>companies!A39</f>
        <v>38</v>
      </c>
      <c r="B39" s="4">
        <v>2019.0</v>
      </c>
      <c r="C39" s="205">
        <v>2.157E10</v>
      </c>
      <c r="D39" s="205">
        <v>4.98E8</v>
      </c>
      <c r="E39" s="4"/>
      <c r="F39" s="4"/>
    </row>
    <row r="40" ht="12.75" hidden="1" customHeight="1">
      <c r="A40" s="5">
        <f>companies!A40</f>
        <v>39</v>
      </c>
      <c r="B40" s="4">
        <v>2019.0</v>
      </c>
      <c r="C40" s="205">
        <v>2.232E10</v>
      </c>
      <c r="D40" s="205">
        <v>8.318E9</v>
      </c>
      <c r="E40" s="4"/>
      <c r="F40" s="4"/>
    </row>
    <row r="41" ht="12.75" hidden="1" customHeight="1">
      <c r="A41" s="5">
        <f>companies!A41</f>
        <v>40</v>
      </c>
      <c r="B41" s="4">
        <v>2019.0</v>
      </c>
      <c r="C41" s="205">
        <v>1.8372E10</v>
      </c>
      <c r="D41" s="205">
        <v>2.306E9</v>
      </c>
    </row>
    <row r="42" ht="12.75" hidden="1" customHeight="1">
      <c r="A42" s="5">
        <f>companies!A42</f>
        <v>41</v>
      </c>
      <c r="B42" s="4">
        <v>2019.0</v>
      </c>
      <c r="C42" s="205">
        <v>3.4438E10</v>
      </c>
      <c r="D42" s="205">
        <v>2.936E9</v>
      </c>
      <c r="E42" s="4"/>
      <c r="F42" s="4"/>
    </row>
    <row r="43" ht="12.75" hidden="1" customHeight="1">
      <c r="A43" s="5">
        <f>companies!A43</f>
        <v>42</v>
      </c>
      <c r="B43" s="4">
        <v>2019.0</v>
      </c>
      <c r="C43" s="205">
        <v>2.64938E11</v>
      </c>
      <c r="D43" s="205">
        <v>1.434E10</v>
      </c>
    </row>
    <row r="44" ht="12.75" hidden="1" customHeight="1">
      <c r="A44" s="5">
        <f>companies!A44</f>
        <v>43</v>
      </c>
      <c r="B44" s="4">
        <v>2019.0</v>
      </c>
      <c r="C44" s="205">
        <v>7.0697E10</v>
      </c>
      <c r="D44" s="205">
        <v>1.8485E10</v>
      </c>
    </row>
    <row r="45" ht="12.75" hidden="1" customHeight="1">
      <c r="A45" s="5">
        <f>companies!A45</f>
        <v>44</v>
      </c>
      <c r="B45" s="4">
        <v>2019.0</v>
      </c>
      <c r="C45" s="205">
        <v>6.9693E10</v>
      </c>
      <c r="D45" s="205">
        <v>5.4E8</v>
      </c>
      <c r="E45" s="4"/>
      <c r="F45" s="4"/>
    </row>
    <row r="46" ht="12.75" hidden="1" customHeight="1">
      <c r="A46" s="5">
        <f>companies!A46</f>
        <v>45</v>
      </c>
      <c r="B46" s="4">
        <v>2019.0</v>
      </c>
      <c r="C46" s="205">
        <v>1.559E11</v>
      </c>
      <c r="D46" s="205">
        <v>4.7E7</v>
      </c>
      <c r="E46" s="4"/>
      <c r="F46" s="4"/>
    </row>
    <row r="47" ht="12.75" hidden="1" customHeight="1">
      <c r="A47" s="5">
        <f>companies!A47</f>
        <v>46</v>
      </c>
      <c r="B47" s="4">
        <v>2019.0</v>
      </c>
      <c r="C47" s="205">
        <v>3.935E10</v>
      </c>
      <c r="D47" s="205">
        <v>3.484E9</v>
      </c>
      <c r="E47" s="4"/>
      <c r="F47" s="4"/>
    </row>
    <row r="48" ht="12.75" hidden="1" customHeight="1">
      <c r="A48" s="5">
        <f>companies!A48</f>
        <v>47</v>
      </c>
      <c r="B48" s="4">
        <v>2019.0</v>
      </c>
      <c r="C48" s="205">
        <v>9.5214E10</v>
      </c>
      <c r="D48" s="205">
        <v>-5.439E9</v>
      </c>
      <c r="E48" s="4"/>
      <c r="F48" s="4"/>
    </row>
    <row r="49" ht="12.75" hidden="1" customHeight="1">
      <c r="A49" s="5">
        <f>companies!A49</f>
        <v>48</v>
      </c>
      <c r="B49" s="4">
        <v>2019.0</v>
      </c>
      <c r="C49" s="205">
        <v>1.37237E11</v>
      </c>
      <c r="D49" s="205">
        <v>6.581E9</v>
      </c>
      <c r="E49" s="4"/>
      <c r="F49" s="4"/>
    </row>
    <row r="50" ht="12.75" hidden="1" customHeight="1">
      <c r="A50" s="5">
        <f>companies!A50</f>
        <v>49</v>
      </c>
      <c r="B50" s="4">
        <v>2019.0</v>
      </c>
      <c r="C50" s="205">
        <v>2.2449E10</v>
      </c>
      <c r="D50" s="205">
        <v>5.386E9</v>
      </c>
      <c r="E50" s="4"/>
      <c r="F50" s="4"/>
    </row>
    <row r="51" ht="12.75" hidden="1" customHeight="1">
      <c r="A51" s="5">
        <f>companies!A51</f>
        <v>50</v>
      </c>
      <c r="B51" s="4">
        <v>2019.0</v>
      </c>
      <c r="C51" s="205">
        <v>3.6546E10</v>
      </c>
      <c r="D51" s="205">
        <v>8.47E9</v>
      </c>
      <c r="E51" s="4"/>
      <c r="F51" s="4"/>
    </row>
    <row r="52" ht="12.75" hidden="1" customHeight="1">
      <c r="A52" s="5">
        <f>companies!A52</f>
        <v>51</v>
      </c>
      <c r="B52" s="4">
        <v>2019.0</v>
      </c>
      <c r="C52" s="205">
        <v>1.102E11</v>
      </c>
      <c r="D52" s="205">
        <v>1.124E10</v>
      </c>
      <c r="E52" s="4"/>
      <c r="F52" s="4"/>
    </row>
    <row r="53" ht="12.75" hidden="1" customHeight="1">
      <c r="A53" s="5">
        <f>companies!A53</f>
        <v>52</v>
      </c>
      <c r="B53" s="4">
        <v>2019.0</v>
      </c>
      <c r="C53" s="205">
        <v>3.6709E10</v>
      </c>
      <c r="D53" s="205">
        <v>6.143E9</v>
      </c>
      <c r="E53" s="4"/>
      <c r="F53" s="4"/>
    </row>
    <row r="54" ht="12.75" hidden="1" customHeight="1">
      <c r="A54" s="5">
        <f>companies!A54</f>
        <v>53</v>
      </c>
      <c r="B54" s="4">
        <v>2019.0</v>
      </c>
      <c r="C54" s="205">
        <v>7.714E10</v>
      </c>
      <c r="D54" s="205">
        <v>9.43E9</v>
      </c>
      <c r="E54" s="4"/>
      <c r="F54" s="4"/>
    </row>
    <row r="55" ht="12.75" hidden="1" customHeight="1">
      <c r="A55" s="5">
        <f>companies!A55</f>
        <v>54</v>
      </c>
      <c r="B55" s="4">
        <v>2019.0</v>
      </c>
      <c r="C55" s="205">
        <v>7.19E10</v>
      </c>
      <c r="D55" s="205">
        <v>2.1E10</v>
      </c>
      <c r="E55" s="4"/>
      <c r="F55" s="4"/>
    </row>
    <row r="56" ht="12.75" hidden="1" customHeight="1">
      <c r="A56" s="5">
        <f>companies!A56</f>
        <v>55</v>
      </c>
      <c r="B56" s="4">
        <v>2019.0</v>
      </c>
      <c r="C56" s="205">
        <v>8.206E10</v>
      </c>
      <c r="D56" s="205">
        <v>1.512E10</v>
      </c>
      <c r="E56" s="4"/>
      <c r="F56" s="4"/>
    </row>
    <row r="57" ht="12.75" hidden="1" customHeight="1">
      <c r="A57" s="5">
        <f>companies!A57</f>
        <v>56</v>
      </c>
      <c r="B57" s="4">
        <v>2019.0</v>
      </c>
      <c r="C57" s="205">
        <v>1.156E11</v>
      </c>
      <c r="D57" s="205">
        <v>3.643E10</v>
      </c>
      <c r="E57" s="4"/>
      <c r="F57" s="4"/>
    </row>
    <row r="58" ht="12.75" hidden="1" customHeight="1">
      <c r="A58" s="5">
        <f>companies!A58</f>
        <v>57</v>
      </c>
      <c r="B58" s="4">
        <v>2019.0</v>
      </c>
      <c r="C58" s="205">
        <v>1.3209E10</v>
      </c>
      <c r="D58" s="205">
        <v>2.19E9</v>
      </c>
    </row>
    <row r="59" ht="12.75" hidden="1" customHeight="1">
      <c r="A59" s="5">
        <f>companies!A59</f>
        <v>58</v>
      </c>
      <c r="B59" s="4">
        <v>2019.0</v>
      </c>
      <c r="C59" s="205">
        <v>2.497E10</v>
      </c>
      <c r="D59" s="205">
        <v>1.935E9</v>
      </c>
      <c r="E59" s="4"/>
      <c r="F59" s="4"/>
    </row>
    <row r="60" ht="12.75" hidden="1" customHeight="1">
      <c r="A60" s="5">
        <f>companies!A60</f>
        <v>59</v>
      </c>
      <c r="B60" s="4">
        <v>2019.0</v>
      </c>
      <c r="C60" s="205">
        <v>5.981E10</v>
      </c>
      <c r="D60" s="205">
        <v>6.23E9</v>
      </c>
      <c r="E60" s="4"/>
      <c r="F60" s="4"/>
    </row>
    <row r="61" ht="12.75" hidden="1" customHeight="1">
      <c r="A61" s="5">
        <f>companies!A61</f>
        <v>60</v>
      </c>
      <c r="B61" s="4">
        <v>2019.0</v>
      </c>
      <c r="C61" s="205">
        <v>7.13E10</v>
      </c>
      <c r="D61" s="205">
        <v>2.307E9</v>
      </c>
      <c r="E61" s="4"/>
      <c r="F61" s="4"/>
    </row>
    <row r="62" ht="12.75" hidden="1" customHeight="1">
      <c r="A62" s="5">
        <f>companies!A62</f>
        <v>61</v>
      </c>
      <c r="B62" s="4">
        <v>2019.0</v>
      </c>
      <c r="C62" s="205">
        <v>1.6883E10</v>
      </c>
      <c r="D62" s="205">
        <v>8.12E9</v>
      </c>
      <c r="E62" s="4"/>
      <c r="F62" s="4"/>
    </row>
    <row r="63" ht="12.75" hidden="1" customHeight="1">
      <c r="A63" s="5">
        <f>companies!A63</f>
        <v>62</v>
      </c>
      <c r="B63" s="4">
        <v>2019.0</v>
      </c>
      <c r="C63" s="205">
        <v>2.1076E10</v>
      </c>
      <c r="D63" s="205">
        <v>6.025E9</v>
      </c>
      <c r="E63" s="4"/>
      <c r="F63" s="4"/>
    </row>
    <row r="64" ht="12.75" hidden="1" customHeight="1">
      <c r="A64" s="5">
        <f>companies!A64</f>
        <v>63</v>
      </c>
      <c r="B64" s="4">
        <v>2019.0</v>
      </c>
      <c r="C64" s="205">
        <v>3.0557E10</v>
      </c>
      <c r="D64" s="205">
        <v>4.631E9</v>
      </c>
      <c r="E64" s="4"/>
      <c r="F64" s="4"/>
    </row>
    <row r="65" ht="12.75" hidden="1" customHeight="1">
      <c r="A65" s="5">
        <f>companies!A65</f>
        <v>64</v>
      </c>
      <c r="B65" s="4">
        <v>2019.0</v>
      </c>
      <c r="C65" s="205">
        <v>4.229E10</v>
      </c>
      <c r="D65" s="205">
        <v>6.22E9</v>
      </c>
      <c r="E65" s="4"/>
      <c r="F65" s="4"/>
    </row>
    <row r="66" ht="12.75" hidden="1" customHeight="1">
      <c r="A66" s="5">
        <f>companies!A66</f>
        <v>65</v>
      </c>
      <c r="B66" s="4">
        <v>2019.0</v>
      </c>
      <c r="C66" s="205">
        <v>6.7941E10</v>
      </c>
      <c r="D66" s="205">
        <v>5.07E9</v>
      </c>
      <c r="E66" s="4"/>
      <c r="F66" s="4"/>
    </row>
    <row r="67" ht="12.75" hidden="1" customHeight="1">
      <c r="A67" s="5">
        <f>companies!A67</f>
        <v>66</v>
      </c>
      <c r="B67" s="4">
        <v>2019.0</v>
      </c>
      <c r="C67" s="205">
        <v>1.258E11</v>
      </c>
      <c r="D67" s="205">
        <v>3.924E10</v>
      </c>
      <c r="E67" s="4"/>
      <c r="F67" s="4"/>
    </row>
    <row r="68" ht="12.75" hidden="1" customHeight="1">
      <c r="A68" s="5">
        <f>companies!A68</f>
        <v>67</v>
      </c>
      <c r="B68" s="4">
        <v>2019.0</v>
      </c>
      <c r="C68" s="205">
        <v>2.587E10</v>
      </c>
      <c r="D68" s="205">
        <v>3.87E9</v>
      </c>
      <c r="E68" s="4"/>
      <c r="F68" s="4"/>
    </row>
    <row r="69" ht="12.75" hidden="1" customHeight="1">
      <c r="A69" s="5">
        <f>companies!A69</f>
        <v>68</v>
      </c>
      <c r="B69" s="4">
        <v>2019.0</v>
      </c>
      <c r="C69" s="205">
        <v>4.1419E10</v>
      </c>
      <c r="D69" s="205">
        <v>8.512E9</v>
      </c>
      <c r="E69" s="4"/>
      <c r="F69" s="4"/>
    </row>
    <row r="70" ht="12.75" hidden="1" customHeight="1">
      <c r="A70" s="5">
        <f>companies!A70</f>
        <v>69</v>
      </c>
      <c r="B70" s="4">
        <v>2019.0</v>
      </c>
      <c r="C70" s="205">
        <v>2.016E10</v>
      </c>
      <c r="D70" s="205">
        <v>1.866E9</v>
      </c>
    </row>
    <row r="71" ht="12.75" hidden="1" customHeight="1">
      <c r="A71" s="5">
        <f>companies!A71</f>
        <v>70</v>
      </c>
      <c r="B71" s="4">
        <v>2019.0</v>
      </c>
      <c r="C71" s="205">
        <v>1.9204E10</v>
      </c>
      <c r="D71" s="205">
        <v>3.769E9</v>
      </c>
    </row>
    <row r="72" ht="12.75" hidden="1" customHeight="1">
      <c r="A72" s="5">
        <f>companies!A72</f>
        <v>71</v>
      </c>
      <c r="B72" s="4">
        <v>2019.0</v>
      </c>
      <c r="C72" s="205">
        <v>3.91E10</v>
      </c>
      <c r="D72" s="205">
        <v>4.0E9</v>
      </c>
      <c r="E72" s="4"/>
      <c r="F72" s="4"/>
    </row>
    <row r="73" ht="12.75" hidden="1" customHeight="1">
      <c r="A73" s="5">
        <f>companies!A73</f>
        <v>72</v>
      </c>
      <c r="B73" s="4">
        <v>2019.0</v>
      </c>
      <c r="C73" s="205">
        <v>1.172E10</v>
      </c>
      <c r="D73" s="205">
        <v>4.141E9</v>
      </c>
      <c r="E73" s="4"/>
      <c r="F73" s="4"/>
    </row>
    <row r="74" ht="12.75" hidden="1" customHeight="1">
      <c r="A74" s="5">
        <f>companies!A74</f>
        <v>73</v>
      </c>
      <c r="B74" s="4">
        <v>2019.0</v>
      </c>
      <c r="C74" s="205">
        <v>2.123E10</v>
      </c>
      <c r="D74" s="205">
        <v>-6.52E8</v>
      </c>
      <c r="E74" s="4"/>
      <c r="F74" s="4"/>
    </row>
    <row r="75" ht="12.75" hidden="1" customHeight="1">
      <c r="A75" s="5">
        <f>companies!A75</f>
        <v>74</v>
      </c>
      <c r="B75" s="4">
        <v>2019.0</v>
      </c>
      <c r="C75" s="205">
        <v>3.95E10</v>
      </c>
      <c r="D75" s="205">
        <v>1.108E10</v>
      </c>
      <c r="E75" s="4"/>
      <c r="F75" s="4"/>
    </row>
    <row r="76" ht="12.75" hidden="1" customHeight="1">
      <c r="A76" s="5">
        <f>companies!A76</f>
        <v>75</v>
      </c>
      <c r="B76" s="4">
        <v>2019.0</v>
      </c>
      <c r="C76" s="205">
        <v>1.777E10</v>
      </c>
      <c r="D76" s="205">
        <v>2.459E9</v>
      </c>
      <c r="E76" s="4"/>
      <c r="F76" s="4"/>
    </row>
    <row r="77" ht="12.75" hidden="1" customHeight="1">
      <c r="A77" s="5">
        <f>companies!A77</f>
        <v>76</v>
      </c>
      <c r="B77" s="4">
        <v>2019.0</v>
      </c>
      <c r="C77" s="205">
        <v>6.716E10</v>
      </c>
      <c r="D77" s="205">
        <v>7.353E9</v>
      </c>
      <c r="E77" s="4"/>
      <c r="F77" s="4"/>
    </row>
    <row r="78" ht="12.75" hidden="1" customHeight="1">
      <c r="A78" s="5">
        <f>companies!A78</f>
        <v>77</v>
      </c>
      <c r="B78" s="4">
        <v>2019.0</v>
      </c>
      <c r="C78" s="205">
        <v>5.175E10</v>
      </c>
      <c r="D78" s="205">
        <v>1.627E10</v>
      </c>
      <c r="E78" s="4"/>
      <c r="F78" s="4"/>
    </row>
    <row r="79" ht="12.75" hidden="1" customHeight="1">
      <c r="A79" s="5">
        <f>companies!A79</f>
        <v>78</v>
      </c>
      <c r="B79" s="4">
        <v>2019.0</v>
      </c>
      <c r="C79" s="205">
        <v>7.982E10</v>
      </c>
      <c r="D79" s="205">
        <v>7.91E9</v>
      </c>
      <c r="E79" s="4"/>
      <c r="F79" s="4"/>
    </row>
    <row r="80" ht="12.75" hidden="1" customHeight="1">
      <c r="A80" s="5">
        <f>companies!A80</f>
        <v>79</v>
      </c>
      <c r="B80" s="4">
        <v>2019.0</v>
      </c>
      <c r="C80" s="205">
        <v>6.768E10</v>
      </c>
      <c r="D80" s="205">
        <v>3.89E9</v>
      </c>
      <c r="E80" s="4"/>
      <c r="F80" s="4"/>
    </row>
    <row r="81" ht="12.75" hidden="1" customHeight="1">
      <c r="A81" s="5">
        <f>companies!A81</f>
        <v>80</v>
      </c>
      <c r="B81" s="4">
        <v>2019.0</v>
      </c>
      <c r="C81" s="205">
        <v>2.427E10</v>
      </c>
      <c r="D81" s="205">
        <v>4.39E9</v>
      </c>
      <c r="E81" s="4"/>
      <c r="F81" s="4"/>
    </row>
    <row r="82" ht="12.75" hidden="1" customHeight="1">
      <c r="A82" s="5">
        <f>companies!A82</f>
        <v>81</v>
      </c>
      <c r="B82" s="4">
        <v>2019.0</v>
      </c>
      <c r="C82" s="205">
        <v>2.9176E10</v>
      </c>
      <c r="D82" s="205">
        <v>3.343E9</v>
      </c>
    </row>
    <row r="83" ht="12.75" hidden="1" customHeight="1">
      <c r="A83" s="5">
        <f>companies!A83</f>
        <v>82</v>
      </c>
      <c r="B83" s="4">
        <v>2019.0</v>
      </c>
      <c r="C83" s="205">
        <v>1.328E10</v>
      </c>
      <c r="D83" s="205">
        <v>1.11E9</v>
      </c>
      <c r="E83" s="4"/>
      <c r="F83" s="4"/>
    </row>
    <row r="84" ht="12.75" hidden="1" customHeight="1">
      <c r="A84" s="5">
        <f>companies!A84</f>
        <v>83</v>
      </c>
      <c r="B84" s="4">
        <v>2019.0</v>
      </c>
      <c r="C84" s="205">
        <v>3.29E10</v>
      </c>
      <c r="D84" s="205">
        <v>-1.0137E10</v>
      </c>
    </row>
    <row r="85" ht="12.75" hidden="1" customHeight="1">
      <c r="A85" s="5">
        <f>companies!A85</f>
        <v>84</v>
      </c>
      <c r="B85" s="4">
        <v>2019.0</v>
      </c>
      <c r="C85" s="205">
        <v>5.755E9</v>
      </c>
      <c r="D85" s="205">
        <v>2.098E9</v>
      </c>
      <c r="E85" s="4"/>
      <c r="F85" s="4"/>
    </row>
    <row r="86" ht="12.75" hidden="1" customHeight="1">
      <c r="A86" s="5">
        <f>companies!A86</f>
        <v>85</v>
      </c>
      <c r="B86" s="4">
        <v>2019.0</v>
      </c>
      <c r="C86" s="205">
        <v>2.1419E10</v>
      </c>
      <c r="D86" s="205">
        <v>3.25E9</v>
      </c>
      <c r="E86" s="4"/>
      <c r="F86" s="4"/>
    </row>
    <row r="87" ht="12.75" hidden="1" customHeight="1">
      <c r="A87" s="5">
        <f>companies!A87</f>
        <v>86</v>
      </c>
      <c r="B87" s="4">
        <v>2019.0</v>
      </c>
      <c r="C87" s="205">
        <v>2.651E10</v>
      </c>
      <c r="D87" s="205">
        <v>3.6E9</v>
      </c>
      <c r="E87" s="4"/>
      <c r="F87" s="4"/>
    </row>
    <row r="88" ht="12.75" hidden="1" customHeight="1">
      <c r="A88" s="5">
        <f>companies!A88</f>
        <v>87</v>
      </c>
      <c r="B88" s="4">
        <v>2019.0</v>
      </c>
      <c r="C88" s="205">
        <v>7.81E10</v>
      </c>
      <c r="D88" s="205">
        <v>3.269E9</v>
      </c>
      <c r="E88" s="4"/>
      <c r="F88" s="4"/>
    </row>
    <row r="89" ht="12.75" hidden="1" customHeight="1">
      <c r="A89" s="5">
        <f>companies!A89</f>
        <v>88</v>
      </c>
      <c r="B89" s="4">
        <v>2019.0</v>
      </c>
      <c r="C89" s="205">
        <v>1.4318E10</v>
      </c>
      <c r="D89" s="205">
        <v>5.02E9</v>
      </c>
      <c r="E89" s="4"/>
      <c r="F89" s="4"/>
    </row>
    <row r="90" ht="12.75" hidden="1" customHeight="1">
      <c r="A90" s="5">
        <f>companies!A90</f>
        <v>89</v>
      </c>
      <c r="B90" s="4">
        <v>2019.0</v>
      </c>
      <c r="C90" s="205">
        <v>2.082E10</v>
      </c>
      <c r="D90" s="205">
        <v>4.25E9</v>
      </c>
      <c r="E90" s="4"/>
      <c r="F90" s="4"/>
    </row>
    <row r="91" ht="12.75" hidden="1" customHeight="1">
      <c r="A91" s="5">
        <f>companies!A91</f>
        <v>90</v>
      </c>
      <c r="B91" s="4">
        <v>2019.0</v>
      </c>
      <c r="C91" s="205">
        <v>6.957E10</v>
      </c>
      <c r="D91" s="205">
        <v>1.105E10</v>
      </c>
      <c r="E91" s="4"/>
      <c r="F91" s="4"/>
    </row>
    <row r="92" ht="12.75" hidden="1" customHeight="1">
      <c r="A92" s="5">
        <f>companies!A92</f>
        <v>91</v>
      </c>
      <c r="B92" s="4">
        <v>2019.0</v>
      </c>
      <c r="C92" s="205">
        <v>2.554E10</v>
      </c>
      <c r="D92" s="205">
        <v>3.696E9</v>
      </c>
    </row>
    <row r="93" ht="12.75" hidden="1" customHeight="1">
      <c r="A93" s="5">
        <f>companies!A93</f>
        <v>92</v>
      </c>
      <c r="B93" s="4">
        <v>2019.0</v>
      </c>
      <c r="C93" s="205">
        <v>2.17E10</v>
      </c>
      <c r="D93" s="205">
        <v>5.9E9</v>
      </c>
      <c r="E93" s="4"/>
      <c r="F93" s="4"/>
    </row>
    <row r="94" ht="12.75" hidden="1" customHeight="1">
      <c r="A94" s="5">
        <f>companies!A94</f>
        <v>93</v>
      </c>
      <c r="B94" s="4">
        <v>2019.0</v>
      </c>
      <c r="C94" s="205">
        <v>2.422E11</v>
      </c>
      <c r="D94" s="205">
        <v>1.424E10</v>
      </c>
      <c r="E94" s="4"/>
      <c r="F94" s="4"/>
    </row>
    <row r="95" ht="12.75" hidden="1" customHeight="1">
      <c r="A95" s="5">
        <f>companies!A95</f>
        <v>94</v>
      </c>
      <c r="B95" s="4">
        <v>2019.0</v>
      </c>
      <c r="C95" s="205">
        <v>7.4094E10</v>
      </c>
      <c r="D95" s="205">
        <v>4.4E9</v>
      </c>
      <c r="E95" s="4"/>
      <c r="F95" s="4"/>
    </row>
    <row r="96" ht="12.75" hidden="1" customHeight="1">
      <c r="A96" s="5">
        <f>companies!A96</f>
        <v>95</v>
      </c>
      <c r="B96" s="4">
        <v>2019.0</v>
      </c>
      <c r="C96" s="205">
        <v>2.5775E10</v>
      </c>
      <c r="D96" s="205">
        <v>6.914E9</v>
      </c>
      <c r="E96" s="4"/>
      <c r="F96" s="4"/>
    </row>
    <row r="97" ht="12.75" hidden="1" customHeight="1">
      <c r="A97" s="5">
        <f>companies!A97</f>
        <v>96</v>
      </c>
      <c r="B97" s="4">
        <v>2019.0</v>
      </c>
      <c r="C97" s="205">
        <v>1.3186E11</v>
      </c>
      <c r="D97" s="205">
        <v>1.979E10</v>
      </c>
      <c r="E97" s="4"/>
      <c r="F97" s="4"/>
    </row>
    <row r="98" ht="12.75" hidden="1" customHeight="1">
      <c r="A98" s="5">
        <f>companies!A98</f>
        <v>97</v>
      </c>
      <c r="B98" s="4">
        <v>2019.0</v>
      </c>
      <c r="C98" s="205">
        <v>2.3E10</v>
      </c>
      <c r="D98" s="205">
        <v>1.21E10</v>
      </c>
      <c r="E98" s="4"/>
      <c r="F98" s="4"/>
    </row>
    <row r="99" ht="12.75" hidden="1" customHeight="1">
      <c r="A99" s="5">
        <f>companies!A99</f>
        <v>98</v>
      </c>
      <c r="B99" s="4">
        <v>2019.0</v>
      </c>
      <c r="C99" s="205">
        <v>1.369E11</v>
      </c>
      <c r="D99" s="205">
        <v>3.9E9</v>
      </c>
      <c r="E99" s="4"/>
      <c r="F99" s="4"/>
    </row>
    <row r="100" ht="12.75" hidden="1" customHeight="1">
      <c r="A100" s="5">
        <f>companies!A100</f>
        <v>99</v>
      </c>
      <c r="B100" s="4">
        <v>2019.0</v>
      </c>
      <c r="C100" s="205">
        <v>5.24E11</v>
      </c>
      <c r="D100" s="205">
        <v>1.488E10</v>
      </c>
      <c r="E100" s="4"/>
      <c r="F100" s="4"/>
    </row>
    <row r="101" ht="12.75" hidden="1" customHeight="1">
      <c r="A101" s="5">
        <f>companies!A101</f>
        <v>100</v>
      </c>
      <c r="B101" s="4">
        <v>2019.0</v>
      </c>
      <c r="C101" s="205">
        <v>8.506E10</v>
      </c>
      <c r="D101" s="205">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6" t="s">
        <v>2</v>
      </c>
      <c r="B1" s="206" t="s">
        <v>1217</v>
      </c>
      <c r="C1" s="207" t="s">
        <v>1219</v>
      </c>
      <c r="D1" s="207" t="s">
        <v>1220</v>
      </c>
      <c r="E1" s="207" t="s">
        <v>1221</v>
      </c>
      <c r="F1" s="207" t="s">
        <v>1222</v>
      </c>
      <c r="G1" s="207" t="s">
        <v>1223</v>
      </c>
      <c r="H1" s="207" t="s">
        <v>1224</v>
      </c>
      <c r="I1" s="207" t="s">
        <v>1225</v>
      </c>
      <c r="J1" s="207" t="s">
        <v>1226</v>
      </c>
      <c r="K1" s="207" t="s">
        <v>1227</v>
      </c>
      <c r="L1" s="207" t="s">
        <v>1228</v>
      </c>
      <c r="M1" s="207" t="s">
        <v>1229</v>
      </c>
      <c r="N1" s="207" t="s">
        <v>1230</v>
      </c>
      <c r="O1" s="207" t="s">
        <v>1231</v>
      </c>
      <c r="P1" s="207" t="s">
        <v>1232</v>
      </c>
      <c r="Q1" s="207" t="s">
        <v>1233</v>
      </c>
      <c r="R1" s="207" t="s">
        <v>1234</v>
      </c>
      <c r="S1" s="207" t="s">
        <v>1235</v>
      </c>
      <c r="T1" s="207" t="s">
        <v>1236</v>
      </c>
      <c r="U1" s="207" t="s">
        <v>1237</v>
      </c>
      <c r="V1" s="207" t="s">
        <v>1238</v>
      </c>
      <c r="W1" s="207" t="s">
        <v>1239</v>
      </c>
      <c r="X1" s="207" t="s">
        <v>1240</v>
      </c>
      <c r="Y1" s="207" t="s">
        <v>1241</v>
      </c>
      <c r="Z1" s="208"/>
      <c r="AA1" s="208"/>
      <c r="AB1" s="208"/>
      <c r="AC1" s="208"/>
      <c r="AD1" s="204" t="s">
        <v>1242</v>
      </c>
      <c r="AE1" s="204" t="s">
        <v>1243</v>
      </c>
      <c r="AF1" s="208" t="s">
        <v>1244</v>
      </c>
      <c r="AG1" s="204" t="s">
        <v>1245</v>
      </c>
      <c r="AH1" s="204" t="s">
        <v>1246</v>
      </c>
      <c r="AI1" s="209"/>
      <c r="AJ1" s="209"/>
      <c r="AK1" s="204" t="s">
        <v>1247</v>
      </c>
      <c r="AL1" s="204" t="s">
        <v>1248</v>
      </c>
      <c r="AM1" s="208" t="s">
        <v>1249</v>
      </c>
      <c r="AN1" s="204" t="s">
        <v>1250</v>
      </c>
      <c r="AO1" s="204" t="s">
        <v>1251</v>
      </c>
      <c r="AP1" s="204" t="s">
        <v>1250</v>
      </c>
      <c r="AQ1" s="204" t="s">
        <v>1251</v>
      </c>
      <c r="AR1" s="208" t="s">
        <v>1252</v>
      </c>
      <c r="AS1" s="204" t="s">
        <v>1250</v>
      </c>
      <c r="AT1" s="204" t="s">
        <v>1251</v>
      </c>
      <c r="BI1" s="198" t="s">
        <v>1253</v>
      </c>
    </row>
    <row r="2" ht="12.75" customHeight="1">
      <c r="A2" s="5">
        <f>companies!A2</f>
        <v>1</v>
      </c>
      <c r="B2" s="199" t="s">
        <v>1254</v>
      </c>
      <c r="C2" s="210">
        <v>3960000.0</v>
      </c>
      <c r="D2" s="210">
        <v>1650000.0</v>
      </c>
      <c r="E2" s="210">
        <v>1650000.0</v>
      </c>
      <c r="F2" s="210"/>
      <c r="G2" s="210"/>
      <c r="H2" s="210"/>
      <c r="I2" s="210"/>
      <c r="J2" s="210"/>
      <c r="K2" s="210"/>
      <c r="L2" s="210"/>
      <c r="M2" s="211"/>
      <c r="N2" s="211"/>
      <c r="O2" s="211"/>
      <c r="P2" s="211"/>
      <c r="Q2" s="211"/>
      <c r="R2" s="210"/>
      <c r="S2" s="211"/>
      <c r="T2" s="211"/>
      <c r="U2" s="211"/>
      <c r="V2" s="211"/>
      <c r="W2" s="210">
        <v>9280000.0</v>
      </c>
      <c r="X2" s="199">
        <v>1650000.0</v>
      </c>
      <c r="Y2" s="199">
        <v>1.489E7</v>
      </c>
      <c r="Z2" s="199"/>
      <c r="AA2" s="199"/>
      <c r="AB2" s="199"/>
      <c r="AC2" s="199"/>
      <c r="AD2" s="212" t="s">
        <v>683</v>
      </c>
      <c r="AE2" s="212" t="s">
        <v>683</v>
      </c>
      <c r="AF2" s="213" t="str">
        <f>Table1[[#This Row],[2019 Scope 1 (MeT Co2)]]</f>
        <v>#ERROR!</v>
      </c>
      <c r="AG2" s="214" t="str">
        <f t="shared" ref="AG2:AG101" si="1">C2-AF2</f>
        <v>#ERROR!</v>
      </c>
      <c r="AH2" s="215" t="str">
        <f t="shared" ref="AH2:AH101" si="2">AG2/C2</f>
        <v>#ERROR!</v>
      </c>
      <c r="AI2" s="209"/>
      <c r="AJ2" s="209"/>
      <c r="AK2" s="212" t="s">
        <v>683</v>
      </c>
      <c r="AL2" s="212" t="s">
        <v>683</v>
      </c>
      <c r="AM2" s="213" t="str">
        <f>Table1[[#This Row],[2019 Scope 2 ]]</f>
        <v>#ERROR!</v>
      </c>
      <c r="AN2" s="214" t="str">
        <f t="shared" ref="AN2:AN101" si="3">D2-AM2</f>
        <v>#ERROR!</v>
      </c>
      <c r="AO2" s="215" t="str">
        <f t="shared" ref="AO2:AO101" si="4">AN2/D2</f>
        <v>#ERROR!</v>
      </c>
      <c r="AP2" s="214" t="str">
        <f t="shared" ref="AP2:AP101" si="5">AM2-E2</f>
        <v>#ERROR!</v>
      </c>
      <c r="AQ2" s="215" t="str">
        <f t="shared" ref="AQ2:AQ101" si="6">AP2/E2</f>
        <v>#ERROR!</v>
      </c>
      <c r="AR2" s="216" t="str">
        <f>Table1[[#This Row],[2019 Scope 3 ]]</f>
        <v>#ERROR!</v>
      </c>
      <c r="AS2" s="217" t="str">
        <f t="shared" ref="AS2:AS101" si="7">W2-AR2</f>
        <v>#ERROR!</v>
      </c>
      <c r="AT2" s="218" t="str">
        <f t="shared" ref="AT2:AT101" si="8">AS2/W2</f>
        <v>#ERROR!</v>
      </c>
      <c r="BI2" s="4">
        <v>285.0</v>
      </c>
    </row>
    <row r="3" ht="12.75" customHeight="1">
      <c r="A3" s="5">
        <f>companies!A3</f>
        <v>2</v>
      </c>
      <c r="B3" s="199" t="s">
        <v>1254</v>
      </c>
      <c r="C3" s="210">
        <v>526000.0</v>
      </c>
      <c r="D3" s="210">
        <v>506000.0</v>
      </c>
      <c r="E3" s="210">
        <v>506000.0</v>
      </c>
      <c r="F3" s="210"/>
      <c r="G3" s="210"/>
      <c r="H3" s="210"/>
      <c r="I3" s="210"/>
      <c r="J3" s="210"/>
      <c r="K3" s="210"/>
      <c r="L3" s="210"/>
      <c r="M3" s="211"/>
      <c r="N3" s="211"/>
      <c r="O3" s="211"/>
      <c r="P3" s="211"/>
      <c r="Q3" s="211"/>
      <c r="R3" s="210"/>
      <c r="S3" s="211"/>
      <c r="T3" s="211"/>
      <c r="U3" s="211"/>
      <c r="V3" s="211"/>
      <c r="W3" s="210">
        <v>1.371E7</v>
      </c>
      <c r="X3" s="199">
        <v>506000.0</v>
      </c>
      <c r="Y3" s="199">
        <v>1.4742E7</v>
      </c>
      <c r="Z3" s="199"/>
      <c r="AA3" s="199"/>
      <c r="AB3" s="199"/>
      <c r="AC3" s="199"/>
      <c r="AD3" s="212" t="s">
        <v>1255</v>
      </c>
      <c r="AE3" s="212" t="s">
        <v>1256</v>
      </c>
      <c r="AF3" s="213" t="str">
        <f>Table1[[#This Row],[2019 Scope 1 (MeT Co2)]]</f>
        <v>#ERROR!</v>
      </c>
      <c r="AG3" s="214" t="str">
        <f t="shared" si="1"/>
        <v>#ERROR!</v>
      </c>
      <c r="AH3" s="215" t="str">
        <f t="shared" si="2"/>
        <v>#ERROR!</v>
      </c>
      <c r="AI3" s="209"/>
      <c r="AJ3" s="209"/>
      <c r="AK3" s="212" t="s">
        <v>1255</v>
      </c>
      <c r="AL3" s="212" t="s">
        <v>1256</v>
      </c>
      <c r="AM3" s="213" t="str">
        <f>Table1[[#This Row],[2019 Scope 2 ]]</f>
        <v>#ERROR!</v>
      </c>
      <c r="AN3" s="214" t="str">
        <f t="shared" si="3"/>
        <v>#ERROR!</v>
      </c>
      <c r="AO3" s="215" t="str">
        <f t="shared" si="4"/>
        <v>#ERROR!</v>
      </c>
      <c r="AP3" s="214" t="str">
        <f t="shared" si="5"/>
        <v>#ERROR!</v>
      </c>
      <c r="AQ3" s="215" t="str">
        <f t="shared" si="6"/>
        <v>#ERROR!</v>
      </c>
      <c r="AR3" s="216" t="str">
        <f>Table1[[#This Row],[2019 Scope 3 ]]</f>
        <v>#ERROR!</v>
      </c>
      <c r="AS3" s="217" t="str">
        <f t="shared" si="7"/>
        <v>#ERROR!</v>
      </c>
      <c r="AT3" s="218" t="str">
        <f t="shared" si="8"/>
        <v>#ERROR!</v>
      </c>
      <c r="BI3" s="4">
        <v>64.0</v>
      </c>
    </row>
    <row r="4" ht="12.75" customHeight="1">
      <c r="A4" s="5">
        <f>companies!A4</f>
        <v>3</v>
      </c>
      <c r="B4" s="199" t="s">
        <v>1254</v>
      </c>
      <c r="C4" s="210">
        <v>299000.0</v>
      </c>
      <c r="D4" s="210">
        <v>284000.0</v>
      </c>
      <c r="E4" s="210">
        <v>284000.0</v>
      </c>
      <c r="F4" s="210"/>
      <c r="G4" s="210"/>
      <c r="H4" s="210"/>
      <c r="I4" s="210"/>
      <c r="J4" s="210"/>
      <c r="K4" s="210"/>
      <c r="L4" s="210"/>
      <c r="M4" s="211"/>
      <c r="N4" s="211"/>
      <c r="O4" s="211"/>
      <c r="P4" s="211"/>
      <c r="Q4" s="211"/>
      <c r="R4" s="210"/>
      <c r="S4" s="211"/>
      <c r="T4" s="211"/>
      <c r="U4" s="211"/>
      <c r="V4" s="211"/>
      <c r="W4" s="210">
        <v>1012988.0</v>
      </c>
      <c r="X4" s="199">
        <v>284000.0</v>
      </c>
      <c r="Y4" s="199">
        <v>1595988.0</v>
      </c>
      <c r="Z4" s="199"/>
      <c r="AA4" s="199"/>
      <c r="AB4" s="199"/>
      <c r="AC4" s="199"/>
      <c r="AD4" s="212" t="s">
        <v>683</v>
      </c>
      <c r="AE4" s="212" t="s">
        <v>683</v>
      </c>
      <c r="AF4" s="213" t="str">
        <f>Table1[[#This Row],[2019 Scope 1 (MeT Co2)]]</f>
        <v>#ERROR!</v>
      </c>
      <c r="AG4" s="214" t="str">
        <f t="shared" si="1"/>
        <v>#ERROR!</v>
      </c>
      <c r="AH4" s="215" t="str">
        <f t="shared" si="2"/>
        <v>#ERROR!</v>
      </c>
      <c r="AI4" s="209"/>
      <c r="AJ4" s="209"/>
      <c r="AK4" s="212" t="s">
        <v>683</v>
      </c>
      <c r="AL4" s="212" t="s">
        <v>683</v>
      </c>
      <c r="AM4" s="213" t="str">
        <f>Table1[[#This Row],[2019 Scope 2 ]]</f>
        <v>#ERROR!</v>
      </c>
      <c r="AN4" s="214" t="str">
        <f t="shared" si="3"/>
        <v>#ERROR!</v>
      </c>
      <c r="AO4" s="215" t="str">
        <f t="shared" si="4"/>
        <v>#ERROR!</v>
      </c>
      <c r="AP4" s="214" t="str">
        <f t="shared" si="5"/>
        <v>#ERROR!</v>
      </c>
      <c r="AQ4" s="215" t="str">
        <f t="shared" si="6"/>
        <v>#ERROR!</v>
      </c>
      <c r="AR4" s="216" t="str">
        <f>Table1[[#This Row],[2019 Scope 3 ]]</f>
        <v>#ERROR!</v>
      </c>
      <c r="AS4" s="217" t="str">
        <f t="shared" si="7"/>
        <v>#ERROR!</v>
      </c>
      <c r="AT4" s="218" t="str">
        <f t="shared" si="8"/>
        <v>#ERROR!</v>
      </c>
      <c r="BI4" s="4">
        <v>45103.0</v>
      </c>
    </row>
    <row r="5" ht="12.75" customHeight="1">
      <c r="A5" s="5">
        <f>companies!A5</f>
        <v>4</v>
      </c>
      <c r="B5" s="199" t="s">
        <v>1254</v>
      </c>
      <c r="C5" s="210">
        <v>24095.0</v>
      </c>
      <c r="D5" s="210">
        <v>243773.0</v>
      </c>
      <c r="E5" s="210">
        <v>243773.0</v>
      </c>
      <c r="F5" s="210"/>
      <c r="G5" s="210"/>
      <c r="H5" s="210"/>
      <c r="I5" s="210"/>
      <c r="J5" s="210"/>
      <c r="K5" s="210"/>
      <c r="L5" s="210"/>
      <c r="M5" s="211"/>
      <c r="N5" s="211"/>
      <c r="O5" s="211"/>
      <c r="P5" s="211"/>
      <c r="Q5" s="211"/>
      <c r="R5" s="210"/>
      <c r="S5" s="211"/>
      <c r="T5" s="211"/>
      <c r="U5" s="211"/>
      <c r="V5" s="211"/>
      <c r="W5" s="210">
        <v>974176.0</v>
      </c>
      <c r="X5" s="199">
        <v>243773.0</v>
      </c>
      <c r="Y5" s="199">
        <v>1242044.0</v>
      </c>
      <c r="Z5" s="199"/>
      <c r="AA5" s="199"/>
      <c r="AB5" s="199"/>
      <c r="AC5" s="199"/>
      <c r="AD5" s="212" t="s">
        <v>683</v>
      </c>
      <c r="AE5" s="212" t="s">
        <v>683</v>
      </c>
      <c r="AF5" s="213" t="str">
        <f>Table1[[#This Row],[2019 Scope 1 (MeT Co2)]]</f>
        <v>#ERROR!</v>
      </c>
      <c r="AG5" s="214" t="str">
        <f t="shared" si="1"/>
        <v>#ERROR!</v>
      </c>
      <c r="AH5" s="215" t="str">
        <f t="shared" si="2"/>
        <v>#ERROR!</v>
      </c>
      <c r="AI5" s="209"/>
      <c r="AJ5" s="209"/>
      <c r="AK5" s="212" t="s">
        <v>683</v>
      </c>
      <c r="AL5" s="212" t="s">
        <v>683</v>
      </c>
      <c r="AM5" s="213" t="str">
        <f>Table1[[#This Row],[2019 Scope 2 ]]</f>
        <v>#ERROR!</v>
      </c>
      <c r="AN5" s="214" t="str">
        <f t="shared" si="3"/>
        <v>#ERROR!</v>
      </c>
      <c r="AO5" s="215" t="str">
        <f t="shared" si="4"/>
        <v>#ERROR!</v>
      </c>
      <c r="AP5" s="214" t="str">
        <f t="shared" si="5"/>
        <v>#ERROR!</v>
      </c>
      <c r="AQ5" s="215" t="str">
        <f t="shared" si="6"/>
        <v>#ERROR!</v>
      </c>
      <c r="AR5" s="216" t="str">
        <f>Table1[[#This Row],[2019 Scope 3 ]]</f>
        <v>#ERROR!</v>
      </c>
      <c r="AS5" s="217" t="str">
        <f t="shared" si="7"/>
        <v>#ERROR!</v>
      </c>
      <c r="AT5" s="218" t="str">
        <f t="shared" si="8"/>
        <v>#ERROR!</v>
      </c>
      <c r="BI5" s="4">
        <v>21318.0</v>
      </c>
    </row>
    <row r="6" ht="12.75" customHeight="1">
      <c r="A6" s="5">
        <f>companies!A6</f>
        <v>5</v>
      </c>
      <c r="B6" s="199" t="s">
        <v>1254</v>
      </c>
      <c r="C6" s="210">
        <v>12119.0</v>
      </c>
      <c r="D6" s="210">
        <v>58874.0</v>
      </c>
      <c r="E6" s="210">
        <v>58874.0</v>
      </c>
      <c r="F6" s="210"/>
      <c r="G6" s="210"/>
      <c r="H6" s="210"/>
      <c r="I6" s="210"/>
      <c r="J6" s="210"/>
      <c r="K6" s="210"/>
      <c r="L6" s="210"/>
      <c r="M6" s="211"/>
      <c r="N6" s="211"/>
      <c r="O6" s="211"/>
      <c r="P6" s="211"/>
      <c r="Q6" s="211"/>
      <c r="R6" s="210"/>
      <c r="S6" s="211"/>
      <c r="T6" s="211"/>
      <c r="U6" s="211"/>
      <c r="V6" s="211"/>
      <c r="W6" s="210">
        <v>96052.51999999999</v>
      </c>
      <c r="X6" s="199">
        <v>58874.0</v>
      </c>
      <c r="Y6" s="199">
        <v>167045.52</v>
      </c>
      <c r="Z6" s="199"/>
      <c r="AA6" s="199"/>
      <c r="AB6" s="199"/>
      <c r="AC6" s="199"/>
      <c r="AD6" s="212" t="s">
        <v>1257</v>
      </c>
      <c r="AE6" s="212" t="s">
        <v>1258</v>
      </c>
      <c r="AF6" s="213" t="str">
        <f>Table1[[#This Row],[2019 Scope 1 (MeT Co2)]]</f>
        <v>#ERROR!</v>
      </c>
      <c r="AG6" s="214" t="str">
        <f t="shared" si="1"/>
        <v>#ERROR!</v>
      </c>
      <c r="AH6" s="215" t="str">
        <f t="shared" si="2"/>
        <v>#ERROR!</v>
      </c>
      <c r="AI6" s="209"/>
      <c r="AJ6" s="209"/>
      <c r="AK6" s="212" t="s">
        <v>1257</v>
      </c>
      <c r="AL6" s="212" t="s">
        <v>1258</v>
      </c>
      <c r="AM6" s="213" t="str">
        <f>Table1[[#This Row],[2019 Scope 2 ]]</f>
        <v>#ERROR!</v>
      </c>
      <c r="AN6" s="214" t="str">
        <f t="shared" si="3"/>
        <v>#ERROR!</v>
      </c>
      <c r="AO6" s="215" t="str">
        <f t="shared" si="4"/>
        <v>#ERROR!</v>
      </c>
      <c r="AP6" s="214" t="str">
        <f t="shared" si="5"/>
        <v>#ERROR!</v>
      </c>
      <c r="AQ6" s="215" t="str">
        <f t="shared" si="6"/>
        <v>#ERROR!</v>
      </c>
      <c r="AR6" s="216" t="str">
        <f>Table1[[#This Row],[2019 Scope 3 ]]</f>
        <v>#ERROR!</v>
      </c>
      <c r="AS6" s="217" t="str">
        <f t="shared" si="7"/>
        <v>#ERROR!</v>
      </c>
      <c r="AT6" s="218" t="str">
        <f t="shared" si="8"/>
        <v>#ERROR!</v>
      </c>
      <c r="BI6" s="4">
        <v>333.0</v>
      </c>
    </row>
    <row r="7" ht="12.75" customHeight="1">
      <c r="A7" s="5">
        <f>companies!A7</f>
        <v>6</v>
      </c>
      <c r="B7" s="199" t="s">
        <v>1254</v>
      </c>
      <c r="C7" s="210">
        <v>53818.0</v>
      </c>
      <c r="D7" s="210">
        <v>91209.0</v>
      </c>
      <c r="E7" s="210">
        <v>91209.0</v>
      </c>
      <c r="F7" s="210"/>
      <c r="G7" s="210"/>
      <c r="H7" s="210"/>
      <c r="I7" s="210"/>
      <c r="J7" s="210"/>
      <c r="K7" s="210"/>
      <c r="L7" s="210"/>
      <c r="M7" s="211"/>
      <c r="N7" s="211"/>
      <c r="O7" s="211"/>
      <c r="P7" s="211"/>
      <c r="Q7" s="211"/>
      <c r="R7" s="210"/>
      <c r="S7" s="211"/>
      <c r="T7" s="211"/>
      <c r="U7" s="211"/>
      <c r="V7" s="211"/>
      <c r="W7" s="210">
        <v>20119.0</v>
      </c>
      <c r="X7" s="199">
        <v>91209.0</v>
      </c>
      <c r="Y7" s="199">
        <v>165146.0</v>
      </c>
      <c r="Z7" s="199"/>
      <c r="AA7" s="199"/>
      <c r="AB7" s="199"/>
      <c r="AC7" s="199"/>
      <c r="AD7" s="212" t="s">
        <v>683</v>
      </c>
      <c r="AE7" s="212" t="s">
        <v>683</v>
      </c>
      <c r="AF7" s="213" t="str">
        <f>Table1[[#This Row],[2019 Scope 1 (MeT Co2)]]</f>
        <v>#ERROR!</v>
      </c>
      <c r="AG7" s="214" t="str">
        <f t="shared" si="1"/>
        <v>#ERROR!</v>
      </c>
      <c r="AH7" s="215" t="str">
        <f t="shared" si="2"/>
        <v>#ERROR!</v>
      </c>
      <c r="AI7" s="209"/>
      <c r="AJ7" s="209"/>
      <c r="AK7" s="212" t="s">
        <v>683</v>
      </c>
      <c r="AL7" s="212" t="s">
        <v>683</v>
      </c>
      <c r="AM7" s="213" t="str">
        <f>Table1[[#This Row],[2019 Scope 2 ]]</f>
        <v>#ERROR!</v>
      </c>
      <c r="AN7" s="214" t="str">
        <f t="shared" si="3"/>
        <v>#ERROR!</v>
      </c>
      <c r="AO7" s="215" t="str">
        <f t="shared" si="4"/>
        <v>#ERROR!</v>
      </c>
      <c r="AP7" s="214" t="str">
        <f t="shared" si="5"/>
        <v>#ERROR!</v>
      </c>
      <c r="AQ7" s="215" t="str">
        <f t="shared" si="6"/>
        <v>#ERROR!</v>
      </c>
      <c r="AR7" s="216" t="str">
        <f>Table1[[#This Row],[2019 Scope 3 ]]</f>
        <v>#ERROR!</v>
      </c>
      <c r="AS7" s="217" t="str">
        <f t="shared" si="7"/>
        <v>#ERROR!</v>
      </c>
      <c r="AT7" s="218" t="str">
        <f t="shared" si="8"/>
        <v>#ERROR!</v>
      </c>
      <c r="BI7" s="4">
        <v>582.0</v>
      </c>
    </row>
    <row r="8" ht="12.75" customHeight="1">
      <c r="A8" s="5">
        <f>companies!A8</f>
        <v>7</v>
      </c>
      <c r="B8" s="199" t="s">
        <v>1254</v>
      </c>
      <c r="C8" s="210">
        <v>66546.0</v>
      </c>
      <c r="D8" s="210">
        <v>509334.0</v>
      </c>
      <c r="E8" s="210">
        <v>509334.0</v>
      </c>
      <c r="F8" s="210"/>
      <c r="G8" s="210"/>
      <c r="H8" s="210"/>
      <c r="I8" s="210"/>
      <c r="J8" s="210"/>
      <c r="K8" s="210"/>
      <c r="L8" s="210"/>
      <c r="M8" s="211"/>
      <c r="N8" s="211"/>
      <c r="O8" s="211"/>
      <c r="P8" s="211"/>
      <c r="Q8" s="211"/>
      <c r="R8" s="210"/>
      <c r="S8" s="211"/>
      <c r="T8" s="211"/>
      <c r="U8" s="211"/>
      <c r="V8" s="211"/>
      <c r="W8" s="210">
        <v>2719024.0</v>
      </c>
      <c r="X8" s="199">
        <v>509334.0</v>
      </c>
      <c r="Y8" s="199">
        <v>3294904.0</v>
      </c>
      <c r="Z8" s="199"/>
      <c r="AA8" s="199"/>
      <c r="AB8" s="199"/>
      <c r="AC8" s="199"/>
      <c r="AD8" s="212" t="s">
        <v>683</v>
      </c>
      <c r="AE8" s="212" t="s">
        <v>683</v>
      </c>
      <c r="AF8" s="213" t="str">
        <f>Table1[[#This Row],[2019 Scope 1 (MeT Co2)]]</f>
        <v>#ERROR!</v>
      </c>
      <c r="AG8" s="214" t="str">
        <f t="shared" si="1"/>
        <v>#ERROR!</v>
      </c>
      <c r="AH8" s="215" t="str">
        <f t="shared" si="2"/>
        <v>#ERROR!</v>
      </c>
      <c r="AI8" s="209"/>
      <c r="AJ8" s="209"/>
      <c r="AK8" s="212" t="s">
        <v>683</v>
      </c>
      <c r="AL8" s="212" t="s">
        <v>683</v>
      </c>
      <c r="AM8" s="213" t="str">
        <f>Table1[[#This Row],[2019 Scope 2 ]]</f>
        <v>#ERROR!</v>
      </c>
      <c r="AN8" s="214" t="str">
        <f t="shared" si="3"/>
        <v>#ERROR!</v>
      </c>
      <c r="AO8" s="215" t="str">
        <f t="shared" si="4"/>
        <v>#ERROR!</v>
      </c>
      <c r="AP8" s="214" t="str">
        <f t="shared" si="5"/>
        <v>#ERROR!</v>
      </c>
      <c r="AQ8" s="215" t="str">
        <f t="shared" si="6"/>
        <v>#ERROR!</v>
      </c>
      <c r="AR8" s="216" t="str">
        <f>Table1[[#This Row],[2019 Scope 3 ]]</f>
        <v>#ERROR!</v>
      </c>
      <c r="AS8" s="217" t="str">
        <f t="shared" si="7"/>
        <v>#ERROR!</v>
      </c>
      <c r="AT8" s="218" t="str">
        <f t="shared" si="8"/>
        <v>#ERROR!</v>
      </c>
      <c r="BI8" s="4">
        <v>7616.0</v>
      </c>
    </row>
    <row r="9" ht="12.75" customHeight="1">
      <c r="A9" s="5">
        <f>companies!A9</f>
        <v>8</v>
      </c>
      <c r="B9" s="199" t="s">
        <v>1254</v>
      </c>
      <c r="C9" s="210">
        <v>167695.0</v>
      </c>
      <c r="D9" s="210">
        <v>168889.0</v>
      </c>
      <c r="E9" s="210">
        <v>168889.0</v>
      </c>
      <c r="F9" s="210"/>
      <c r="G9" s="210"/>
      <c r="H9" s="210"/>
      <c r="I9" s="210"/>
      <c r="J9" s="210"/>
      <c r="K9" s="210"/>
      <c r="L9" s="210"/>
      <c r="M9" s="211"/>
      <c r="N9" s="211"/>
      <c r="O9" s="211"/>
      <c r="P9" s="211"/>
      <c r="Q9" s="211"/>
      <c r="R9" s="210"/>
      <c r="S9" s="211"/>
      <c r="T9" s="211"/>
      <c r="U9" s="211"/>
      <c r="V9" s="211"/>
      <c r="W9" s="210">
        <v>5264365.0</v>
      </c>
      <c r="X9" s="199">
        <v>168889.0</v>
      </c>
      <c r="Y9" s="199">
        <v>5600949.0</v>
      </c>
      <c r="Z9" s="199"/>
      <c r="AA9" s="199"/>
      <c r="AB9" s="199"/>
      <c r="AC9" s="199"/>
      <c r="AD9" s="212" t="s">
        <v>683</v>
      </c>
      <c r="AE9" s="212" t="s">
        <v>683</v>
      </c>
      <c r="AF9" s="213" t="str">
        <f>Table1[[#This Row],[2019 Scope 1 (MeT Co2)]]</f>
        <v>#ERROR!</v>
      </c>
      <c r="AG9" s="214" t="str">
        <f t="shared" si="1"/>
        <v>#ERROR!</v>
      </c>
      <c r="AH9" s="215" t="str">
        <f t="shared" si="2"/>
        <v>#ERROR!</v>
      </c>
      <c r="AI9" s="209"/>
      <c r="AJ9" s="209"/>
      <c r="AK9" s="212" t="s">
        <v>683</v>
      </c>
      <c r="AL9" s="212" t="s">
        <v>683</v>
      </c>
      <c r="AM9" s="213" t="str">
        <f>Table1[[#This Row],[2019 Scope 2 ]]</f>
        <v>#ERROR!</v>
      </c>
      <c r="AN9" s="214" t="str">
        <f t="shared" si="3"/>
        <v>#ERROR!</v>
      </c>
      <c r="AO9" s="215" t="str">
        <f t="shared" si="4"/>
        <v>#ERROR!</v>
      </c>
      <c r="AP9" s="214" t="str">
        <f t="shared" si="5"/>
        <v>#ERROR!</v>
      </c>
      <c r="AQ9" s="215" t="str">
        <f t="shared" si="6"/>
        <v>#ERROR!</v>
      </c>
      <c r="AR9" s="216" t="str">
        <f>Table1[[#This Row],[2019 Scope 3 ]]</f>
        <v>#ERROR!</v>
      </c>
      <c r="AS9" s="217" t="str">
        <f t="shared" si="7"/>
        <v>#ERROR!</v>
      </c>
      <c r="AT9" s="218" t="str">
        <f t="shared" si="8"/>
        <v>#ERROR!</v>
      </c>
      <c r="BI9" s="4">
        <v>628.0</v>
      </c>
    </row>
    <row r="10" ht="12.75" customHeight="1">
      <c r="A10" s="5">
        <f>companies!A10</f>
        <v>9</v>
      </c>
      <c r="B10" s="199" t="s">
        <v>1254</v>
      </c>
      <c r="C10" s="210" t="s">
        <v>536</v>
      </c>
      <c r="D10" s="210" t="s">
        <v>536</v>
      </c>
      <c r="E10" s="210" t="s">
        <v>536</v>
      </c>
      <c r="F10" s="210"/>
      <c r="G10" s="210"/>
      <c r="H10" s="210"/>
      <c r="I10" s="210"/>
      <c r="J10" s="210"/>
      <c r="K10" s="210"/>
      <c r="L10" s="210"/>
      <c r="M10" s="211"/>
      <c r="N10" s="211"/>
      <c r="O10" s="211"/>
      <c r="P10" s="211"/>
      <c r="Q10" s="211"/>
      <c r="R10" s="210"/>
      <c r="S10" s="211"/>
      <c r="T10" s="211"/>
      <c r="U10" s="211"/>
      <c r="V10" s="211"/>
      <c r="W10" s="210" t="s">
        <v>536</v>
      </c>
      <c r="X10" s="199">
        <v>0.0</v>
      </c>
      <c r="Y10" s="199"/>
      <c r="Z10" s="212"/>
      <c r="AA10" s="212"/>
      <c r="AB10" s="212"/>
      <c r="AC10" s="212"/>
      <c r="AD10" s="212" t="e">
        <v>#N/A</v>
      </c>
      <c r="AE10" s="212" t="e">
        <v>#N/A</v>
      </c>
      <c r="AF10" s="213" t="str">
        <f>Table1[[#This Row],[2019 Scope 1 (MeT Co2)]]</f>
        <v>#ERROR!</v>
      </c>
      <c r="AG10" s="214" t="str">
        <f t="shared" si="1"/>
        <v>#ERROR!</v>
      </c>
      <c r="AH10" s="215" t="str">
        <f t="shared" si="2"/>
        <v>#ERROR!</v>
      </c>
      <c r="AI10" s="209"/>
      <c r="AJ10" s="209"/>
      <c r="AK10" s="212" t="e">
        <v>#N/A</v>
      </c>
      <c r="AL10" s="212" t="e">
        <v>#N/A</v>
      </c>
      <c r="AM10" s="213" t="str">
        <f>Table1[[#This Row],[2019 Scope 2 ]]</f>
        <v>#ERROR!</v>
      </c>
      <c r="AN10" s="214" t="str">
        <f t="shared" si="3"/>
        <v>#ERROR!</v>
      </c>
      <c r="AO10" s="215" t="str">
        <f t="shared" si="4"/>
        <v>#ERROR!</v>
      </c>
      <c r="AP10" s="214" t="str">
        <f t="shared" si="5"/>
        <v>#ERROR!</v>
      </c>
      <c r="AQ10" s="215" t="str">
        <f t="shared" si="6"/>
        <v>#ERROR!</v>
      </c>
      <c r="AR10" s="216" t="str">
        <f>Table1[[#This Row],[2019 Scope 3 ]]</f>
        <v>#ERROR!</v>
      </c>
      <c r="AS10" s="217" t="str">
        <f t="shared" si="7"/>
        <v>#ERROR!</v>
      </c>
      <c r="AT10" s="218" t="str">
        <f t="shared" si="8"/>
        <v>#ERROR!</v>
      </c>
    </row>
    <row r="11" ht="12.75" customHeight="1">
      <c r="A11" s="5">
        <f>companies!A11</f>
        <v>10</v>
      </c>
      <c r="B11" s="199" t="s">
        <v>1254</v>
      </c>
      <c r="C11" s="210">
        <v>24162.0</v>
      </c>
      <c r="D11" s="210">
        <v>55273.0</v>
      </c>
      <c r="E11" s="210">
        <v>55273.0</v>
      </c>
      <c r="F11" s="210"/>
      <c r="G11" s="210"/>
      <c r="H11" s="210"/>
      <c r="I11" s="210"/>
      <c r="J11" s="210"/>
      <c r="K11" s="210"/>
      <c r="L11" s="210"/>
      <c r="M11" s="211"/>
      <c r="N11" s="211"/>
      <c r="O11" s="211"/>
      <c r="P11" s="211"/>
      <c r="Q11" s="211"/>
      <c r="R11" s="210"/>
      <c r="S11" s="211"/>
      <c r="T11" s="211"/>
      <c r="U11" s="211"/>
      <c r="V11" s="211"/>
      <c r="W11" s="210">
        <v>2254145.0</v>
      </c>
      <c r="X11" s="199">
        <v>55273.0</v>
      </c>
      <c r="Y11" s="199">
        <v>2333580.0</v>
      </c>
      <c r="Z11" s="199"/>
      <c r="AA11" s="199"/>
      <c r="AB11" s="199"/>
      <c r="AC11" s="199"/>
      <c r="AD11" s="212" t="s">
        <v>683</v>
      </c>
      <c r="AE11" s="212" t="s">
        <v>683</v>
      </c>
      <c r="AF11" s="213" t="str">
        <f>Table1[[#This Row],[2019 Scope 1 (MeT Co2)]]</f>
        <v>#ERROR!</v>
      </c>
      <c r="AG11" s="214" t="str">
        <f t="shared" si="1"/>
        <v>#ERROR!</v>
      </c>
      <c r="AH11" s="215" t="str">
        <f t="shared" si="2"/>
        <v>#ERROR!</v>
      </c>
      <c r="AI11" s="209"/>
      <c r="AJ11" s="209"/>
      <c r="AK11" s="212" t="s">
        <v>683</v>
      </c>
      <c r="AL11" s="212" t="s">
        <v>683</v>
      </c>
      <c r="AM11" s="213" t="str">
        <f>Table1[[#This Row],[2019 Scope 2 ]]</f>
        <v>#ERROR!</v>
      </c>
      <c r="AN11" s="214" t="str">
        <f t="shared" si="3"/>
        <v>#ERROR!</v>
      </c>
      <c r="AO11" s="215" t="str">
        <f t="shared" si="4"/>
        <v>#ERROR!</v>
      </c>
      <c r="AP11" s="214" t="str">
        <f t="shared" si="5"/>
        <v>#ERROR!</v>
      </c>
      <c r="AQ11" s="215" t="str">
        <f t="shared" si="6"/>
        <v>#ERROR!</v>
      </c>
      <c r="AR11" s="216" t="str">
        <f>Table1[[#This Row],[2019 Scope 3 ]]</f>
        <v>#ERROR!</v>
      </c>
      <c r="AS11" s="217" t="str">
        <f t="shared" si="7"/>
        <v>#ERROR!</v>
      </c>
      <c r="AT11" s="218" t="str">
        <f t="shared" si="8"/>
        <v>#ERROR!</v>
      </c>
      <c r="BI11" s="4">
        <v>692.0</v>
      </c>
    </row>
    <row r="12" ht="12.75" customHeight="1">
      <c r="A12" s="5">
        <f>companies!A12</f>
        <v>11</v>
      </c>
      <c r="B12" s="199" t="s">
        <v>1254</v>
      </c>
      <c r="C12" s="210" t="s">
        <v>536</v>
      </c>
      <c r="D12" s="210">
        <v>9781.0</v>
      </c>
      <c r="E12" s="210">
        <v>9781.0</v>
      </c>
      <c r="F12" s="210"/>
      <c r="G12" s="210"/>
      <c r="H12" s="210"/>
      <c r="I12" s="210"/>
      <c r="J12" s="210"/>
      <c r="K12" s="210"/>
      <c r="L12" s="210"/>
      <c r="M12" s="211"/>
      <c r="N12" s="211"/>
      <c r="O12" s="211"/>
      <c r="P12" s="211"/>
      <c r="Q12" s="211"/>
      <c r="R12" s="210"/>
      <c r="S12" s="211"/>
      <c r="T12" s="211"/>
      <c r="U12" s="211"/>
      <c r="V12" s="211"/>
      <c r="W12" s="210" t="s">
        <v>536</v>
      </c>
      <c r="X12" s="199">
        <v>9781.0</v>
      </c>
      <c r="Y12" s="199"/>
      <c r="Z12" s="212"/>
      <c r="AA12" s="212"/>
      <c r="AB12" s="212"/>
      <c r="AC12" s="212"/>
      <c r="AD12" s="212" t="s">
        <v>1255</v>
      </c>
      <c r="AE12" s="212" t="s">
        <v>1256</v>
      </c>
      <c r="AF12" s="213" t="str">
        <f>Table1[[#This Row],[2019 Scope 1 (MeT Co2)]]</f>
        <v>#ERROR!</v>
      </c>
      <c r="AG12" s="214" t="str">
        <f t="shared" si="1"/>
        <v>#ERROR!</v>
      </c>
      <c r="AH12" s="215" t="str">
        <f t="shared" si="2"/>
        <v>#ERROR!</v>
      </c>
      <c r="AI12" s="209"/>
      <c r="AJ12" s="209"/>
      <c r="AK12" s="212" t="s">
        <v>1255</v>
      </c>
      <c r="AL12" s="212" t="s">
        <v>1256</v>
      </c>
      <c r="AM12" s="213" t="str">
        <f>Table1[[#This Row],[2019 Scope 2 ]]</f>
        <v>#ERROR!</v>
      </c>
      <c r="AN12" s="214" t="str">
        <f t="shared" si="3"/>
        <v>#ERROR!</v>
      </c>
      <c r="AO12" s="215" t="str">
        <f t="shared" si="4"/>
        <v>#ERROR!</v>
      </c>
      <c r="AP12" s="214" t="str">
        <f t="shared" si="5"/>
        <v>#ERROR!</v>
      </c>
      <c r="AQ12" s="215" t="str">
        <f t="shared" si="6"/>
        <v>#ERROR!</v>
      </c>
      <c r="AR12" s="216" t="str">
        <f>Table1[[#This Row],[2019 Scope 3 ]]</f>
        <v>#ERROR!</v>
      </c>
      <c r="AS12" s="217" t="str">
        <f t="shared" si="7"/>
        <v>#ERROR!</v>
      </c>
      <c r="AT12" s="218" t="str">
        <f t="shared" si="8"/>
        <v>#ERROR!</v>
      </c>
      <c r="BI12" s="4">
        <v>699.0</v>
      </c>
    </row>
    <row r="13" ht="12.75" customHeight="1">
      <c r="A13" s="5">
        <f>companies!A13</f>
        <v>12</v>
      </c>
      <c r="B13" s="199" t="s">
        <v>1254</v>
      </c>
      <c r="C13" s="210">
        <v>650755.0</v>
      </c>
      <c r="D13" s="210">
        <v>1617395.0</v>
      </c>
      <c r="E13" s="210">
        <v>1617395.0</v>
      </c>
      <c r="F13" s="210"/>
      <c r="G13" s="210"/>
      <c r="H13" s="210"/>
      <c r="I13" s="210"/>
      <c r="J13" s="210"/>
      <c r="K13" s="210"/>
      <c r="L13" s="210"/>
      <c r="M13" s="211"/>
      <c r="N13" s="211"/>
      <c r="O13" s="211"/>
      <c r="P13" s="211"/>
      <c r="Q13" s="211"/>
      <c r="R13" s="210"/>
      <c r="S13" s="211"/>
      <c r="T13" s="211"/>
      <c r="U13" s="211"/>
      <c r="V13" s="211"/>
      <c r="W13" s="210" t="s">
        <v>536</v>
      </c>
      <c r="X13" s="199">
        <v>1617395.0</v>
      </c>
      <c r="Y13" s="199"/>
      <c r="Z13" s="212"/>
      <c r="AA13" s="212"/>
      <c r="AB13" s="212"/>
      <c r="AC13" s="212"/>
      <c r="AD13" s="212" t="s">
        <v>1255</v>
      </c>
      <c r="AE13" s="212" t="s">
        <v>1256</v>
      </c>
      <c r="AF13" s="213" t="str">
        <f>Table1[[#This Row],[2019 Scope 1 (MeT Co2)]]</f>
        <v>#ERROR!</v>
      </c>
      <c r="AG13" s="214" t="str">
        <f t="shared" si="1"/>
        <v>#ERROR!</v>
      </c>
      <c r="AH13" s="215" t="str">
        <f t="shared" si="2"/>
        <v>#ERROR!</v>
      </c>
      <c r="AI13" s="209"/>
      <c r="AJ13" s="209"/>
      <c r="AK13" s="212" t="s">
        <v>1255</v>
      </c>
      <c r="AL13" s="212" t="s">
        <v>1256</v>
      </c>
      <c r="AM13" s="213" t="str">
        <f>Table1[[#This Row],[2019 Scope 2 ]]</f>
        <v>#ERROR!</v>
      </c>
      <c r="AN13" s="214" t="str">
        <f t="shared" si="3"/>
        <v>#ERROR!</v>
      </c>
      <c r="AO13" s="215" t="str">
        <f t="shared" si="4"/>
        <v>#ERROR!</v>
      </c>
      <c r="AP13" s="214" t="str">
        <f t="shared" si="5"/>
        <v>#ERROR!</v>
      </c>
      <c r="AQ13" s="215" t="str">
        <f t="shared" si="6"/>
        <v>#ERROR!</v>
      </c>
      <c r="AR13" s="216" t="str">
        <f>Table1[[#This Row],[2019 Scope 3 ]]</f>
        <v>#ERROR!</v>
      </c>
      <c r="AS13" s="217" t="str">
        <f t="shared" si="7"/>
        <v>#ERROR!</v>
      </c>
      <c r="AT13" s="218" t="str">
        <f t="shared" si="8"/>
        <v>#ERROR!</v>
      </c>
      <c r="BI13" s="4">
        <v>706.0</v>
      </c>
    </row>
    <row r="14" ht="12.75" customHeight="1">
      <c r="A14" s="5">
        <f>companies!A14</f>
        <v>13</v>
      </c>
      <c r="B14" s="199" t="s">
        <v>1254</v>
      </c>
      <c r="C14" s="210">
        <v>163362.0</v>
      </c>
      <c r="D14" s="210">
        <v>139035.0</v>
      </c>
      <c r="E14" s="210">
        <v>139035.0</v>
      </c>
      <c r="F14" s="210"/>
      <c r="G14" s="210"/>
      <c r="H14" s="210"/>
      <c r="I14" s="210"/>
      <c r="J14" s="210"/>
      <c r="K14" s="210"/>
      <c r="L14" s="210"/>
      <c r="M14" s="211"/>
      <c r="N14" s="211"/>
      <c r="O14" s="211"/>
      <c r="P14" s="211"/>
      <c r="Q14" s="211"/>
      <c r="R14" s="210"/>
      <c r="S14" s="211"/>
      <c r="T14" s="211"/>
      <c r="U14" s="211"/>
      <c r="V14" s="211"/>
      <c r="W14" s="210" t="s">
        <v>536</v>
      </c>
      <c r="X14" s="199">
        <v>139035.0</v>
      </c>
      <c r="Y14" s="199"/>
      <c r="Z14" s="199"/>
      <c r="AA14" s="199"/>
      <c r="AB14" s="199"/>
      <c r="AC14" s="199"/>
      <c r="AD14" s="212" t="s">
        <v>683</v>
      </c>
      <c r="AE14" s="212" t="s">
        <v>683</v>
      </c>
      <c r="AF14" s="213" t="str">
        <f>Table1[[#This Row],[2019 Scope 1 (MeT Co2)]]</f>
        <v>#ERROR!</v>
      </c>
      <c r="AG14" s="214" t="str">
        <f t="shared" si="1"/>
        <v>#ERROR!</v>
      </c>
      <c r="AH14" s="215" t="str">
        <f t="shared" si="2"/>
        <v>#ERROR!</v>
      </c>
      <c r="AI14" s="209"/>
      <c r="AJ14" s="209"/>
      <c r="AK14" s="212" t="s">
        <v>683</v>
      </c>
      <c r="AL14" s="212" t="s">
        <v>683</v>
      </c>
      <c r="AM14" s="213" t="str">
        <f>Table1[[#This Row],[2019 Scope 2 ]]</f>
        <v>#ERROR!</v>
      </c>
      <c r="AN14" s="214" t="str">
        <f t="shared" si="3"/>
        <v>#ERROR!</v>
      </c>
      <c r="AO14" s="215" t="str">
        <f t="shared" si="4"/>
        <v>#ERROR!</v>
      </c>
      <c r="AP14" s="214" t="str">
        <f t="shared" si="5"/>
        <v>#ERROR!</v>
      </c>
      <c r="AQ14" s="215" t="str">
        <f t="shared" si="6"/>
        <v>#ERROR!</v>
      </c>
      <c r="AR14" s="216" t="str">
        <f>Table1[[#This Row],[2019 Scope 3 ]]</f>
        <v>#ERROR!</v>
      </c>
      <c r="AS14" s="217" t="str">
        <f t="shared" si="7"/>
        <v>#ERROR!</v>
      </c>
      <c r="AT14" s="218" t="str">
        <f t="shared" si="8"/>
        <v>#ERROR!</v>
      </c>
      <c r="BI14" s="4">
        <v>716.0</v>
      </c>
    </row>
    <row r="15" ht="12.75" customHeight="1">
      <c r="A15" s="5">
        <f>companies!A15</f>
        <v>14</v>
      </c>
      <c r="B15" s="199" t="s">
        <v>1254</v>
      </c>
      <c r="C15" s="210">
        <v>45400.0</v>
      </c>
      <c r="D15" s="210">
        <v>36250.0</v>
      </c>
      <c r="E15" s="210">
        <v>36250.0</v>
      </c>
      <c r="F15" s="210"/>
      <c r="G15" s="210"/>
      <c r="H15" s="210"/>
      <c r="I15" s="210"/>
      <c r="J15" s="210"/>
      <c r="K15" s="210"/>
      <c r="L15" s="210"/>
      <c r="M15" s="211"/>
      <c r="N15" s="211"/>
      <c r="O15" s="211"/>
      <c r="P15" s="211"/>
      <c r="Q15" s="211"/>
      <c r="R15" s="210"/>
      <c r="S15" s="211"/>
      <c r="T15" s="211"/>
      <c r="U15" s="211"/>
      <c r="V15" s="211"/>
      <c r="W15" s="210">
        <v>293440.0</v>
      </c>
      <c r="X15" s="199">
        <v>36250.0</v>
      </c>
      <c r="Y15" s="199">
        <v>375090.0</v>
      </c>
      <c r="Z15" s="199"/>
      <c r="AA15" s="199"/>
      <c r="AB15" s="199"/>
      <c r="AC15" s="199"/>
      <c r="AD15" s="212" t="s">
        <v>683</v>
      </c>
      <c r="AE15" s="212" t="s">
        <v>683</v>
      </c>
      <c r="AF15" s="213" t="str">
        <f>Table1[[#This Row],[2019 Scope 1 (MeT Co2)]]</f>
        <v>#ERROR!</v>
      </c>
      <c r="AG15" s="214" t="str">
        <f t="shared" si="1"/>
        <v>#ERROR!</v>
      </c>
      <c r="AH15" s="215" t="str">
        <f t="shared" si="2"/>
        <v>#ERROR!</v>
      </c>
      <c r="AI15" s="209"/>
      <c r="AJ15" s="209"/>
      <c r="AK15" s="212" t="s">
        <v>683</v>
      </c>
      <c r="AL15" s="212" t="s">
        <v>683</v>
      </c>
      <c r="AM15" s="213" t="str">
        <f>Table1[[#This Row],[2019 Scope 2 ]]</f>
        <v>#ERROR!</v>
      </c>
      <c r="AN15" s="214" t="str">
        <f t="shared" si="3"/>
        <v>#ERROR!</v>
      </c>
      <c r="AO15" s="215" t="str">
        <f t="shared" si="4"/>
        <v>#ERROR!</v>
      </c>
      <c r="AP15" s="214" t="str">
        <f t="shared" si="5"/>
        <v>#ERROR!</v>
      </c>
      <c r="AQ15" s="215" t="str">
        <f t="shared" si="6"/>
        <v>#ERROR!</v>
      </c>
      <c r="AR15" s="216" t="str">
        <f>Table1[[#This Row],[2019 Scope 3 ]]</f>
        <v>#ERROR!</v>
      </c>
      <c r="AS15" s="217" t="str">
        <f t="shared" si="7"/>
        <v>#ERROR!</v>
      </c>
      <c r="AT15" s="218" t="str">
        <f t="shared" si="8"/>
        <v>#ERROR!</v>
      </c>
      <c r="BI15" s="4">
        <v>865.0</v>
      </c>
    </row>
    <row r="16" ht="12.75" customHeight="1">
      <c r="A16" s="5">
        <f>companies!A16</f>
        <v>15</v>
      </c>
      <c r="B16" s="199" t="s">
        <v>1254</v>
      </c>
      <c r="C16" s="210">
        <v>1070000.0</v>
      </c>
      <c r="D16" s="210">
        <v>6950000.0</v>
      </c>
      <c r="E16" s="210">
        <v>6950000.0</v>
      </c>
      <c r="F16" s="210"/>
      <c r="G16" s="210"/>
      <c r="H16" s="210"/>
      <c r="I16" s="210"/>
      <c r="J16" s="210"/>
      <c r="K16" s="210"/>
      <c r="L16" s="210"/>
      <c r="M16" s="211"/>
      <c r="N16" s="211"/>
      <c r="O16" s="211"/>
      <c r="P16" s="211"/>
      <c r="Q16" s="211"/>
      <c r="R16" s="210"/>
      <c r="S16" s="211"/>
      <c r="T16" s="211"/>
      <c r="U16" s="211"/>
      <c r="V16" s="211"/>
      <c r="W16" s="210">
        <v>3620000.0</v>
      </c>
      <c r="X16" s="199">
        <v>6950000.0</v>
      </c>
      <c r="Y16" s="199">
        <v>1.164E7</v>
      </c>
      <c r="Z16" s="199"/>
      <c r="AA16" s="199"/>
      <c r="AB16" s="199"/>
      <c r="AC16" s="199"/>
      <c r="AD16" s="212" t="s">
        <v>683</v>
      </c>
      <c r="AE16" s="212" t="s">
        <v>683</v>
      </c>
      <c r="AF16" s="213" t="str">
        <f>Table1[[#This Row],[2019 Scope 1 (MeT Co2)]]</f>
        <v>#ERROR!</v>
      </c>
      <c r="AG16" s="214" t="str">
        <f t="shared" si="1"/>
        <v>#ERROR!</v>
      </c>
      <c r="AH16" s="215" t="str">
        <f t="shared" si="2"/>
        <v>#ERROR!</v>
      </c>
      <c r="AI16" s="209"/>
      <c r="AJ16" s="209"/>
      <c r="AK16" s="212" t="s">
        <v>683</v>
      </c>
      <c r="AL16" s="212" t="s">
        <v>683</v>
      </c>
      <c r="AM16" s="213" t="str">
        <f>Table1[[#This Row],[2019 Scope 2 ]]</f>
        <v>#ERROR!</v>
      </c>
      <c r="AN16" s="214" t="str">
        <f t="shared" si="3"/>
        <v>#ERROR!</v>
      </c>
      <c r="AO16" s="215" t="str">
        <f t="shared" si="4"/>
        <v>#ERROR!</v>
      </c>
      <c r="AP16" s="214" t="str">
        <f t="shared" si="5"/>
        <v>#ERROR!</v>
      </c>
      <c r="AQ16" s="215" t="str">
        <f t="shared" si="6"/>
        <v>#ERROR!</v>
      </c>
      <c r="AR16" s="216" t="str">
        <f>Table1[[#This Row],[2019 Scope 3 ]]</f>
        <v>#ERROR!</v>
      </c>
      <c r="AS16" s="217" t="str">
        <f t="shared" si="7"/>
        <v>#ERROR!</v>
      </c>
      <c r="AT16" s="218" t="str">
        <f t="shared" si="8"/>
        <v>#ERROR!</v>
      </c>
      <c r="BI16" s="199">
        <v>1113.0</v>
      </c>
    </row>
    <row r="17" ht="12.75" customHeight="1">
      <c r="A17" s="5">
        <f>companies!A17</f>
        <v>16</v>
      </c>
      <c r="B17" s="199" t="s">
        <v>1254</v>
      </c>
      <c r="C17" s="210">
        <v>82298.0</v>
      </c>
      <c r="D17" s="210">
        <v>173512.0</v>
      </c>
      <c r="E17" s="210">
        <v>173512.0</v>
      </c>
      <c r="F17" s="210"/>
      <c r="G17" s="210"/>
      <c r="H17" s="210"/>
      <c r="I17" s="210"/>
      <c r="J17" s="210"/>
      <c r="K17" s="210"/>
      <c r="L17" s="210"/>
      <c r="M17" s="211"/>
      <c r="N17" s="211"/>
      <c r="O17" s="211"/>
      <c r="P17" s="211"/>
      <c r="Q17" s="211"/>
      <c r="R17" s="210"/>
      <c r="S17" s="211"/>
      <c r="T17" s="211"/>
      <c r="U17" s="211"/>
      <c r="V17" s="211"/>
      <c r="W17" s="210">
        <v>0.0</v>
      </c>
      <c r="X17" s="199">
        <v>173512.0</v>
      </c>
      <c r="Y17" s="199">
        <v>255810.0</v>
      </c>
      <c r="Z17" s="199"/>
      <c r="AA17" s="199"/>
      <c r="AB17" s="199"/>
      <c r="AC17" s="199"/>
      <c r="AD17" s="212" t="s">
        <v>683</v>
      </c>
      <c r="AE17" s="212" t="s">
        <v>683</v>
      </c>
      <c r="AF17" s="213" t="str">
        <f>Table1[[#This Row],[2019 Scope 1 (MeT Co2)]]</f>
        <v>#ERROR!</v>
      </c>
      <c r="AG17" s="214" t="str">
        <f t="shared" si="1"/>
        <v>#ERROR!</v>
      </c>
      <c r="AH17" s="215" t="str">
        <f t="shared" si="2"/>
        <v>#ERROR!</v>
      </c>
      <c r="AI17" s="209"/>
      <c r="AJ17" s="209"/>
      <c r="AK17" s="212" t="s">
        <v>683</v>
      </c>
      <c r="AL17" s="212" t="s">
        <v>683</v>
      </c>
      <c r="AM17" s="213" t="str">
        <f>Table1[[#This Row],[2019 Scope 2 ]]</f>
        <v>#ERROR!</v>
      </c>
      <c r="AN17" s="214" t="str">
        <f t="shared" si="3"/>
        <v>#ERROR!</v>
      </c>
      <c r="AO17" s="215" t="str">
        <f t="shared" si="4"/>
        <v>#ERROR!</v>
      </c>
      <c r="AP17" s="214" t="str">
        <f t="shared" si="5"/>
        <v>#ERROR!</v>
      </c>
      <c r="AQ17" s="215" t="str">
        <f t="shared" si="6"/>
        <v>#ERROR!</v>
      </c>
      <c r="AR17" s="216" t="str">
        <f>Table1[[#This Row],[2019 Scope 3 ]]</f>
        <v>#ERROR!</v>
      </c>
      <c r="AS17" s="217" t="str">
        <f t="shared" si="7"/>
        <v>#ERROR!</v>
      </c>
      <c r="AT17" s="218" t="str">
        <f t="shared" si="8"/>
        <v>#ERROR!</v>
      </c>
      <c r="BI17" s="4">
        <v>1452.0</v>
      </c>
    </row>
    <row r="18" ht="12.75" customHeight="1">
      <c r="A18" s="5">
        <f>companies!A18</f>
        <v>17</v>
      </c>
      <c r="B18" s="199" t="s">
        <v>1254</v>
      </c>
      <c r="C18" s="210" t="s">
        <v>536</v>
      </c>
      <c r="D18" s="210" t="s">
        <v>536</v>
      </c>
      <c r="E18" s="210" t="s">
        <v>536</v>
      </c>
      <c r="F18" s="210"/>
      <c r="G18" s="210"/>
      <c r="H18" s="210"/>
      <c r="I18" s="210"/>
      <c r="J18" s="210"/>
      <c r="K18" s="210"/>
      <c r="L18" s="210"/>
      <c r="M18" s="211"/>
      <c r="N18" s="211"/>
      <c r="O18" s="211"/>
      <c r="P18" s="211"/>
      <c r="Q18" s="211"/>
      <c r="R18" s="210"/>
      <c r="S18" s="211"/>
      <c r="T18" s="211"/>
      <c r="U18" s="211"/>
      <c r="V18" s="211"/>
      <c r="W18" s="210" t="s">
        <v>536</v>
      </c>
      <c r="X18" s="199">
        <v>0.0</v>
      </c>
      <c r="Y18" s="199"/>
      <c r="Z18" s="212"/>
      <c r="AA18" s="212"/>
      <c r="AB18" s="212"/>
      <c r="AC18" s="212"/>
      <c r="AD18" s="212" t="e">
        <v>#N/A</v>
      </c>
      <c r="AE18" s="212" t="e">
        <v>#N/A</v>
      </c>
      <c r="AF18" s="213" t="str">
        <f>Table1[[#This Row],[2019 Scope 1 (MeT Co2)]]</f>
        <v>#ERROR!</v>
      </c>
      <c r="AG18" s="214" t="str">
        <f t="shared" si="1"/>
        <v>#ERROR!</v>
      </c>
      <c r="AH18" s="215" t="str">
        <f t="shared" si="2"/>
        <v>#ERROR!</v>
      </c>
      <c r="AI18" s="209"/>
      <c r="AJ18" s="209"/>
      <c r="AK18" s="212" t="e">
        <v>#N/A</v>
      </c>
      <c r="AL18" s="212" t="e">
        <v>#N/A</v>
      </c>
      <c r="AM18" s="213" t="str">
        <f>Table1[[#This Row],[2019 Scope 2 ]]</f>
        <v>#ERROR!</v>
      </c>
      <c r="AN18" s="214" t="str">
        <f t="shared" si="3"/>
        <v>#ERROR!</v>
      </c>
      <c r="AO18" s="215" t="str">
        <f t="shared" si="4"/>
        <v>#ERROR!</v>
      </c>
      <c r="AP18" s="214" t="str">
        <f t="shared" si="5"/>
        <v>#ERROR!</v>
      </c>
      <c r="AQ18" s="215" t="str">
        <f t="shared" si="6"/>
        <v>#ERROR!</v>
      </c>
      <c r="AR18" s="216" t="str">
        <f>Table1[[#This Row],[2019 Scope 3 ]]</f>
        <v>#ERROR!</v>
      </c>
      <c r="AS18" s="217" t="str">
        <f t="shared" si="7"/>
        <v>#ERROR!</v>
      </c>
      <c r="AT18" s="218" t="str">
        <f t="shared" si="8"/>
        <v>#ERROR!</v>
      </c>
    </row>
    <row r="19" ht="12.75" customHeight="1">
      <c r="A19" s="5">
        <f>companies!A19</f>
        <v>18</v>
      </c>
      <c r="B19" s="199" t="s">
        <v>1254</v>
      </c>
      <c r="C19" s="210">
        <v>61616.0</v>
      </c>
      <c r="D19" s="210">
        <v>42408.0</v>
      </c>
      <c r="E19" s="210">
        <v>42408.0</v>
      </c>
      <c r="F19" s="210"/>
      <c r="G19" s="210"/>
      <c r="H19" s="210"/>
      <c r="I19" s="210"/>
      <c r="J19" s="210"/>
      <c r="K19" s="210"/>
      <c r="L19" s="210"/>
      <c r="M19" s="211"/>
      <c r="N19" s="211"/>
      <c r="O19" s="211"/>
      <c r="P19" s="211"/>
      <c r="Q19" s="211"/>
      <c r="R19" s="210"/>
      <c r="S19" s="211"/>
      <c r="T19" s="211"/>
      <c r="U19" s="211"/>
      <c r="V19" s="211"/>
      <c r="W19" s="210">
        <v>436265.0</v>
      </c>
      <c r="X19" s="199">
        <v>42408.0</v>
      </c>
      <c r="Y19" s="199">
        <v>540289.0</v>
      </c>
      <c r="Z19" s="199"/>
      <c r="AA19" s="199"/>
      <c r="AB19" s="199"/>
      <c r="AC19" s="199"/>
      <c r="AD19" s="212" t="s">
        <v>683</v>
      </c>
      <c r="AE19" s="212" t="s">
        <v>683</v>
      </c>
      <c r="AF19" s="213" t="str">
        <f>Table1[[#This Row],[2019 Scope 1 (MeT Co2)]]</f>
        <v>#ERROR!</v>
      </c>
      <c r="AG19" s="214" t="str">
        <f t="shared" si="1"/>
        <v>#ERROR!</v>
      </c>
      <c r="AH19" s="215" t="str">
        <f t="shared" si="2"/>
        <v>#ERROR!</v>
      </c>
      <c r="AI19" s="209"/>
      <c r="AJ19" s="209"/>
      <c r="AK19" s="212" t="s">
        <v>683</v>
      </c>
      <c r="AL19" s="212" t="s">
        <v>683</v>
      </c>
      <c r="AM19" s="213" t="str">
        <f>Table1[[#This Row],[2019 Scope 2 ]]</f>
        <v>#ERROR!</v>
      </c>
      <c r="AN19" s="214" t="str">
        <f t="shared" si="3"/>
        <v>#ERROR!</v>
      </c>
      <c r="AO19" s="215" t="str">
        <f t="shared" si="4"/>
        <v>#ERROR!</v>
      </c>
      <c r="AP19" s="214" t="str">
        <f t="shared" si="5"/>
        <v>#ERROR!</v>
      </c>
      <c r="AQ19" s="215" t="str">
        <f t="shared" si="6"/>
        <v>#ERROR!</v>
      </c>
      <c r="AR19" s="216" t="str">
        <f>Table1[[#This Row],[2019 Scope 3 ]]</f>
        <v>#ERROR!</v>
      </c>
      <c r="AS19" s="217" t="str">
        <f t="shared" si="7"/>
        <v>#ERROR!</v>
      </c>
      <c r="AT19" s="218" t="str">
        <f t="shared" si="8"/>
        <v>#ERROR!</v>
      </c>
      <c r="BI19" s="4">
        <v>1857.0</v>
      </c>
    </row>
    <row r="20" ht="12.75" customHeight="1">
      <c r="A20" s="5">
        <f>companies!A20</f>
        <v>19</v>
      </c>
      <c r="B20" s="199" t="s">
        <v>1254</v>
      </c>
      <c r="C20" s="210">
        <v>5016.0</v>
      </c>
      <c r="D20" s="210">
        <v>22135.0</v>
      </c>
      <c r="E20" s="210">
        <v>22135.0</v>
      </c>
      <c r="F20" s="210"/>
      <c r="G20" s="210"/>
      <c r="H20" s="210"/>
      <c r="I20" s="210"/>
      <c r="J20" s="210"/>
      <c r="K20" s="210"/>
      <c r="L20" s="210"/>
      <c r="M20" s="211"/>
      <c r="N20" s="211"/>
      <c r="O20" s="211"/>
      <c r="P20" s="211"/>
      <c r="Q20" s="211"/>
      <c r="R20" s="210"/>
      <c r="S20" s="211"/>
      <c r="T20" s="211"/>
      <c r="U20" s="211"/>
      <c r="V20" s="211"/>
      <c r="W20" s="210">
        <v>38684.799999999996</v>
      </c>
      <c r="X20" s="199">
        <v>22135.0</v>
      </c>
      <c r="Y20" s="199">
        <v>65835.79999999999</v>
      </c>
      <c r="Z20" s="199"/>
      <c r="AA20" s="199"/>
      <c r="AB20" s="199"/>
      <c r="AC20" s="199"/>
      <c r="AD20" s="212" t="s">
        <v>683</v>
      </c>
      <c r="AE20" s="212" t="s">
        <v>683</v>
      </c>
      <c r="AF20" s="213" t="str">
        <f>Table1[[#This Row],[2019 Scope 1 (MeT Co2)]]</f>
        <v>#ERROR!</v>
      </c>
      <c r="AG20" s="214" t="str">
        <f t="shared" si="1"/>
        <v>#ERROR!</v>
      </c>
      <c r="AH20" s="215" t="str">
        <f t="shared" si="2"/>
        <v>#ERROR!</v>
      </c>
      <c r="AI20" s="209"/>
      <c r="AJ20" s="209"/>
      <c r="AK20" s="212" t="s">
        <v>683</v>
      </c>
      <c r="AL20" s="212" t="s">
        <v>683</v>
      </c>
      <c r="AM20" s="213" t="str">
        <f>Table1[[#This Row],[2019 Scope 2 ]]</f>
        <v>#ERROR!</v>
      </c>
      <c r="AN20" s="214" t="str">
        <f t="shared" si="3"/>
        <v>#ERROR!</v>
      </c>
      <c r="AO20" s="215" t="str">
        <f t="shared" si="4"/>
        <v>#ERROR!</v>
      </c>
      <c r="AP20" s="214" t="str">
        <f t="shared" si="5"/>
        <v>#ERROR!</v>
      </c>
      <c r="AQ20" s="215" t="str">
        <f t="shared" si="6"/>
        <v>#ERROR!</v>
      </c>
      <c r="AR20" s="216" t="str">
        <f>Table1[[#This Row],[2019 Scope 3 ]]</f>
        <v>#ERROR!</v>
      </c>
      <c r="AS20" s="217" t="str">
        <f t="shared" si="7"/>
        <v>#ERROR!</v>
      </c>
      <c r="AT20" s="218" t="str">
        <f t="shared" si="8"/>
        <v>#ERROR!</v>
      </c>
      <c r="BI20" s="4">
        <v>1875.0</v>
      </c>
    </row>
    <row r="21" ht="12.75" customHeight="1">
      <c r="A21" s="5">
        <f>companies!A21</f>
        <v>20</v>
      </c>
      <c r="B21" s="199" t="s">
        <v>1254</v>
      </c>
      <c r="C21" s="210">
        <v>626000.0</v>
      </c>
      <c r="D21" s="210">
        <v>896000.0</v>
      </c>
      <c r="E21" s="210">
        <v>896000.0</v>
      </c>
      <c r="F21" s="210"/>
      <c r="G21" s="210"/>
      <c r="H21" s="210"/>
      <c r="I21" s="210"/>
      <c r="J21" s="210"/>
      <c r="K21" s="210"/>
      <c r="L21" s="210"/>
      <c r="M21" s="211"/>
      <c r="N21" s="211"/>
      <c r="O21" s="211"/>
      <c r="P21" s="211"/>
      <c r="Q21" s="211"/>
      <c r="R21" s="210"/>
      <c r="S21" s="211"/>
      <c r="T21" s="211"/>
      <c r="U21" s="211"/>
      <c r="V21" s="211"/>
      <c r="W21" s="210">
        <v>285000.0</v>
      </c>
      <c r="X21" s="199">
        <v>896000.0</v>
      </c>
      <c r="Y21" s="199">
        <v>1807000.0</v>
      </c>
      <c r="Z21" s="199"/>
      <c r="AA21" s="199"/>
      <c r="AB21" s="199"/>
      <c r="AC21" s="199"/>
      <c r="AD21" s="212" t="s">
        <v>683</v>
      </c>
      <c r="AE21" s="212" t="s">
        <v>683</v>
      </c>
      <c r="AF21" s="213" t="str">
        <f>Table1[[#This Row],[2019 Scope 1 (MeT Co2)]]</f>
        <v>#ERROR!</v>
      </c>
      <c r="AG21" s="214" t="str">
        <f t="shared" si="1"/>
        <v>#ERROR!</v>
      </c>
      <c r="AH21" s="215" t="str">
        <f t="shared" si="2"/>
        <v>#ERROR!</v>
      </c>
      <c r="AI21" s="209"/>
      <c r="AJ21" s="209"/>
      <c r="AK21" s="212" t="s">
        <v>683</v>
      </c>
      <c r="AL21" s="212" t="s">
        <v>683</v>
      </c>
      <c r="AM21" s="213" t="str">
        <f>Table1[[#This Row],[2019 Scope 2 ]]</f>
        <v>#ERROR!</v>
      </c>
      <c r="AN21" s="214" t="str">
        <f t="shared" si="3"/>
        <v>#ERROR!</v>
      </c>
      <c r="AO21" s="215" t="str">
        <f t="shared" si="4"/>
        <v>#ERROR!</v>
      </c>
      <c r="AP21" s="214" t="str">
        <f t="shared" si="5"/>
        <v>#ERROR!</v>
      </c>
      <c r="AQ21" s="215" t="str">
        <f t="shared" si="6"/>
        <v>#ERROR!</v>
      </c>
      <c r="AR21" s="216" t="str">
        <f>Table1[[#This Row],[2019 Scope 3 ]]</f>
        <v>#ERROR!</v>
      </c>
      <c r="AS21" s="217" t="str">
        <f t="shared" si="7"/>
        <v>#ERROR!</v>
      </c>
      <c r="AT21" s="218" t="str">
        <f t="shared" si="8"/>
        <v>#ERROR!</v>
      </c>
      <c r="BI21" s="4">
        <v>2017.0</v>
      </c>
    </row>
    <row r="22" ht="12.75" customHeight="1">
      <c r="A22" s="5">
        <f>companies!A22</f>
        <v>21</v>
      </c>
      <c r="B22" s="199" t="s">
        <v>1254</v>
      </c>
      <c r="C22" s="210">
        <v>3372.0</v>
      </c>
      <c r="D22" s="210">
        <v>47963.0</v>
      </c>
      <c r="E22" s="210">
        <v>47963.0</v>
      </c>
      <c r="F22" s="210"/>
      <c r="G22" s="210"/>
      <c r="H22" s="210"/>
      <c r="I22" s="210"/>
      <c r="J22" s="210"/>
      <c r="K22" s="210"/>
      <c r="L22" s="210"/>
      <c r="M22" s="211"/>
      <c r="N22" s="211"/>
      <c r="O22" s="211"/>
      <c r="P22" s="211"/>
      <c r="Q22" s="211"/>
      <c r="R22" s="210"/>
      <c r="S22" s="211"/>
      <c r="T22" s="211"/>
      <c r="U22" s="211"/>
      <c r="V22" s="211"/>
      <c r="W22" s="210" t="s">
        <v>536</v>
      </c>
      <c r="X22" s="199">
        <v>47963.0</v>
      </c>
      <c r="Y22" s="199"/>
      <c r="Z22" s="212"/>
      <c r="AA22" s="212"/>
      <c r="AB22" s="212"/>
      <c r="AC22" s="212"/>
      <c r="AD22" s="212" t="e">
        <v>#N/A</v>
      </c>
      <c r="AE22" s="212" t="e">
        <v>#N/A</v>
      </c>
      <c r="AF22" s="213" t="str">
        <f>Table1[[#This Row],[2019 Scope 1 (MeT Co2)]]</f>
        <v>#ERROR!</v>
      </c>
      <c r="AG22" s="214" t="str">
        <f t="shared" si="1"/>
        <v>#ERROR!</v>
      </c>
      <c r="AH22" s="215" t="str">
        <f t="shared" si="2"/>
        <v>#ERROR!</v>
      </c>
      <c r="AI22" s="209"/>
      <c r="AJ22" s="209"/>
      <c r="AK22" s="212" t="e">
        <v>#N/A</v>
      </c>
      <c r="AL22" s="212" t="e">
        <v>#N/A</v>
      </c>
      <c r="AM22" s="213" t="str">
        <f>Table1[[#This Row],[2019 Scope 2 ]]</f>
        <v>#ERROR!</v>
      </c>
      <c r="AN22" s="214" t="str">
        <f t="shared" si="3"/>
        <v>#ERROR!</v>
      </c>
      <c r="AO22" s="215" t="str">
        <f t="shared" si="4"/>
        <v>#ERROR!</v>
      </c>
      <c r="AP22" s="214" t="str">
        <f t="shared" si="5"/>
        <v>#ERROR!</v>
      </c>
      <c r="AQ22" s="215" t="str">
        <f t="shared" si="6"/>
        <v>#ERROR!</v>
      </c>
      <c r="AR22" s="216" t="str">
        <f>Table1[[#This Row],[2019 Scope 3 ]]</f>
        <v>#ERROR!</v>
      </c>
      <c r="AS22" s="217" t="str">
        <f t="shared" si="7"/>
        <v>#ERROR!</v>
      </c>
      <c r="AT22" s="218" t="str">
        <f t="shared" si="8"/>
        <v>#ERROR!</v>
      </c>
    </row>
    <row r="23" ht="12.75" customHeight="1">
      <c r="A23" s="5">
        <f>companies!A23</f>
        <v>22</v>
      </c>
      <c r="B23" s="199" t="s">
        <v>1254</v>
      </c>
      <c r="C23" s="210">
        <v>125000.0</v>
      </c>
      <c r="D23" s="210">
        <v>250000.0</v>
      </c>
      <c r="E23" s="210">
        <v>250000.0</v>
      </c>
      <c r="F23" s="210"/>
      <c r="G23" s="210"/>
      <c r="H23" s="210"/>
      <c r="I23" s="210"/>
      <c r="J23" s="210"/>
      <c r="K23" s="210"/>
      <c r="L23" s="210"/>
      <c r="M23" s="211"/>
      <c r="N23" s="211"/>
      <c r="O23" s="211"/>
      <c r="P23" s="211"/>
      <c r="Q23" s="211"/>
      <c r="R23" s="210"/>
      <c r="S23" s="211"/>
      <c r="T23" s="211"/>
      <c r="U23" s="211"/>
      <c r="V23" s="211"/>
      <c r="W23" s="210">
        <v>0.0</v>
      </c>
      <c r="X23" s="199">
        <v>250000.0</v>
      </c>
      <c r="Y23" s="199">
        <v>375000.0</v>
      </c>
      <c r="Z23" s="212"/>
      <c r="AA23" s="212"/>
      <c r="AB23" s="212"/>
      <c r="AC23" s="212"/>
      <c r="AD23" s="212" t="s">
        <v>683</v>
      </c>
      <c r="AE23" s="212" t="s">
        <v>683</v>
      </c>
      <c r="AF23" s="213" t="str">
        <f>Table1[[#This Row],[2019 Scope 1 (MeT Co2)]]</f>
        <v>#ERROR!</v>
      </c>
      <c r="AG23" s="214" t="str">
        <f t="shared" si="1"/>
        <v>#ERROR!</v>
      </c>
      <c r="AH23" s="215" t="str">
        <f t="shared" si="2"/>
        <v>#ERROR!</v>
      </c>
      <c r="AI23" s="209"/>
      <c r="AJ23" s="209"/>
      <c r="AK23" s="212" t="s">
        <v>683</v>
      </c>
      <c r="AL23" s="212" t="s">
        <v>683</v>
      </c>
      <c r="AM23" s="213" t="str">
        <f>Table1[[#This Row],[2019 Scope 2 ]]</f>
        <v>#ERROR!</v>
      </c>
      <c r="AN23" s="214" t="str">
        <f t="shared" si="3"/>
        <v>#ERROR!</v>
      </c>
      <c r="AO23" s="215" t="str">
        <f t="shared" si="4"/>
        <v>#ERROR!</v>
      </c>
      <c r="AP23" s="214" t="str">
        <f t="shared" si="5"/>
        <v>#ERROR!</v>
      </c>
      <c r="AQ23" s="215" t="str">
        <f t="shared" si="6"/>
        <v>#ERROR!</v>
      </c>
      <c r="AR23" s="216" t="str">
        <f>Table1[[#This Row],[2019 Scope 3 ]]</f>
        <v>#ERROR!</v>
      </c>
      <c r="AS23" s="217" t="str">
        <f t="shared" si="7"/>
        <v>#ERROR!</v>
      </c>
      <c r="AT23" s="218" t="str">
        <f t="shared" si="8"/>
        <v>#ERROR!</v>
      </c>
      <c r="BI23" s="4">
        <v>2191.0</v>
      </c>
    </row>
    <row r="24" ht="12.75" customHeight="1">
      <c r="A24" s="5">
        <f>companies!A24</f>
        <v>23</v>
      </c>
      <c r="B24" s="199" t="s">
        <v>1254</v>
      </c>
      <c r="C24" s="210">
        <v>11624.0</v>
      </c>
      <c r="D24" s="210">
        <v>150.0</v>
      </c>
      <c r="E24" s="210">
        <v>150.0</v>
      </c>
      <c r="F24" s="210"/>
      <c r="G24" s="210"/>
      <c r="H24" s="210"/>
      <c r="I24" s="210"/>
      <c r="J24" s="210"/>
      <c r="K24" s="210"/>
      <c r="L24" s="210"/>
      <c r="M24" s="211"/>
      <c r="N24" s="211"/>
      <c r="O24" s="211"/>
      <c r="P24" s="211"/>
      <c r="Q24" s="211"/>
      <c r="R24" s="210"/>
      <c r="S24" s="211"/>
      <c r="T24" s="211"/>
      <c r="U24" s="211"/>
      <c r="V24" s="211"/>
      <c r="W24" s="210">
        <v>215767.75</v>
      </c>
      <c r="X24" s="199">
        <v>150.0</v>
      </c>
      <c r="Y24" s="199">
        <v>227541.75</v>
      </c>
      <c r="Z24" s="199"/>
      <c r="AA24" s="199"/>
      <c r="AB24" s="199"/>
      <c r="AC24" s="199"/>
      <c r="AD24" s="212" t="s">
        <v>683</v>
      </c>
      <c r="AE24" s="212" t="s">
        <v>683</v>
      </c>
      <c r="AF24" s="213" t="str">
        <f>Table1[[#This Row],[2019 Scope 1 (MeT Co2)]]</f>
        <v>#ERROR!</v>
      </c>
      <c r="AG24" s="214" t="str">
        <f t="shared" si="1"/>
        <v>#ERROR!</v>
      </c>
      <c r="AH24" s="215" t="str">
        <f t="shared" si="2"/>
        <v>#ERROR!</v>
      </c>
      <c r="AI24" s="209"/>
      <c r="AJ24" s="209"/>
      <c r="AK24" s="212" t="s">
        <v>683</v>
      </c>
      <c r="AL24" s="212" t="s">
        <v>683</v>
      </c>
      <c r="AM24" s="213" t="str">
        <f>Table1[[#This Row],[2019 Scope 2 ]]</f>
        <v>#ERROR!</v>
      </c>
      <c r="AN24" s="214" t="str">
        <f t="shared" si="3"/>
        <v>#ERROR!</v>
      </c>
      <c r="AO24" s="215" t="str">
        <f t="shared" si="4"/>
        <v>#ERROR!</v>
      </c>
      <c r="AP24" s="214" t="str">
        <f t="shared" si="5"/>
        <v>#ERROR!</v>
      </c>
      <c r="AQ24" s="215" t="str">
        <f t="shared" si="6"/>
        <v>#ERROR!</v>
      </c>
      <c r="AR24" s="216" t="str">
        <f>Table1[[#This Row],[2019 Scope 3 ]]</f>
        <v>#ERROR!</v>
      </c>
      <c r="AS24" s="217" t="str">
        <f t="shared" si="7"/>
        <v>#ERROR!</v>
      </c>
      <c r="AT24" s="218" t="str">
        <f t="shared" si="8"/>
        <v>#ERROR!</v>
      </c>
      <c r="BI24" s="4">
        <v>2695.0</v>
      </c>
    </row>
    <row r="25" ht="12.75" customHeight="1">
      <c r="A25" s="5">
        <f>companies!A25</f>
        <v>24</v>
      </c>
      <c r="B25" s="199" t="s">
        <v>1254</v>
      </c>
      <c r="C25" s="210">
        <v>863000.0</v>
      </c>
      <c r="D25" s="210">
        <v>1256000.0</v>
      </c>
      <c r="E25" s="210">
        <v>1256000.0</v>
      </c>
      <c r="F25" s="210"/>
      <c r="G25" s="210"/>
      <c r="H25" s="210"/>
      <c r="I25" s="210"/>
      <c r="J25" s="210"/>
      <c r="K25" s="210"/>
      <c r="L25" s="210"/>
      <c r="M25" s="211"/>
      <c r="N25" s="211"/>
      <c r="O25" s="211"/>
      <c r="P25" s="211"/>
      <c r="Q25" s="211"/>
      <c r="R25" s="210"/>
      <c r="S25" s="211"/>
      <c r="T25" s="211"/>
      <c r="U25" s="211"/>
      <c r="V25" s="211"/>
      <c r="W25" s="210" t="s">
        <v>536</v>
      </c>
      <c r="X25" s="199">
        <v>1256000.0</v>
      </c>
      <c r="Y25" s="199"/>
      <c r="Z25" s="212"/>
      <c r="AA25" s="212"/>
      <c r="AB25" s="212"/>
      <c r="AC25" s="212"/>
      <c r="AD25" s="212" t="e">
        <v>#N/A</v>
      </c>
      <c r="AE25" s="212" t="e">
        <v>#N/A</v>
      </c>
      <c r="AF25" s="213" t="str">
        <f>Table1[[#This Row],[2019 Scope 1 (MeT Co2)]]</f>
        <v>#ERROR!</v>
      </c>
      <c r="AG25" s="214" t="str">
        <f t="shared" si="1"/>
        <v>#ERROR!</v>
      </c>
      <c r="AH25" s="215" t="str">
        <f t="shared" si="2"/>
        <v>#ERROR!</v>
      </c>
      <c r="AI25" s="209"/>
      <c r="AJ25" s="209"/>
      <c r="AK25" s="212" t="e">
        <v>#N/A</v>
      </c>
      <c r="AL25" s="212" t="e">
        <v>#N/A</v>
      </c>
      <c r="AM25" s="213" t="str">
        <f>Table1[[#This Row],[2019 Scope 2 ]]</f>
        <v>#ERROR!</v>
      </c>
      <c r="AN25" s="214" t="str">
        <f t="shared" si="3"/>
        <v>#ERROR!</v>
      </c>
      <c r="AO25" s="215" t="str">
        <f t="shared" si="4"/>
        <v>#ERROR!</v>
      </c>
      <c r="AP25" s="214" t="str">
        <f t="shared" si="5"/>
        <v>#ERROR!</v>
      </c>
      <c r="AQ25" s="215" t="str">
        <f t="shared" si="6"/>
        <v>#ERROR!</v>
      </c>
      <c r="AR25" s="216" t="str">
        <f>Table1[[#This Row],[2019 Scope 3 ]]</f>
        <v>#ERROR!</v>
      </c>
      <c r="AS25" s="217" t="str">
        <f t="shared" si="7"/>
        <v>#ERROR!</v>
      </c>
      <c r="AT25" s="218" t="str">
        <f t="shared" si="8"/>
        <v>#ERROR!</v>
      </c>
    </row>
    <row r="26" ht="12.75" customHeight="1">
      <c r="A26" s="5">
        <f>companies!A26</f>
        <v>25</v>
      </c>
      <c r="B26" s="199" t="s">
        <v>1254</v>
      </c>
      <c r="C26" s="210" t="s">
        <v>536</v>
      </c>
      <c r="D26" s="210" t="s">
        <v>536</v>
      </c>
      <c r="E26" s="210" t="s">
        <v>536</v>
      </c>
      <c r="F26" s="210"/>
      <c r="G26" s="210"/>
      <c r="H26" s="210"/>
      <c r="I26" s="210"/>
      <c r="J26" s="210"/>
      <c r="K26" s="210"/>
      <c r="L26" s="210"/>
      <c r="M26" s="211"/>
      <c r="N26" s="211"/>
      <c r="O26" s="211"/>
      <c r="P26" s="211"/>
      <c r="Q26" s="211"/>
      <c r="R26" s="210"/>
      <c r="S26" s="211"/>
      <c r="T26" s="211"/>
      <c r="U26" s="211"/>
      <c r="V26" s="211"/>
      <c r="W26" s="210" t="s">
        <v>536</v>
      </c>
      <c r="X26" s="199">
        <v>0.0</v>
      </c>
      <c r="Y26" s="199"/>
      <c r="Z26" s="212"/>
      <c r="AA26" s="212"/>
      <c r="AB26" s="212"/>
      <c r="AC26" s="212"/>
      <c r="AD26" s="212" t="e">
        <v>#N/A</v>
      </c>
      <c r="AE26" s="212" t="e">
        <v>#N/A</v>
      </c>
      <c r="AF26" s="213" t="str">
        <f>Table1[[#This Row],[2019 Scope 1 (MeT Co2)]]</f>
        <v>#ERROR!</v>
      </c>
      <c r="AG26" s="214" t="str">
        <f t="shared" si="1"/>
        <v>#ERROR!</v>
      </c>
      <c r="AH26" s="215" t="str">
        <f t="shared" si="2"/>
        <v>#ERROR!</v>
      </c>
      <c r="AI26" s="209"/>
      <c r="AJ26" s="209"/>
      <c r="AK26" s="212" t="e">
        <v>#N/A</v>
      </c>
      <c r="AL26" s="212" t="e">
        <v>#N/A</v>
      </c>
      <c r="AM26" s="213" t="str">
        <f>Table1[[#This Row],[2019 Scope 2 ]]</f>
        <v>#ERROR!</v>
      </c>
      <c r="AN26" s="214" t="str">
        <f t="shared" si="3"/>
        <v>#ERROR!</v>
      </c>
      <c r="AO26" s="215" t="str">
        <f t="shared" si="4"/>
        <v>#ERROR!</v>
      </c>
      <c r="AP26" s="214" t="str">
        <f t="shared" si="5"/>
        <v>#ERROR!</v>
      </c>
      <c r="AQ26" s="215" t="str">
        <f t="shared" si="6"/>
        <v>#ERROR!</v>
      </c>
      <c r="AR26" s="216" t="str">
        <f>Table1[[#This Row],[2019 Scope 3 ]]</f>
        <v>#ERROR!</v>
      </c>
      <c r="AS26" s="217" t="str">
        <f t="shared" si="7"/>
        <v>#ERROR!</v>
      </c>
      <c r="AT26" s="218" t="str">
        <f t="shared" si="8"/>
        <v>#ERROR!</v>
      </c>
    </row>
    <row r="27" ht="12.75" customHeight="1">
      <c r="A27" s="5">
        <f>companies!A27</f>
        <v>26</v>
      </c>
      <c r="B27" s="199" t="s">
        <v>1254</v>
      </c>
      <c r="C27" s="210">
        <v>5.6E7</v>
      </c>
      <c r="D27" s="210">
        <v>3000000.0</v>
      </c>
      <c r="E27" s="210">
        <v>3000000.0</v>
      </c>
      <c r="F27" s="210"/>
      <c r="G27" s="210"/>
      <c r="H27" s="210"/>
      <c r="I27" s="210"/>
      <c r="J27" s="210"/>
      <c r="K27" s="210"/>
      <c r="L27" s="210"/>
      <c r="M27" s="211"/>
      <c r="N27" s="211"/>
      <c r="O27" s="211"/>
      <c r="P27" s="211"/>
      <c r="Q27" s="211"/>
      <c r="R27" s="210"/>
      <c r="S27" s="211"/>
      <c r="T27" s="211"/>
      <c r="U27" s="211"/>
      <c r="V27" s="211"/>
      <c r="W27" s="210">
        <v>3.77E8</v>
      </c>
      <c r="X27" s="199">
        <v>3000000.0</v>
      </c>
      <c r="Y27" s="199">
        <v>4.36E8</v>
      </c>
      <c r="Z27" s="212"/>
      <c r="AA27" s="212"/>
      <c r="AB27" s="212"/>
      <c r="AC27" s="212"/>
      <c r="AD27" s="212" t="e">
        <v>#N/A</v>
      </c>
      <c r="AE27" s="212" t="e">
        <v>#N/A</v>
      </c>
      <c r="AF27" s="213" t="str">
        <f>Table1[[#This Row],[2019 Scope 1 (MeT Co2)]]</f>
        <v>#ERROR!</v>
      </c>
      <c r="AG27" s="214" t="str">
        <f t="shared" si="1"/>
        <v>#ERROR!</v>
      </c>
      <c r="AH27" s="215" t="str">
        <f t="shared" si="2"/>
        <v>#ERROR!</v>
      </c>
      <c r="AI27" s="209"/>
      <c r="AJ27" s="209"/>
      <c r="AK27" s="212" t="e">
        <v>#N/A</v>
      </c>
      <c r="AL27" s="212" t="e">
        <v>#N/A</v>
      </c>
      <c r="AM27" s="213" t="str">
        <f>Table1[[#This Row],[2019 Scope 2 ]]</f>
        <v>#ERROR!</v>
      </c>
      <c r="AN27" s="214" t="str">
        <f t="shared" si="3"/>
        <v>#ERROR!</v>
      </c>
      <c r="AO27" s="215" t="str">
        <f t="shared" si="4"/>
        <v>#ERROR!</v>
      </c>
      <c r="AP27" s="214" t="str">
        <f t="shared" si="5"/>
        <v>#ERROR!</v>
      </c>
      <c r="AQ27" s="215" t="str">
        <f t="shared" si="6"/>
        <v>#ERROR!</v>
      </c>
      <c r="AR27" s="216" t="str">
        <f>Table1[[#This Row],[2019 Scope 3 ]]</f>
        <v>#ERROR!</v>
      </c>
      <c r="AS27" s="217" t="str">
        <f t="shared" si="7"/>
        <v>#ERROR!</v>
      </c>
      <c r="AT27" s="218" t="str">
        <f t="shared" si="8"/>
        <v>#ERROR!</v>
      </c>
    </row>
    <row r="28" ht="12.75" customHeight="1">
      <c r="A28" s="5">
        <f>companies!A28</f>
        <v>27</v>
      </c>
      <c r="B28" s="199" t="s">
        <v>1254</v>
      </c>
      <c r="C28" s="210">
        <v>41926.0</v>
      </c>
      <c r="D28" s="210">
        <v>223558.0</v>
      </c>
      <c r="E28" s="210">
        <v>223558.0</v>
      </c>
      <c r="F28" s="210"/>
      <c r="G28" s="210"/>
      <c r="H28" s="210"/>
      <c r="I28" s="210"/>
      <c r="J28" s="210"/>
      <c r="K28" s="210"/>
      <c r="L28" s="210"/>
      <c r="M28" s="211"/>
      <c r="N28" s="211"/>
      <c r="O28" s="211"/>
      <c r="P28" s="211"/>
      <c r="Q28" s="211"/>
      <c r="R28" s="210"/>
      <c r="S28" s="211"/>
      <c r="T28" s="211"/>
      <c r="U28" s="211"/>
      <c r="V28" s="211"/>
      <c r="W28" s="210">
        <v>3.4545815E7</v>
      </c>
      <c r="X28" s="199">
        <v>223558.0</v>
      </c>
      <c r="Y28" s="199">
        <v>3.4811299E7</v>
      </c>
      <c r="Z28" s="199"/>
      <c r="AA28" s="199"/>
      <c r="AB28" s="199"/>
      <c r="AC28" s="199"/>
      <c r="AD28" s="212" t="s">
        <v>683</v>
      </c>
      <c r="AE28" s="212" t="s">
        <v>683</v>
      </c>
      <c r="AF28" s="213" t="str">
        <f>Table1[[#This Row],[2019 Scope 1 (MeT Co2)]]</f>
        <v>#ERROR!</v>
      </c>
      <c r="AG28" s="214" t="str">
        <f t="shared" si="1"/>
        <v>#ERROR!</v>
      </c>
      <c r="AH28" s="215" t="str">
        <f t="shared" si="2"/>
        <v>#ERROR!</v>
      </c>
      <c r="AI28" s="209"/>
      <c r="AJ28" s="209"/>
      <c r="AK28" s="212" t="s">
        <v>683</v>
      </c>
      <c r="AL28" s="212" t="s">
        <v>683</v>
      </c>
      <c r="AM28" s="213" t="str">
        <f>Table1[[#This Row],[2019 Scope 2 ]]</f>
        <v>#ERROR!</v>
      </c>
      <c r="AN28" s="214" t="str">
        <f t="shared" si="3"/>
        <v>#ERROR!</v>
      </c>
      <c r="AO28" s="215" t="str">
        <f t="shared" si="4"/>
        <v>#ERROR!</v>
      </c>
      <c r="AP28" s="214" t="str">
        <f t="shared" si="5"/>
        <v>#ERROR!</v>
      </c>
      <c r="AQ28" s="215" t="str">
        <f t="shared" si="6"/>
        <v>#ERROR!</v>
      </c>
      <c r="AR28" s="216" t="str">
        <f>Table1[[#This Row],[2019 Scope 3 ]]</f>
        <v>#ERROR!</v>
      </c>
      <c r="AS28" s="217" t="str">
        <f t="shared" si="7"/>
        <v>#ERROR!</v>
      </c>
      <c r="AT28" s="218" t="str">
        <f t="shared" si="8"/>
        <v>#ERROR!</v>
      </c>
      <c r="BI28" s="4">
        <v>3329.0</v>
      </c>
    </row>
    <row r="29" ht="12.75" customHeight="1">
      <c r="A29" s="5">
        <f>companies!A29</f>
        <v>28</v>
      </c>
      <c r="B29" s="199" t="s">
        <v>1254</v>
      </c>
      <c r="C29" s="210">
        <v>20951.0</v>
      </c>
      <c r="D29" s="210">
        <v>677636.0</v>
      </c>
      <c r="E29" s="210">
        <v>677636.0</v>
      </c>
      <c r="F29" s="210"/>
      <c r="G29" s="210"/>
      <c r="H29" s="210"/>
      <c r="I29" s="210"/>
      <c r="J29" s="210"/>
      <c r="K29" s="210"/>
      <c r="L29" s="210"/>
      <c r="M29" s="211"/>
      <c r="N29" s="211"/>
      <c r="O29" s="211"/>
      <c r="P29" s="211"/>
      <c r="Q29" s="211"/>
      <c r="R29" s="210"/>
      <c r="S29" s="211"/>
      <c r="T29" s="211"/>
      <c r="U29" s="211"/>
      <c r="V29" s="211"/>
      <c r="W29" s="210">
        <v>1.877061697E7</v>
      </c>
      <c r="X29" s="199">
        <v>677636.0</v>
      </c>
      <c r="Y29" s="199">
        <v>1.946920397E7</v>
      </c>
      <c r="Z29" s="199"/>
      <c r="AA29" s="199"/>
      <c r="AB29" s="199"/>
      <c r="AC29" s="199"/>
      <c r="AD29" s="212" t="s">
        <v>683</v>
      </c>
      <c r="AE29" s="212" t="s">
        <v>683</v>
      </c>
      <c r="AF29" s="213" t="str">
        <f>Table1[[#This Row],[2019 Scope 1 (MeT Co2)]]</f>
        <v>#ERROR!</v>
      </c>
      <c r="AG29" s="214" t="str">
        <f t="shared" si="1"/>
        <v>#ERROR!</v>
      </c>
      <c r="AH29" s="215" t="str">
        <f t="shared" si="2"/>
        <v>#ERROR!</v>
      </c>
      <c r="AI29" s="209"/>
      <c r="AJ29" s="209"/>
      <c r="AK29" s="212" t="s">
        <v>683</v>
      </c>
      <c r="AL29" s="212" t="s">
        <v>683</v>
      </c>
      <c r="AM29" s="213" t="str">
        <f>Table1[[#This Row],[2019 Scope 2 ]]</f>
        <v>#ERROR!</v>
      </c>
      <c r="AN29" s="214" t="str">
        <f t="shared" si="3"/>
        <v>#ERROR!</v>
      </c>
      <c r="AO29" s="215" t="str">
        <f t="shared" si="4"/>
        <v>#ERROR!</v>
      </c>
      <c r="AP29" s="214" t="str">
        <f t="shared" si="5"/>
        <v>#ERROR!</v>
      </c>
      <c r="AQ29" s="215" t="str">
        <f t="shared" si="6"/>
        <v>#ERROR!</v>
      </c>
      <c r="AR29" s="216" t="str">
        <f>Table1[[#This Row],[2019 Scope 3 ]]</f>
        <v>#ERROR!</v>
      </c>
      <c r="AS29" s="217" t="str">
        <f t="shared" si="7"/>
        <v>#ERROR!</v>
      </c>
      <c r="AT29" s="218" t="str">
        <f t="shared" si="8"/>
        <v>#ERROR!</v>
      </c>
      <c r="BI29" s="4">
        <v>3398.0</v>
      </c>
    </row>
    <row r="30" ht="12.75" customHeight="1">
      <c r="A30" s="5">
        <f>companies!A30</f>
        <v>29</v>
      </c>
      <c r="B30" s="199" t="s">
        <v>1254</v>
      </c>
      <c r="C30" s="210">
        <v>1780000.0</v>
      </c>
      <c r="D30" s="210">
        <v>3760000.0</v>
      </c>
      <c r="E30" s="210">
        <v>3760000.0</v>
      </c>
      <c r="F30" s="210"/>
      <c r="G30" s="210"/>
      <c r="H30" s="210"/>
      <c r="I30" s="210"/>
      <c r="J30" s="210"/>
      <c r="K30" s="210"/>
      <c r="L30" s="210"/>
      <c r="M30" s="211"/>
      <c r="N30" s="211"/>
      <c r="O30" s="211"/>
      <c r="P30" s="211"/>
      <c r="Q30" s="211"/>
      <c r="R30" s="210"/>
      <c r="S30" s="211"/>
      <c r="T30" s="211"/>
      <c r="U30" s="211"/>
      <c r="V30" s="211"/>
      <c r="W30" s="210" t="s">
        <v>536</v>
      </c>
      <c r="X30" s="199">
        <v>3760000.0</v>
      </c>
      <c r="Y30" s="199"/>
      <c r="Z30" s="199"/>
      <c r="AA30" s="199"/>
      <c r="AB30" s="199"/>
      <c r="AC30" s="199"/>
      <c r="AD30" s="212" t="s">
        <v>683</v>
      </c>
      <c r="AE30" s="212" t="s">
        <v>683</v>
      </c>
      <c r="AF30" s="213" t="str">
        <f>Table1[[#This Row],[2019 Scope 1 (MeT Co2)]]</f>
        <v>#ERROR!</v>
      </c>
      <c r="AG30" s="214" t="str">
        <f t="shared" si="1"/>
        <v>#ERROR!</v>
      </c>
      <c r="AH30" s="219" t="str">
        <f t="shared" si="2"/>
        <v>#ERROR!</v>
      </c>
      <c r="AI30" s="209"/>
      <c r="AJ30" s="209"/>
      <c r="AK30" s="212" t="s">
        <v>683</v>
      </c>
      <c r="AL30" s="212" t="s">
        <v>683</v>
      </c>
      <c r="AM30" s="213" t="str">
        <f>Table1[[#This Row],[2019 Scope 2 ]]</f>
        <v>#ERROR!</v>
      </c>
      <c r="AN30" s="214" t="str">
        <f t="shared" si="3"/>
        <v>#ERROR!</v>
      </c>
      <c r="AO30" s="219" t="str">
        <f t="shared" si="4"/>
        <v>#ERROR!</v>
      </c>
      <c r="AP30" s="214" t="str">
        <f t="shared" si="5"/>
        <v>#ERROR!</v>
      </c>
      <c r="AQ30" s="219" t="str">
        <f t="shared" si="6"/>
        <v>#ERROR!</v>
      </c>
      <c r="AR30" s="216" t="str">
        <f>Table1[[#This Row],[2019 Scope 3 ]]</f>
        <v>#ERROR!</v>
      </c>
      <c r="AS30" s="217" t="str">
        <f t="shared" si="7"/>
        <v>#ERROR!</v>
      </c>
      <c r="AT30" s="218" t="str">
        <f t="shared" si="8"/>
        <v>#ERROR!</v>
      </c>
      <c r="BI30" s="199">
        <v>3564.0</v>
      </c>
    </row>
    <row r="31" ht="12.75" customHeight="1">
      <c r="A31" s="5">
        <f>companies!A31</f>
        <v>30</v>
      </c>
      <c r="B31" s="199" t="s">
        <v>1254</v>
      </c>
      <c r="C31" s="210">
        <v>195000.0</v>
      </c>
      <c r="D31" s="210">
        <v>316000.0</v>
      </c>
      <c r="E31" s="210">
        <v>316000.0</v>
      </c>
      <c r="F31" s="210"/>
      <c r="G31" s="210"/>
      <c r="H31" s="210"/>
      <c r="I31" s="210"/>
      <c r="J31" s="210"/>
      <c r="K31" s="210"/>
      <c r="L31" s="210"/>
      <c r="M31" s="211"/>
      <c r="N31" s="211"/>
      <c r="O31" s="211"/>
      <c r="P31" s="211"/>
      <c r="Q31" s="211"/>
      <c r="R31" s="210"/>
      <c r="S31" s="211"/>
      <c r="T31" s="211"/>
      <c r="U31" s="211"/>
      <c r="V31" s="211"/>
      <c r="W31" s="210">
        <v>5.157E7</v>
      </c>
      <c r="X31" s="199">
        <v>316000.0</v>
      </c>
      <c r="Y31" s="199">
        <v>5.2081E7</v>
      </c>
      <c r="Z31" s="199"/>
      <c r="AA31" s="199"/>
      <c r="AB31" s="199"/>
      <c r="AC31" s="199"/>
      <c r="AD31" s="212" t="s">
        <v>683</v>
      </c>
      <c r="AE31" s="212" t="s">
        <v>683</v>
      </c>
      <c r="AF31" s="213" t="str">
        <f>Table1[[#This Row],[2019 Scope 1 (MeT Co2)]]</f>
        <v>#ERROR!</v>
      </c>
      <c r="AG31" s="214" t="str">
        <f t="shared" si="1"/>
        <v>#ERROR!</v>
      </c>
      <c r="AH31" s="215" t="str">
        <f t="shared" si="2"/>
        <v>#ERROR!</v>
      </c>
      <c r="AI31" s="209"/>
      <c r="AJ31" s="209"/>
      <c r="AK31" s="212" t="s">
        <v>683</v>
      </c>
      <c r="AL31" s="212" t="s">
        <v>683</v>
      </c>
      <c r="AM31" s="213" t="str">
        <f>Table1[[#This Row],[2019 Scope 2 ]]</f>
        <v>#ERROR!</v>
      </c>
      <c r="AN31" s="214" t="str">
        <f t="shared" si="3"/>
        <v>#ERROR!</v>
      </c>
      <c r="AO31" s="215" t="str">
        <f t="shared" si="4"/>
        <v>#ERROR!</v>
      </c>
      <c r="AP31" s="214" t="str">
        <f t="shared" si="5"/>
        <v>#ERROR!</v>
      </c>
      <c r="AQ31" s="215" t="str">
        <f t="shared" si="6"/>
        <v>#ERROR!</v>
      </c>
      <c r="AR31" s="216" t="str">
        <f>Table1[[#This Row],[2019 Scope 3 ]]</f>
        <v>#ERROR!</v>
      </c>
      <c r="AS31" s="217" t="str">
        <f t="shared" si="7"/>
        <v>#ERROR!</v>
      </c>
      <c r="AT31" s="218" t="str">
        <f t="shared" si="8"/>
        <v>#ERROR!</v>
      </c>
      <c r="BI31" s="199">
        <v>3551.0</v>
      </c>
    </row>
    <row r="32" ht="12.75" customHeight="1">
      <c r="A32" s="5">
        <f>companies!A32</f>
        <v>31</v>
      </c>
      <c r="B32" s="199" t="s">
        <v>1254</v>
      </c>
      <c r="C32" s="210">
        <v>513316.0</v>
      </c>
      <c r="D32" s="210">
        <v>1491298.0</v>
      </c>
      <c r="E32" s="210">
        <v>1491298.0</v>
      </c>
      <c r="F32" s="210"/>
      <c r="G32" s="210"/>
      <c r="H32" s="210"/>
      <c r="I32" s="210"/>
      <c r="J32" s="210"/>
      <c r="K32" s="210"/>
      <c r="L32" s="210"/>
      <c r="M32" s="211"/>
      <c r="N32" s="211"/>
      <c r="O32" s="211"/>
      <c r="P32" s="211"/>
      <c r="Q32" s="211"/>
      <c r="R32" s="210"/>
      <c r="S32" s="211"/>
      <c r="T32" s="211"/>
      <c r="U32" s="211"/>
      <c r="V32" s="211"/>
      <c r="W32" s="210" t="s">
        <v>536</v>
      </c>
      <c r="X32" s="199">
        <v>1491298.0</v>
      </c>
      <c r="Y32" s="199"/>
      <c r="Z32" s="199"/>
      <c r="AA32" s="199"/>
      <c r="AB32" s="199"/>
      <c r="AC32" s="199"/>
      <c r="AD32" s="212" t="s">
        <v>683</v>
      </c>
      <c r="AE32" s="212" t="s">
        <v>683</v>
      </c>
      <c r="AF32" s="213" t="str">
        <f>Table1[[#This Row],[2019 Scope 1 (MeT Co2)]]</f>
        <v>#ERROR!</v>
      </c>
      <c r="AG32" s="214" t="str">
        <f t="shared" si="1"/>
        <v>#ERROR!</v>
      </c>
      <c r="AH32" s="215" t="str">
        <f t="shared" si="2"/>
        <v>#ERROR!</v>
      </c>
      <c r="AI32" s="209"/>
      <c r="AJ32" s="209"/>
      <c r="AK32" s="212" t="s">
        <v>683</v>
      </c>
      <c r="AL32" s="212" t="s">
        <v>683</v>
      </c>
      <c r="AM32" s="213" t="str">
        <f>Table1[[#This Row],[2019 Scope 2 ]]</f>
        <v>#ERROR!</v>
      </c>
      <c r="AN32" s="214" t="str">
        <f t="shared" si="3"/>
        <v>#ERROR!</v>
      </c>
      <c r="AO32" s="215" t="str">
        <f t="shared" si="4"/>
        <v>#ERROR!</v>
      </c>
      <c r="AP32" s="214" t="str">
        <f t="shared" si="5"/>
        <v>#ERROR!</v>
      </c>
      <c r="AQ32" s="215" t="str">
        <f t="shared" si="6"/>
        <v>#ERROR!</v>
      </c>
      <c r="AR32" s="216" t="str">
        <f>Table1[[#This Row],[2019 Scope 3 ]]</f>
        <v>#ERROR!</v>
      </c>
      <c r="AS32" s="217" t="str">
        <f t="shared" si="7"/>
        <v>#ERROR!</v>
      </c>
      <c r="AT32" s="218" t="str">
        <f t="shared" si="8"/>
        <v>#ERROR!</v>
      </c>
      <c r="BI32" s="4">
        <v>3635.0</v>
      </c>
    </row>
    <row r="33" ht="12.75" customHeight="1">
      <c r="A33" s="5">
        <f>companies!A33</f>
        <v>32</v>
      </c>
      <c r="B33" s="199" t="s">
        <v>1254</v>
      </c>
      <c r="C33" s="210">
        <v>1.97E7</v>
      </c>
      <c r="D33" s="210">
        <v>1200000.0</v>
      </c>
      <c r="E33" s="210">
        <v>1200000.0</v>
      </c>
      <c r="F33" s="210"/>
      <c r="G33" s="210"/>
      <c r="H33" s="210"/>
      <c r="I33" s="210"/>
      <c r="J33" s="210"/>
      <c r="K33" s="210"/>
      <c r="L33" s="210"/>
      <c r="M33" s="211"/>
      <c r="N33" s="211"/>
      <c r="O33" s="211"/>
      <c r="P33" s="211"/>
      <c r="Q33" s="211"/>
      <c r="R33" s="210"/>
      <c r="S33" s="211"/>
      <c r="T33" s="211"/>
      <c r="U33" s="211"/>
      <c r="V33" s="211"/>
      <c r="W33" s="210" t="s">
        <v>536</v>
      </c>
      <c r="X33" s="199">
        <v>1200000.0</v>
      </c>
      <c r="Y33" s="199"/>
      <c r="Z33" s="212"/>
      <c r="AA33" s="212"/>
      <c r="AB33" s="212"/>
      <c r="AC33" s="212"/>
      <c r="AD33" s="212" t="s">
        <v>683</v>
      </c>
      <c r="AE33" s="212" t="s">
        <v>683</v>
      </c>
      <c r="AF33" s="213" t="str">
        <f>Table1[[#This Row],[2019 Scope 1 (MeT Co2)]]</f>
        <v>#ERROR!</v>
      </c>
      <c r="AG33" s="214" t="str">
        <f t="shared" si="1"/>
        <v>#ERROR!</v>
      </c>
      <c r="AH33" s="215" t="str">
        <f t="shared" si="2"/>
        <v>#ERROR!</v>
      </c>
      <c r="AI33" s="209"/>
      <c r="AJ33" s="209"/>
      <c r="AK33" s="212" t="s">
        <v>683</v>
      </c>
      <c r="AL33" s="212" t="s">
        <v>683</v>
      </c>
      <c r="AM33" s="213" t="str">
        <f>Table1[[#This Row],[2019 Scope 2 ]]</f>
        <v>#ERROR!</v>
      </c>
      <c r="AN33" s="214" t="str">
        <f t="shared" si="3"/>
        <v>#ERROR!</v>
      </c>
      <c r="AO33" s="215" t="str">
        <f t="shared" si="4"/>
        <v>#ERROR!</v>
      </c>
      <c r="AP33" s="214" t="str">
        <f t="shared" si="5"/>
        <v>#ERROR!</v>
      </c>
      <c r="AQ33" s="215" t="str">
        <f t="shared" si="6"/>
        <v>#ERROR!</v>
      </c>
      <c r="AR33" s="216" t="str">
        <f>Table1[[#This Row],[2019 Scope 3 ]]</f>
        <v>#ERROR!</v>
      </c>
      <c r="AS33" s="217" t="str">
        <f t="shared" si="7"/>
        <v>#ERROR!</v>
      </c>
      <c r="AT33" s="218" t="str">
        <f t="shared" si="8"/>
        <v>#ERROR!</v>
      </c>
      <c r="BI33" s="199">
        <v>3751.0</v>
      </c>
    </row>
    <row r="34" ht="12.75" customHeight="1">
      <c r="A34" s="5">
        <f>companies!A34</f>
        <v>33</v>
      </c>
      <c r="B34" s="199" t="s">
        <v>1254</v>
      </c>
      <c r="C34" s="210">
        <v>970138.0</v>
      </c>
      <c r="D34" s="210">
        <v>1388491.0</v>
      </c>
      <c r="E34" s="210">
        <v>1388491.0</v>
      </c>
      <c r="F34" s="210"/>
      <c r="G34" s="210"/>
      <c r="H34" s="210"/>
      <c r="I34" s="210"/>
      <c r="J34" s="210"/>
      <c r="K34" s="210"/>
      <c r="L34" s="210"/>
      <c r="M34" s="211"/>
      <c r="N34" s="211"/>
      <c r="O34" s="211"/>
      <c r="P34" s="211"/>
      <c r="Q34" s="211"/>
      <c r="R34" s="210"/>
      <c r="S34" s="211"/>
      <c r="T34" s="211"/>
      <c r="U34" s="211"/>
      <c r="V34" s="211"/>
      <c r="W34" s="210" t="s">
        <v>536</v>
      </c>
      <c r="X34" s="199">
        <v>1388491.0</v>
      </c>
      <c r="Y34" s="199"/>
      <c r="Z34" s="212"/>
      <c r="AA34" s="212"/>
      <c r="AB34" s="212"/>
      <c r="AC34" s="212"/>
      <c r="AD34" s="212" t="s">
        <v>1255</v>
      </c>
      <c r="AE34" s="212" t="s">
        <v>1256</v>
      </c>
      <c r="AF34" s="213" t="str">
        <f>Table1[[#This Row],[2019 Scope 1 (MeT Co2)]]</f>
        <v>#ERROR!</v>
      </c>
      <c r="AG34" s="214" t="str">
        <f t="shared" si="1"/>
        <v>#ERROR!</v>
      </c>
      <c r="AH34" s="215" t="str">
        <f t="shared" si="2"/>
        <v>#ERROR!</v>
      </c>
      <c r="AI34" s="209"/>
      <c r="AJ34" s="209"/>
      <c r="AK34" s="212" t="s">
        <v>1255</v>
      </c>
      <c r="AL34" s="212" t="s">
        <v>1256</v>
      </c>
      <c r="AM34" s="213" t="str">
        <f>Table1[[#This Row],[2019 Scope 2 ]]</f>
        <v>#ERROR!</v>
      </c>
      <c r="AN34" s="214" t="str">
        <f t="shared" si="3"/>
        <v>#ERROR!</v>
      </c>
      <c r="AO34" s="215" t="str">
        <f t="shared" si="4"/>
        <v>#ERROR!</v>
      </c>
      <c r="AP34" s="214" t="str">
        <f t="shared" si="5"/>
        <v>#ERROR!</v>
      </c>
      <c r="AQ34" s="215" t="str">
        <f t="shared" si="6"/>
        <v>#ERROR!</v>
      </c>
      <c r="AR34" s="216" t="str">
        <f>Table1[[#This Row],[2019 Scope 3 ]]</f>
        <v>#ERROR!</v>
      </c>
      <c r="AS34" s="217" t="str">
        <f t="shared" si="7"/>
        <v>#ERROR!</v>
      </c>
      <c r="AT34" s="218" t="str">
        <f t="shared" si="8"/>
        <v>#ERROR!</v>
      </c>
      <c r="BI34" s="4">
        <v>3944.0</v>
      </c>
    </row>
    <row r="35" ht="12.75" customHeight="1">
      <c r="A35" s="5">
        <f>companies!A35</f>
        <v>34</v>
      </c>
      <c r="B35" s="199" t="s">
        <v>1254</v>
      </c>
      <c r="C35" s="210">
        <v>206086.0</v>
      </c>
      <c r="D35" s="210">
        <v>1131013.0</v>
      </c>
      <c r="E35" s="210">
        <v>1131013.0</v>
      </c>
      <c r="F35" s="210"/>
      <c r="G35" s="210"/>
      <c r="H35" s="210"/>
      <c r="I35" s="210"/>
      <c r="J35" s="210"/>
      <c r="K35" s="210"/>
      <c r="L35" s="210"/>
      <c r="M35" s="211"/>
      <c r="N35" s="211"/>
      <c r="O35" s="211"/>
      <c r="P35" s="211"/>
      <c r="Q35" s="211"/>
      <c r="R35" s="210"/>
      <c r="S35" s="211"/>
      <c r="T35" s="211"/>
      <c r="U35" s="211"/>
      <c r="V35" s="211"/>
      <c r="W35" s="210">
        <v>2618841.0</v>
      </c>
      <c r="X35" s="199">
        <v>1131013.0</v>
      </c>
      <c r="Y35" s="199">
        <v>3955940.0</v>
      </c>
      <c r="Z35" s="212"/>
      <c r="AA35" s="212"/>
      <c r="AB35" s="212"/>
      <c r="AC35" s="212"/>
      <c r="AD35" s="212" t="s">
        <v>683</v>
      </c>
      <c r="AE35" s="212" t="s">
        <v>683</v>
      </c>
      <c r="AF35" s="213" t="str">
        <f>Table1[[#This Row],[2019 Scope 1 (MeT Co2)]]</f>
        <v>#ERROR!</v>
      </c>
      <c r="AG35" s="214" t="str">
        <f t="shared" si="1"/>
        <v>#ERROR!</v>
      </c>
      <c r="AH35" s="215" t="str">
        <f t="shared" si="2"/>
        <v>#ERROR!</v>
      </c>
      <c r="AI35" s="209"/>
      <c r="AJ35" s="209"/>
      <c r="AK35" s="212" t="s">
        <v>683</v>
      </c>
      <c r="AL35" s="212" t="s">
        <v>683</v>
      </c>
      <c r="AM35" s="213" t="str">
        <f>Table1[[#This Row],[2019 Scope 2 ]]</f>
        <v>#ERROR!</v>
      </c>
      <c r="AN35" s="214" t="str">
        <f t="shared" si="3"/>
        <v>#ERROR!</v>
      </c>
      <c r="AO35" s="215" t="str">
        <f t="shared" si="4"/>
        <v>#ERROR!</v>
      </c>
      <c r="AP35" s="214" t="str">
        <f t="shared" si="5"/>
        <v>#ERROR!</v>
      </c>
      <c r="AQ35" s="215" t="str">
        <f t="shared" si="6"/>
        <v>#ERROR!</v>
      </c>
      <c r="AR35" s="216" t="str">
        <f>Table1[[#This Row],[2019 Scope 3 ]]</f>
        <v>#ERROR!</v>
      </c>
      <c r="AS35" s="217" t="str">
        <f t="shared" si="7"/>
        <v>#ERROR!</v>
      </c>
      <c r="AT35" s="218" t="str">
        <f t="shared" si="8"/>
        <v>#ERROR!</v>
      </c>
      <c r="BI35" s="199">
        <v>4151.0</v>
      </c>
    </row>
    <row r="36" ht="12.75" customHeight="1">
      <c r="A36" s="5">
        <f>companies!A36</f>
        <v>35</v>
      </c>
      <c r="B36" s="199" t="s">
        <v>1254</v>
      </c>
      <c r="C36" s="210" t="s">
        <v>536</v>
      </c>
      <c r="D36" s="210" t="s">
        <v>536</v>
      </c>
      <c r="E36" s="210" t="s">
        <v>536</v>
      </c>
      <c r="F36" s="210"/>
      <c r="G36" s="210"/>
      <c r="H36" s="210"/>
      <c r="I36" s="210"/>
      <c r="J36" s="210"/>
      <c r="K36" s="210"/>
      <c r="L36" s="210"/>
      <c r="M36" s="211"/>
      <c r="N36" s="211"/>
      <c r="O36" s="211"/>
      <c r="P36" s="211"/>
      <c r="Q36" s="211"/>
      <c r="R36" s="210"/>
      <c r="S36" s="211"/>
      <c r="T36" s="211"/>
      <c r="U36" s="211"/>
      <c r="V36" s="211"/>
      <c r="W36" s="210" t="s">
        <v>536</v>
      </c>
      <c r="X36" s="199">
        <v>0.0</v>
      </c>
      <c r="Y36" s="199"/>
      <c r="Z36" s="212"/>
      <c r="AA36" s="212"/>
      <c r="AB36" s="212"/>
      <c r="AC36" s="212"/>
      <c r="AD36" s="212" t="e">
        <v>#N/A</v>
      </c>
      <c r="AE36" s="212" t="e">
        <v>#N/A</v>
      </c>
      <c r="AF36" s="213" t="str">
        <f>Table1[[#This Row],[2019 Scope 1 (MeT Co2)]]</f>
        <v>#ERROR!</v>
      </c>
      <c r="AG36" s="214" t="str">
        <f t="shared" si="1"/>
        <v>#ERROR!</v>
      </c>
      <c r="AH36" s="215" t="str">
        <f t="shared" si="2"/>
        <v>#ERROR!</v>
      </c>
      <c r="AI36" s="209"/>
      <c r="AJ36" s="209"/>
      <c r="AK36" s="212" t="e">
        <v>#N/A</v>
      </c>
      <c r="AL36" s="212" t="e">
        <v>#N/A</v>
      </c>
      <c r="AM36" s="213" t="str">
        <f>Table1[[#This Row],[2019 Scope 2 ]]</f>
        <v>#ERROR!</v>
      </c>
      <c r="AN36" s="214" t="str">
        <f t="shared" si="3"/>
        <v>#ERROR!</v>
      </c>
      <c r="AO36" s="215" t="str">
        <f t="shared" si="4"/>
        <v>#ERROR!</v>
      </c>
      <c r="AP36" s="214" t="str">
        <f t="shared" si="5"/>
        <v>#ERROR!</v>
      </c>
      <c r="AQ36" s="215" t="str">
        <f t="shared" si="6"/>
        <v>#ERROR!</v>
      </c>
      <c r="AR36" s="216" t="str">
        <f>Table1[[#This Row],[2019 Scope 3 ]]</f>
        <v>#ERROR!</v>
      </c>
      <c r="AS36" s="217" t="str">
        <f t="shared" si="7"/>
        <v>#ERROR!</v>
      </c>
      <c r="AT36" s="218" t="str">
        <f t="shared" si="8"/>
        <v>#ERROR!</v>
      </c>
    </row>
    <row r="37" ht="12.75" customHeight="1">
      <c r="A37" s="5">
        <f>companies!A37</f>
        <v>36</v>
      </c>
      <c r="B37" s="199" t="s">
        <v>1254</v>
      </c>
      <c r="C37" s="210">
        <v>2.576054E7</v>
      </c>
      <c r="D37" s="210">
        <v>8814966.0</v>
      </c>
      <c r="E37" s="210">
        <v>8814966.0</v>
      </c>
      <c r="F37" s="210"/>
      <c r="G37" s="210"/>
      <c r="H37" s="210"/>
      <c r="I37" s="210"/>
      <c r="J37" s="210"/>
      <c r="K37" s="210"/>
      <c r="L37" s="210"/>
      <c r="M37" s="211"/>
      <c r="N37" s="211"/>
      <c r="O37" s="211"/>
      <c r="P37" s="211"/>
      <c r="Q37" s="211"/>
      <c r="R37" s="210"/>
      <c r="S37" s="211"/>
      <c r="T37" s="211"/>
      <c r="U37" s="211"/>
      <c r="V37" s="211"/>
      <c r="W37" s="210">
        <v>7.8894E7</v>
      </c>
      <c r="X37" s="199">
        <v>8814966.0</v>
      </c>
      <c r="Y37" s="199">
        <v>1.13469506E8</v>
      </c>
      <c r="Z37" s="199"/>
      <c r="AA37" s="199"/>
      <c r="AB37" s="199"/>
      <c r="AC37" s="199"/>
      <c r="AD37" s="212" t="s">
        <v>1255</v>
      </c>
      <c r="AE37" s="212" t="s">
        <v>1256</v>
      </c>
      <c r="AF37" s="213" t="str">
        <f>Table1[[#This Row],[2019 Scope 1 (MeT Co2)]]</f>
        <v>#ERROR!</v>
      </c>
      <c r="AG37" s="214" t="str">
        <f t="shared" si="1"/>
        <v>#ERROR!</v>
      </c>
      <c r="AH37" s="215" t="str">
        <f t="shared" si="2"/>
        <v>#ERROR!</v>
      </c>
      <c r="AI37" s="209"/>
      <c r="AJ37" s="209"/>
      <c r="AK37" s="212" t="s">
        <v>1255</v>
      </c>
      <c r="AL37" s="212" t="s">
        <v>1256</v>
      </c>
      <c r="AM37" s="213" t="str">
        <f>Table1[[#This Row],[2019 Scope 2 ]]</f>
        <v>#ERROR!</v>
      </c>
      <c r="AN37" s="214" t="str">
        <f t="shared" si="3"/>
        <v>#ERROR!</v>
      </c>
      <c r="AO37" s="215" t="str">
        <f t="shared" si="4"/>
        <v>#ERROR!</v>
      </c>
      <c r="AP37" s="214" t="str">
        <f t="shared" si="5"/>
        <v>#ERROR!</v>
      </c>
      <c r="AQ37" s="215" t="str">
        <f t="shared" si="6"/>
        <v>#ERROR!</v>
      </c>
      <c r="AR37" s="216" t="str">
        <f>Table1[[#This Row],[2019 Scope 3 ]]</f>
        <v>#ERROR!</v>
      </c>
      <c r="AS37" s="217" t="str">
        <f t="shared" si="7"/>
        <v>#ERROR!</v>
      </c>
      <c r="AT37" s="218" t="str">
        <f t="shared" si="8"/>
        <v>#ERROR!</v>
      </c>
      <c r="BI37" s="25">
        <v>4826.0</v>
      </c>
    </row>
    <row r="38" ht="12.75" customHeight="1">
      <c r="A38" s="5">
        <f>companies!A38</f>
        <v>37</v>
      </c>
      <c r="B38" s="199" t="s">
        <v>1254</v>
      </c>
      <c r="C38" s="210">
        <v>9.52134E7</v>
      </c>
      <c r="D38" s="210">
        <v>0.0</v>
      </c>
      <c r="E38" s="210">
        <v>0.0</v>
      </c>
      <c r="F38" s="210"/>
      <c r="G38" s="210"/>
      <c r="H38" s="210"/>
      <c r="I38" s="210"/>
      <c r="J38" s="210"/>
      <c r="K38" s="210"/>
      <c r="L38" s="210"/>
      <c r="M38" s="211"/>
      <c r="N38" s="211"/>
      <c r="O38" s="211"/>
      <c r="P38" s="211"/>
      <c r="Q38" s="211"/>
      <c r="R38" s="210"/>
      <c r="S38" s="211"/>
      <c r="T38" s="211"/>
      <c r="U38" s="211"/>
      <c r="V38" s="211"/>
      <c r="W38" s="210">
        <v>1.594808E7</v>
      </c>
      <c r="X38" s="199" t="b">
        <v>0</v>
      </c>
      <c r="Y38" s="199">
        <v>1.1116148E8</v>
      </c>
      <c r="Z38" s="212"/>
      <c r="AA38" s="212"/>
      <c r="AB38" s="212"/>
      <c r="AC38" s="212"/>
      <c r="AD38" s="212" t="s">
        <v>683</v>
      </c>
      <c r="AE38" s="212" t="s">
        <v>683</v>
      </c>
      <c r="AF38" s="213" t="str">
        <f>Table1[[#This Row],[2019 Scope 1 (MeT Co2)]]</f>
        <v>#ERROR!</v>
      </c>
      <c r="AG38" s="214" t="str">
        <f t="shared" si="1"/>
        <v>#ERROR!</v>
      </c>
      <c r="AH38" s="219" t="str">
        <f t="shared" si="2"/>
        <v>#ERROR!</v>
      </c>
      <c r="AI38" s="209"/>
      <c r="AJ38" s="209"/>
      <c r="AK38" s="212" t="s">
        <v>683</v>
      </c>
      <c r="AL38" s="212" t="s">
        <v>683</v>
      </c>
      <c r="AM38" s="213" t="str">
        <f>Table1[[#This Row],[2019 Scope 2 ]]</f>
        <v>#ERROR!</v>
      </c>
      <c r="AN38" s="214" t="str">
        <f t="shared" si="3"/>
        <v>#ERROR!</v>
      </c>
      <c r="AO38" s="219" t="str">
        <f t="shared" si="4"/>
        <v>#ERROR!</v>
      </c>
      <c r="AP38" s="214" t="str">
        <f t="shared" si="5"/>
        <v>#ERROR!</v>
      </c>
      <c r="AQ38" s="219" t="str">
        <f t="shared" si="6"/>
        <v>#ERROR!</v>
      </c>
      <c r="AR38" s="216" t="str">
        <f>Table1[[#This Row],[2019 Scope 3 ]]</f>
        <v>#ERROR!</v>
      </c>
      <c r="AS38" s="217" t="str">
        <f t="shared" si="7"/>
        <v>#ERROR!</v>
      </c>
      <c r="AT38" s="218" t="str">
        <f t="shared" si="8"/>
        <v>#ERROR!</v>
      </c>
      <c r="BI38" s="199">
        <v>5052.0</v>
      </c>
    </row>
    <row r="39" ht="12.75" customHeight="1">
      <c r="A39" s="5">
        <f>companies!A39</f>
        <v>38</v>
      </c>
      <c r="B39" s="199" t="s">
        <v>1254</v>
      </c>
      <c r="C39" s="210" t="s">
        <v>536</v>
      </c>
      <c r="D39" s="210" t="s">
        <v>536</v>
      </c>
      <c r="E39" s="210" t="s">
        <v>536</v>
      </c>
      <c r="F39" s="210"/>
      <c r="G39" s="210"/>
      <c r="H39" s="210"/>
      <c r="I39" s="210"/>
      <c r="J39" s="210"/>
      <c r="K39" s="210"/>
      <c r="L39" s="210"/>
      <c r="M39" s="211"/>
      <c r="N39" s="211"/>
      <c r="O39" s="211"/>
      <c r="P39" s="211"/>
      <c r="Q39" s="211"/>
      <c r="R39" s="210"/>
      <c r="S39" s="211"/>
      <c r="T39" s="211"/>
      <c r="U39" s="211"/>
      <c r="V39" s="211"/>
      <c r="W39" s="210" t="s">
        <v>536</v>
      </c>
      <c r="X39" s="199">
        <v>0.0</v>
      </c>
      <c r="Y39" s="199"/>
      <c r="Z39" s="199"/>
      <c r="AA39" s="199"/>
      <c r="AB39" s="199"/>
      <c r="AC39" s="199"/>
      <c r="AD39" s="212" t="s">
        <v>683</v>
      </c>
      <c r="AE39" s="212" t="s">
        <v>683</v>
      </c>
      <c r="AF39" s="213" t="str">
        <f>Table1[[#This Row],[2019 Scope 1 (MeT Co2)]]</f>
        <v>#ERROR!</v>
      </c>
      <c r="AG39" s="214" t="str">
        <f t="shared" si="1"/>
        <v>#ERROR!</v>
      </c>
      <c r="AH39" s="215" t="str">
        <f t="shared" si="2"/>
        <v>#ERROR!</v>
      </c>
      <c r="AI39" s="209"/>
      <c r="AJ39" s="209"/>
      <c r="AK39" s="212" t="s">
        <v>683</v>
      </c>
      <c r="AL39" s="212" t="s">
        <v>683</v>
      </c>
      <c r="AM39" s="213" t="str">
        <f>Table1[[#This Row],[2019 Scope 2 ]]</f>
        <v>#ERROR!</v>
      </c>
      <c r="AN39" s="214" t="str">
        <f t="shared" si="3"/>
        <v>#ERROR!</v>
      </c>
      <c r="AO39" s="215" t="str">
        <f t="shared" si="4"/>
        <v>#ERROR!</v>
      </c>
      <c r="AP39" s="214" t="str">
        <f t="shared" si="5"/>
        <v>#ERROR!</v>
      </c>
      <c r="AQ39" s="215" t="str">
        <f t="shared" si="6"/>
        <v>#ERROR!</v>
      </c>
      <c r="AR39" s="216" t="str">
        <f>Table1[[#This Row],[2019 Scope 3 ]]</f>
        <v>#ERROR!</v>
      </c>
      <c r="AS39" s="217" t="str">
        <f t="shared" si="7"/>
        <v>#ERROR!</v>
      </c>
      <c r="AT39" s="218" t="str">
        <f t="shared" si="8"/>
        <v>#ERROR!</v>
      </c>
      <c r="BI39" s="199">
        <v>73894.0</v>
      </c>
    </row>
    <row r="40" ht="12.75" customHeight="1">
      <c r="A40" s="5">
        <f>companies!A40</f>
        <v>39</v>
      </c>
      <c r="B40" s="199" t="s">
        <v>1254</v>
      </c>
      <c r="C40" s="210">
        <v>228000.0</v>
      </c>
      <c r="D40" s="210">
        <v>636000.0</v>
      </c>
      <c r="E40" s="210">
        <v>636000.0</v>
      </c>
      <c r="F40" s="210"/>
      <c r="G40" s="210"/>
      <c r="H40" s="210"/>
      <c r="I40" s="210"/>
      <c r="J40" s="210"/>
      <c r="K40" s="210"/>
      <c r="L40" s="210"/>
      <c r="M40" s="211"/>
      <c r="N40" s="211"/>
      <c r="O40" s="211"/>
      <c r="P40" s="211"/>
      <c r="Q40" s="211"/>
      <c r="R40" s="210"/>
      <c r="S40" s="211"/>
      <c r="T40" s="211"/>
      <c r="U40" s="211"/>
      <c r="V40" s="211"/>
      <c r="W40" s="210">
        <v>232000.0</v>
      </c>
      <c r="X40" s="199">
        <v>636000.0</v>
      </c>
      <c r="Y40" s="199">
        <v>1096000.0</v>
      </c>
      <c r="Z40" s="199"/>
      <c r="AA40" s="199"/>
      <c r="AB40" s="199"/>
      <c r="AC40" s="199"/>
      <c r="AD40" s="212" t="s">
        <v>683</v>
      </c>
      <c r="AE40" s="212" t="s">
        <v>683</v>
      </c>
      <c r="AF40" s="213" t="str">
        <f>Table1[[#This Row],[2019 Scope 1 (MeT Co2)]]</f>
        <v>#ERROR!</v>
      </c>
      <c r="AG40" s="214" t="str">
        <f t="shared" si="1"/>
        <v>#ERROR!</v>
      </c>
      <c r="AH40" s="215" t="str">
        <f t="shared" si="2"/>
        <v>#ERROR!</v>
      </c>
      <c r="AI40" s="209"/>
      <c r="AJ40" s="209"/>
      <c r="AK40" s="212" t="s">
        <v>683</v>
      </c>
      <c r="AL40" s="212" t="s">
        <v>683</v>
      </c>
      <c r="AM40" s="213" t="str">
        <f>Table1[[#This Row],[2019 Scope 2 ]]</f>
        <v>#ERROR!</v>
      </c>
      <c r="AN40" s="214" t="str">
        <f t="shared" si="3"/>
        <v>#ERROR!</v>
      </c>
      <c r="AO40" s="219" t="str">
        <f t="shared" si="4"/>
        <v>#ERROR!</v>
      </c>
      <c r="AP40" s="214" t="str">
        <f t="shared" si="5"/>
        <v>#ERROR!</v>
      </c>
      <c r="AQ40" s="219" t="str">
        <f t="shared" si="6"/>
        <v>#ERROR!</v>
      </c>
      <c r="AR40" s="216" t="str">
        <f>Table1[[#This Row],[2019 Scope 3 ]]</f>
        <v>#ERROR!</v>
      </c>
      <c r="AS40" s="217" t="str">
        <f t="shared" si="7"/>
        <v>#ERROR!</v>
      </c>
      <c r="AT40" s="218" t="str">
        <f t="shared" si="8"/>
        <v>#ERROR!</v>
      </c>
      <c r="BI40" s="199">
        <v>5377.0</v>
      </c>
    </row>
    <row r="41" ht="12.75" customHeight="1">
      <c r="A41" s="5">
        <f>companies!A41</f>
        <v>40</v>
      </c>
      <c r="B41" s="199" t="s">
        <v>1254</v>
      </c>
      <c r="C41" s="210" t="s">
        <v>536</v>
      </c>
      <c r="D41" s="210" t="s">
        <v>536</v>
      </c>
      <c r="E41" s="210" t="s">
        <v>536</v>
      </c>
      <c r="F41" s="210"/>
      <c r="G41" s="210"/>
      <c r="H41" s="210"/>
      <c r="I41" s="210"/>
      <c r="J41" s="210"/>
      <c r="K41" s="210"/>
      <c r="L41" s="210"/>
      <c r="M41" s="211"/>
      <c r="N41" s="211"/>
      <c r="O41" s="211"/>
      <c r="P41" s="211"/>
      <c r="Q41" s="211"/>
      <c r="R41" s="210"/>
      <c r="S41" s="211"/>
      <c r="T41" s="211"/>
      <c r="U41" s="211"/>
      <c r="V41" s="211"/>
      <c r="W41" s="210" t="s">
        <v>536</v>
      </c>
      <c r="X41" s="199">
        <v>0.0</v>
      </c>
      <c r="Y41" s="199"/>
      <c r="Z41" s="212"/>
      <c r="AA41" s="212"/>
      <c r="AB41" s="212"/>
      <c r="AC41" s="212"/>
      <c r="AD41" s="212" t="e">
        <v>#N/A</v>
      </c>
      <c r="AE41" s="212" t="e">
        <v>#N/A</v>
      </c>
      <c r="AF41" s="213" t="str">
        <f>Table1[[#This Row],[2019 Scope 1 (MeT Co2)]]</f>
        <v>#ERROR!</v>
      </c>
      <c r="AG41" s="214" t="str">
        <f t="shared" si="1"/>
        <v>#ERROR!</v>
      </c>
      <c r="AH41" s="215" t="str">
        <f t="shared" si="2"/>
        <v>#ERROR!</v>
      </c>
      <c r="AI41" s="209"/>
      <c r="AJ41" s="209"/>
      <c r="AK41" s="212" t="e">
        <v>#N/A</v>
      </c>
      <c r="AL41" s="212" t="e">
        <v>#N/A</v>
      </c>
      <c r="AM41" s="213" t="str">
        <f>Table1[[#This Row],[2019 Scope 2 ]]</f>
        <v>#ERROR!</v>
      </c>
      <c r="AN41" s="214" t="str">
        <f t="shared" si="3"/>
        <v>#ERROR!</v>
      </c>
      <c r="AO41" s="215" t="str">
        <f t="shared" si="4"/>
        <v>#ERROR!</v>
      </c>
      <c r="AP41" s="214" t="str">
        <f t="shared" si="5"/>
        <v>#ERROR!</v>
      </c>
      <c r="AQ41" s="215" t="str">
        <f t="shared" si="6"/>
        <v>#ERROR!</v>
      </c>
      <c r="AR41" s="216" t="str">
        <f>Table1[[#This Row],[2019 Scope 3 ]]</f>
        <v>#ERROR!</v>
      </c>
      <c r="AS41" s="217" t="str">
        <f t="shared" si="7"/>
        <v>#ERROR!</v>
      </c>
      <c r="AT41" s="218" t="str">
        <f t="shared" si="8"/>
        <v>#ERROR!</v>
      </c>
    </row>
    <row r="42" ht="12.75" customHeight="1">
      <c r="A42" s="5">
        <f>companies!A42</f>
        <v>41</v>
      </c>
      <c r="B42" s="199" t="s">
        <v>1254</v>
      </c>
      <c r="C42" s="210">
        <v>1.02E7</v>
      </c>
      <c r="D42" s="210">
        <v>6521000.0</v>
      </c>
      <c r="E42" s="210">
        <v>6521000.0</v>
      </c>
      <c r="F42" s="210"/>
      <c r="G42" s="210"/>
      <c r="H42" s="210"/>
      <c r="I42" s="210"/>
      <c r="J42" s="210"/>
      <c r="K42" s="210"/>
      <c r="L42" s="210"/>
      <c r="M42" s="211"/>
      <c r="N42" s="211"/>
      <c r="O42" s="211"/>
      <c r="P42" s="211"/>
      <c r="Q42" s="211"/>
      <c r="R42" s="210"/>
      <c r="S42" s="211"/>
      <c r="T42" s="211"/>
      <c r="U42" s="211"/>
      <c r="V42" s="211"/>
      <c r="W42" s="210">
        <v>1.9522E8</v>
      </c>
      <c r="X42" s="199">
        <v>6521000.0</v>
      </c>
      <c r="Y42" s="199">
        <v>2.11941E8</v>
      </c>
      <c r="Z42" s="199"/>
      <c r="AA42" s="199"/>
      <c r="AB42" s="199"/>
      <c r="AC42" s="199"/>
      <c r="AD42" s="212" t="s">
        <v>683</v>
      </c>
      <c r="AE42" s="212" t="s">
        <v>683</v>
      </c>
      <c r="AF42" s="213" t="str">
        <f>Table1[[#This Row],[2019 Scope 1 (MeT Co2)]]</f>
        <v>#ERROR!</v>
      </c>
      <c r="AG42" s="214" t="str">
        <f t="shared" si="1"/>
        <v>#ERROR!</v>
      </c>
      <c r="AH42" s="215" t="str">
        <f t="shared" si="2"/>
        <v>#ERROR!</v>
      </c>
      <c r="AI42" s="209"/>
      <c r="AJ42" s="209"/>
      <c r="AK42" s="212" t="s">
        <v>683</v>
      </c>
      <c r="AL42" s="212" t="s">
        <v>683</v>
      </c>
      <c r="AM42" s="213" t="str">
        <f>Table1[[#This Row],[2019 Scope 2 ]]</f>
        <v>#ERROR!</v>
      </c>
      <c r="AN42" s="214" t="str">
        <f t="shared" si="3"/>
        <v>#ERROR!</v>
      </c>
      <c r="AO42" s="215" t="str">
        <f t="shared" si="4"/>
        <v>#ERROR!</v>
      </c>
      <c r="AP42" s="214" t="str">
        <f t="shared" si="5"/>
        <v>#ERROR!</v>
      </c>
      <c r="AQ42" s="215" t="str">
        <f t="shared" si="6"/>
        <v>#ERROR!</v>
      </c>
      <c r="AR42" s="216" t="str">
        <f>Table1[[#This Row],[2019 Scope 3 ]]</f>
        <v>#ERROR!</v>
      </c>
      <c r="AS42" s="217" t="str">
        <f t="shared" si="7"/>
        <v>#ERROR!</v>
      </c>
      <c r="AT42" s="218" t="str">
        <f t="shared" si="8"/>
        <v>#ERROR!</v>
      </c>
      <c r="BI42" s="199">
        <v>6113.0</v>
      </c>
    </row>
    <row r="43" ht="12.75" customHeight="1">
      <c r="A43" s="5">
        <f>companies!A43</f>
        <v>42</v>
      </c>
      <c r="B43" s="199" t="s">
        <v>1254</v>
      </c>
      <c r="C43" s="210">
        <v>1.15E8</v>
      </c>
      <c r="D43" s="210">
        <v>8000000.0</v>
      </c>
      <c r="E43" s="210">
        <v>8000000.0</v>
      </c>
      <c r="F43" s="210"/>
      <c r="G43" s="210"/>
      <c r="H43" s="210"/>
      <c r="I43" s="210"/>
      <c r="J43" s="210"/>
      <c r="K43" s="210"/>
      <c r="L43" s="210"/>
      <c r="M43" s="211"/>
      <c r="N43" s="211"/>
      <c r="O43" s="211"/>
      <c r="P43" s="211"/>
      <c r="Q43" s="211"/>
      <c r="R43" s="210"/>
      <c r="S43" s="211"/>
      <c r="T43" s="211"/>
      <c r="U43" s="211"/>
      <c r="V43" s="211"/>
      <c r="W43" s="210" t="s">
        <v>536</v>
      </c>
      <c r="X43" s="199">
        <v>8000000.0</v>
      </c>
      <c r="Y43" s="199"/>
      <c r="Z43" s="212"/>
      <c r="AA43" s="212"/>
      <c r="AB43" s="212"/>
      <c r="AC43" s="212"/>
      <c r="AD43" s="212" t="e">
        <v>#N/A</v>
      </c>
      <c r="AE43" s="212" t="e">
        <v>#N/A</v>
      </c>
      <c r="AF43" s="213" t="str">
        <f>Table1[[#This Row],[2019 Scope 1 (MeT Co2)]]</f>
        <v>#ERROR!</v>
      </c>
      <c r="AG43" s="214" t="str">
        <f t="shared" si="1"/>
        <v>#ERROR!</v>
      </c>
      <c r="AH43" s="215" t="str">
        <f t="shared" si="2"/>
        <v>#ERROR!</v>
      </c>
      <c r="AI43" s="209"/>
      <c r="AJ43" s="209"/>
      <c r="AK43" s="212" t="e">
        <v>#N/A</v>
      </c>
      <c r="AL43" s="212" t="e">
        <v>#N/A</v>
      </c>
      <c r="AM43" s="213" t="str">
        <f>Table1[[#This Row],[2019 Scope 2 ]]</f>
        <v>#ERROR!</v>
      </c>
      <c r="AN43" s="214" t="str">
        <f t="shared" si="3"/>
        <v>#ERROR!</v>
      </c>
      <c r="AO43" s="215" t="str">
        <f t="shared" si="4"/>
        <v>#ERROR!</v>
      </c>
      <c r="AP43" s="214" t="str">
        <f t="shared" si="5"/>
        <v>#ERROR!</v>
      </c>
      <c r="AQ43" s="215" t="str">
        <f t="shared" si="6"/>
        <v>#ERROR!</v>
      </c>
      <c r="AR43" s="216" t="str">
        <f>Table1[[#This Row],[2019 Scope 3 ]]</f>
        <v>#ERROR!</v>
      </c>
      <c r="AS43" s="217" t="str">
        <f t="shared" si="7"/>
        <v>#ERROR!</v>
      </c>
      <c r="AT43" s="218" t="str">
        <f t="shared" si="8"/>
        <v>#ERROR!</v>
      </c>
    </row>
    <row r="44" ht="12.75" customHeight="1">
      <c r="A44" s="5">
        <f>companies!A44</f>
        <v>43</v>
      </c>
      <c r="B44" s="199" t="s">
        <v>1254</v>
      </c>
      <c r="C44" s="210">
        <v>568000.0</v>
      </c>
      <c r="D44" s="210">
        <v>48800.0</v>
      </c>
      <c r="E44" s="210">
        <v>48800.0</v>
      </c>
      <c r="F44" s="210"/>
      <c r="G44" s="210"/>
      <c r="H44" s="210"/>
      <c r="I44" s="210"/>
      <c r="J44" s="210"/>
      <c r="K44" s="210"/>
      <c r="L44" s="210"/>
      <c r="M44" s="211"/>
      <c r="N44" s="211"/>
      <c r="O44" s="211"/>
      <c r="P44" s="211"/>
      <c r="Q44" s="211"/>
      <c r="R44" s="210"/>
      <c r="S44" s="211"/>
      <c r="T44" s="211"/>
      <c r="U44" s="211"/>
      <c r="V44" s="211"/>
      <c r="W44" s="210" t="s">
        <v>536</v>
      </c>
      <c r="X44" s="199">
        <v>48800.0</v>
      </c>
      <c r="Y44" s="199"/>
      <c r="Z44" s="212"/>
      <c r="AA44" s="212"/>
      <c r="AB44" s="212"/>
      <c r="AC44" s="212"/>
      <c r="AD44" s="212" t="e">
        <v>#N/A</v>
      </c>
      <c r="AE44" s="212" t="e">
        <v>#N/A</v>
      </c>
      <c r="AF44" s="213" t="str">
        <f>Table1[[#This Row],[2019 Scope 1 (MeT Co2)]]</f>
        <v>#ERROR!</v>
      </c>
      <c r="AG44" s="214" t="str">
        <f t="shared" si="1"/>
        <v>#ERROR!</v>
      </c>
      <c r="AH44" s="215" t="str">
        <f t="shared" si="2"/>
        <v>#ERROR!</v>
      </c>
      <c r="AI44" s="209"/>
      <c r="AJ44" s="209"/>
      <c r="AK44" s="212" t="e">
        <v>#N/A</v>
      </c>
      <c r="AL44" s="212" t="e">
        <v>#N/A</v>
      </c>
      <c r="AM44" s="213" t="str">
        <f>Table1[[#This Row],[2019 Scope 2 ]]</f>
        <v>#ERROR!</v>
      </c>
      <c r="AN44" s="214" t="str">
        <f t="shared" si="3"/>
        <v>#ERROR!</v>
      </c>
      <c r="AO44" s="215" t="str">
        <f t="shared" si="4"/>
        <v>#ERROR!</v>
      </c>
      <c r="AP44" s="214" t="str">
        <f t="shared" si="5"/>
        <v>#ERROR!</v>
      </c>
      <c r="AQ44" s="215" t="str">
        <f t="shared" si="6"/>
        <v>#ERROR!</v>
      </c>
      <c r="AR44" s="216" t="str">
        <f>Table1[[#This Row],[2019 Scope 3 ]]</f>
        <v>#ERROR!</v>
      </c>
      <c r="AS44" s="217" t="str">
        <f t="shared" si="7"/>
        <v>#ERROR!</v>
      </c>
      <c r="AT44" s="218" t="str">
        <f t="shared" si="8"/>
        <v>#ERROR!</v>
      </c>
    </row>
    <row r="45" ht="12.75" customHeight="1">
      <c r="A45" s="5">
        <f>companies!A45</f>
        <v>44</v>
      </c>
      <c r="B45" s="199" t="s">
        <v>1254</v>
      </c>
      <c r="C45" s="210">
        <v>1.4053599E7</v>
      </c>
      <c r="D45" s="210">
        <v>1094109.0</v>
      </c>
      <c r="E45" s="210">
        <v>1094109.0</v>
      </c>
      <c r="F45" s="210"/>
      <c r="G45" s="210"/>
      <c r="H45" s="210"/>
      <c r="I45" s="210"/>
      <c r="J45" s="210"/>
      <c r="K45" s="210"/>
      <c r="L45" s="210"/>
      <c r="M45" s="211"/>
      <c r="N45" s="211"/>
      <c r="O45" s="211"/>
      <c r="P45" s="211"/>
      <c r="Q45" s="211"/>
      <c r="R45" s="210"/>
      <c r="S45" s="211"/>
      <c r="T45" s="211"/>
      <c r="U45" s="211"/>
      <c r="V45" s="211"/>
      <c r="W45" s="210">
        <v>2642415.0</v>
      </c>
      <c r="X45" s="199">
        <v>1094109.0</v>
      </c>
      <c r="Y45" s="199">
        <v>1.7790123E7</v>
      </c>
      <c r="Z45" s="199"/>
      <c r="AA45" s="199"/>
      <c r="AB45" s="199"/>
      <c r="AC45" s="199"/>
      <c r="AD45" s="212" t="s">
        <v>683</v>
      </c>
      <c r="AE45" s="212" t="s">
        <v>683</v>
      </c>
      <c r="AF45" s="213" t="str">
        <f>Table1[[#This Row],[2019 Scope 1 (MeT Co2)]]</f>
        <v>#ERROR!</v>
      </c>
      <c r="AG45" s="214" t="str">
        <f t="shared" si="1"/>
        <v>#ERROR!</v>
      </c>
      <c r="AH45" s="215" t="str">
        <f t="shared" si="2"/>
        <v>#ERROR!</v>
      </c>
      <c r="AI45" s="209"/>
      <c r="AJ45" s="209"/>
      <c r="AK45" s="212" t="s">
        <v>683</v>
      </c>
      <c r="AL45" s="212" t="s">
        <v>683</v>
      </c>
      <c r="AM45" s="213" t="str">
        <f>Table1[[#This Row],[2019 Scope 2 ]]</f>
        <v>#ERROR!</v>
      </c>
      <c r="AN45" s="214" t="str">
        <f t="shared" si="3"/>
        <v>#ERROR!</v>
      </c>
      <c r="AO45" s="215" t="str">
        <f t="shared" si="4"/>
        <v>#ERROR!</v>
      </c>
      <c r="AP45" s="214" t="str">
        <f t="shared" si="5"/>
        <v>#ERROR!</v>
      </c>
      <c r="AQ45" s="215" t="str">
        <f t="shared" si="6"/>
        <v>#ERROR!</v>
      </c>
      <c r="AR45" s="216" t="str">
        <f>Table1[[#This Row],[2019 Scope 3 ]]</f>
        <v>#ERROR!</v>
      </c>
      <c r="AS45" s="217" t="str">
        <f t="shared" si="7"/>
        <v>#ERROR!</v>
      </c>
      <c r="AT45" s="218" t="str">
        <f t="shared" si="8"/>
        <v>#ERROR!</v>
      </c>
      <c r="BI45" s="4">
        <v>6287.0</v>
      </c>
    </row>
    <row r="46" ht="12.75" customHeight="1">
      <c r="A46" s="5">
        <f>companies!A46</f>
        <v>45</v>
      </c>
      <c r="B46" s="199" t="s">
        <v>1254</v>
      </c>
      <c r="C46" s="210">
        <v>1389740.0</v>
      </c>
      <c r="D46" s="210">
        <v>3482444.0</v>
      </c>
      <c r="E46" s="210">
        <v>3482444.0</v>
      </c>
      <c r="F46" s="210"/>
      <c r="G46" s="210"/>
      <c r="H46" s="210"/>
      <c r="I46" s="210"/>
      <c r="J46" s="210"/>
      <c r="K46" s="210"/>
      <c r="L46" s="210"/>
      <c r="M46" s="211"/>
      <c r="N46" s="211"/>
      <c r="O46" s="211"/>
      <c r="P46" s="211"/>
      <c r="Q46" s="211"/>
      <c r="R46" s="210"/>
      <c r="S46" s="211"/>
      <c r="T46" s="211"/>
      <c r="U46" s="211"/>
      <c r="V46" s="211"/>
      <c r="W46" s="210" t="s">
        <v>536</v>
      </c>
      <c r="X46" s="199">
        <v>3482444.0</v>
      </c>
      <c r="Y46" s="199"/>
      <c r="Z46" s="199"/>
      <c r="AA46" s="199"/>
      <c r="AB46" s="199"/>
      <c r="AC46" s="199"/>
      <c r="AD46" s="212" t="s">
        <v>683</v>
      </c>
      <c r="AE46" s="212" t="s">
        <v>683</v>
      </c>
      <c r="AF46" s="213" t="str">
        <f>Table1[[#This Row],[2019 Scope 1 (MeT Co2)]]</f>
        <v>#ERROR!</v>
      </c>
      <c r="AG46" s="214" t="str">
        <f t="shared" si="1"/>
        <v>#ERROR!</v>
      </c>
      <c r="AH46" s="215" t="str">
        <f t="shared" si="2"/>
        <v>#ERROR!</v>
      </c>
      <c r="AI46" s="209"/>
      <c r="AJ46" s="209"/>
      <c r="AK46" s="212" t="s">
        <v>683</v>
      </c>
      <c r="AL46" s="212" t="s">
        <v>683</v>
      </c>
      <c r="AM46" s="213" t="str">
        <f>Table1[[#This Row],[2019 Scope 2 ]]</f>
        <v>#ERROR!</v>
      </c>
      <c r="AN46" s="214" t="str">
        <f t="shared" si="3"/>
        <v>#ERROR!</v>
      </c>
      <c r="AO46" s="215" t="str">
        <f t="shared" si="4"/>
        <v>#ERROR!</v>
      </c>
      <c r="AP46" s="214" t="str">
        <f t="shared" si="5"/>
        <v>#ERROR!</v>
      </c>
      <c r="AQ46" s="215" t="str">
        <f t="shared" si="6"/>
        <v>#ERROR!</v>
      </c>
      <c r="AR46" s="216" t="str">
        <f>Table1[[#This Row],[2019 Scope 3 ]]</f>
        <v>#ERROR!</v>
      </c>
      <c r="AS46" s="217" t="str">
        <f t="shared" si="7"/>
        <v>#ERROR!</v>
      </c>
      <c r="AT46" s="218" t="str">
        <f t="shared" si="8"/>
        <v>#ERROR!</v>
      </c>
      <c r="BI46" s="4">
        <v>6595.0</v>
      </c>
    </row>
    <row r="47" ht="12.75" customHeight="1">
      <c r="A47" s="5">
        <f>companies!A47</f>
        <v>46</v>
      </c>
      <c r="B47" s="199" t="s">
        <v>1254</v>
      </c>
      <c r="C47" s="210">
        <v>305836.0</v>
      </c>
      <c r="D47" s="210">
        <v>478428.0</v>
      </c>
      <c r="E47" s="210">
        <v>478428.0</v>
      </c>
      <c r="F47" s="210"/>
      <c r="G47" s="210"/>
      <c r="H47" s="210"/>
      <c r="I47" s="210"/>
      <c r="J47" s="210"/>
      <c r="K47" s="210"/>
      <c r="L47" s="210"/>
      <c r="M47" s="211"/>
      <c r="N47" s="211"/>
      <c r="O47" s="211"/>
      <c r="P47" s="211"/>
      <c r="Q47" s="211"/>
      <c r="R47" s="210"/>
      <c r="S47" s="211"/>
      <c r="T47" s="211"/>
      <c r="U47" s="211"/>
      <c r="V47" s="211"/>
      <c r="W47" s="210" t="s">
        <v>536</v>
      </c>
      <c r="X47" s="199">
        <v>478428.0</v>
      </c>
      <c r="Y47" s="199"/>
      <c r="Z47" s="199"/>
      <c r="AA47" s="199"/>
      <c r="AB47" s="199"/>
      <c r="AC47" s="199"/>
      <c r="AD47" s="212" t="s">
        <v>1255</v>
      </c>
      <c r="AE47" s="212" t="s">
        <v>1256</v>
      </c>
      <c r="AF47" s="213" t="str">
        <f>Table1[[#This Row],[2019 Scope 1 (MeT Co2)]]</f>
        <v>#ERROR!</v>
      </c>
      <c r="AG47" s="214" t="str">
        <f t="shared" si="1"/>
        <v>#ERROR!</v>
      </c>
      <c r="AH47" s="215" t="str">
        <f t="shared" si="2"/>
        <v>#ERROR!</v>
      </c>
      <c r="AI47" s="209"/>
      <c r="AJ47" s="209"/>
      <c r="AK47" s="212" t="s">
        <v>1255</v>
      </c>
      <c r="AL47" s="212" t="s">
        <v>1256</v>
      </c>
      <c r="AM47" s="213" t="str">
        <f>Table1[[#This Row],[2019 Scope 2 ]]</f>
        <v>#ERROR!</v>
      </c>
      <c r="AN47" s="214" t="str">
        <f t="shared" si="3"/>
        <v>#ERROR!</v>
      </c>
      <c r="AO47" s="215" t="str">
        <f t="shared" si="4"/>
        <v>#ERROR!</v>
      </c>
      <c r="AP47" s="214" t="str">
        <f t="shared" si="5"/>
        <v>#ERROR!</v>
      </c>
      <c r="AQ47" s="215" t="str">
        <f t="shared" si="6"/>
        <v>#ERROR!</v>
      </c>
      <c r="AR47" s="216" t="str">
        <f>Table1[[#This Row],[2019 Scope 3 ]]</f>
        <v>#ERROR!</v>
      </c>
      <c r="AS47" s="217" t="str">
        <f t="shared" si="7"/>
        <v>#ERROR!</v>
      </c>
      <c r="AT47" s="218" t="str">
        <f t="shared" si="8"/>
        <v>#ERROR!</v>
      </c>
      <c r="BI47" s="4">
        <v>7147.0</v>
      </c>
    </row>
    <row r="48" ht="12.75" customHeight="1">
      <c r="A48" s="5">
        <f>companies!A48</f>
        <v>47</v>
      </c>
      <c r="B48" s="199" t="s">
        <v>1254</v>
      </c>
      <c r="C48" s="210">
        <v>1670000.0</v>
      </c>
      <c r="D48" s="210">
        <v>2110000.0</v>
      </c>
      <c r="E48" s="210">
        <v>2110000.0</v>
      </c>
      <c r="F48" s="210"/>
      <c r="G48" s="210"/>
      <c r="H48" s="210"/>
      <c r="I48" s="210"/>
      <c r="J48" s="210"/>
      <c r="K48" s="210"/>
      <c r="L48" s="210"/>
      <c r="M48" s="211"/>
      <c r="N48" s="211"/>
      <c r="O48" s="211"/>
      <c r="P48" s="211"/>
      <c r="Q48" s="211"/>
      <c r="R48" s="210"/>
      <c r="S48" s="211"/>
      <c r="T48" s="211"/>
      <c r="U48" s="211"/>
      <c r="V48" s="211"/>
      <c r="W48" s="210">
        <v>2790000.0</v>
      </c>
      <c r="X48" s="199">
        <v>2110000.0</v>
      </c>
      <c r="Y48" s="199">
        <v>6570000.0</v>
      </c>
      <c r="Z48" s="212"/>
      <c r="AA48" s="212"/>
      <c r="AB48" s="212"/>
      <c r="AC48" s="212"/>
      <c r="AD48" s="212" t="s">
        <v>683</v>
      </c>
      <c r="AE48" s="212" t="s">
        <v>683</v>
      </c>
      <c r="AF48" s="213" t="str">
        <f>Table1[[#This Row],[2019 Scope 1 (MeT Co2)]]</f>
        <v>#ERROR!</v>
      </c>
      <c r="AG48" s="214" t="str">
        <f t="shared" si="1"/>
        <v>#ERROR!</v>
      </c>
      <c r="AH48" s="215" t="str">
        <f t="shared" si="2"/>
        <v>#ERROR!</v>
      </c>
      <c r="AI48" s="209"/>
      <c r="AJ48" s="209"/>
      <c r="AK48" s="212" t="s">
        <v>683</v>
      </c>
      <c r="AL48" s="212" t="s">
        <v>683</v>
      </c>
      <c r="AM48" s="213" t="str">
        <f>Table1[[#This Row],[2019 Scope 2 ]]</f>
        <v>#ERROR!</v>
      </c>
      <c r="AN48" s="214" t="str">
        <f t="shared" si="3"/>
        <v>#ERROR!</v>
      </c>
      <c r="AO48" s="215" t="str">
        <f t="shared" si="4"/>
        <v>#ERROR!</v>
      </c>
      <c r="AP48" s="214" t="str">
        <f t="shared" si="5"/>
        <v>#ERROR!</v>
      </c>
      <c r="AQ48" s="215" t="str">
        <f t="shared" si="6"/>
        <v>#ERROR!</v>
      </c>
      <c r="AR48" s="216" t="str">
        <f>Table1[[#This Row],[2019 Scope 3 ]]</f>
        <v>#ERROR!</v>
      </c>
      <c r="AS48" s="217" t="str">
        <f t="shared" si="7"/>
        <v>#ERROR!</v>
      </c>
      <c r="AT48" s="218" t="str">
        <f t="shared" si="8"/>
        <v>#ERROR!</v>
      </c>
      <c r="BI48" s="199">
        <v>7166.0</v>
      </c>
    </row>
    <row r="49" ht="12.75" customHeight="1">
      <c r="A49" s="5">
        <f>companies!A49</f>
        <v>48</v>
      </c>
      <c r="B49" s="199" t="s">
        <v>1254</v>
      </c>
      <c r="C49" s="210">
        <v>1848804.0</v>
      </c>
      <c r="D49" s="210">
        <v>4302887.0</v>
      </c>
      <c r="E49" s="210">
        <v>4302887.0</v>
      </c>
      <c r="F49" s="210"/>
      <c r="G49" s="210"/>
      <c r="H49" s="210"/>
      <c r="I49" s="210"/>
      <c r="J49" s="210"/>
      <c r="K49" s="210"/>
      <c r="L49" s="210"/>
      <c r="M49" s="211"/>
      <c r="N49" s="211"/>
      <c r="O49" s="211"/>
      <c r="P49" s="211"/>
      <c r="Q49" s="211"/>
      <c r="R49" s="210"/>
      <c r="S49" s="211"/>
      <c r="T49" s="211"/>
      <c r="U49" s="211"/>
      <c r="V49" s="211"/>
      <c r="W49" s="210">
        <v>2.86310319E8</v>
      </c>
      <c r="X49" s="199">
        <v>4302887.0</v>
      </c>
      <c r="Y49" s="199">
        <v>2.9246201E8</v>
      </c>
      <c r="Z49" s="199"/>
      <c r="AA49" s="199"/>
      <c r="AB49" s="199"/>
      <c r="AC49" s="199"/>
      <c r="AD49" s="212" t="s">
        <v>683</v>
      </c>
      <c r="AE49" s="212" t="s">
        <v>683</v>
      </c>
      <c r="AF49" s="213" t="str">
        <f>Table1[[#This Row],[2019 Scope 1 (MeT Co2)]]</f>
        <v>#ERROR!</v>
      </c>
      <c r="AG49" s="214" t="str">
        <f t="shared" si="1"/>
        <v>#ERROR!</v>
      </c>
      <c r="AH49" s="215" t="str">
        <f t="shared" si="2"/>
        <v>#ERROR!</v>
      </c>
      <c r="AI49" s="209"/>
      <c r="AJ49" s="209"/>
      <c r="AK49" s="212" t="s">
        <v>683</v>
      </c>
      <c r="AL49" s="212" t="s">
        <v>683</v>
      </c>
      <c r="AM49" s="213" t="str">
        <f>Table1[[#This Row],[2019 Scope 2 ]]</f>
        <v>#ERROR!</v>
      </c>
      <c r="AN49" s="214" t="str">
        <f t="shared" si="3"/>
        <v>#ERROR!</v>
      </c>
      <c r="AO49" s="215" t="str">
        <f t="shared" si="4"/>
        <v>#ERROR!</v>
      </c>
      <c r="AP49" s="214" t="str">
        <f t="shared" si="5"/>
        <v>#ERROR!</v>
      </c>
      <c r="AQ49" s="215" t="str">
        <f t="shared" si="6"/>
        <v>#ERROR!</v>
      </c>
      <c r="AR49" s="216" t="str">
        <f>Table1[[#This Row],[2019 Scope 3 ]]</f>
        <v>#ERROR!</v>
      </c>
      <c r="AS49" s="217" t="str">
        <f t="shared" si="7"/>
        <v>#ERROR!</v>
      </c>
      <c r="AT49" s="218" t="str">
        <f t="shared" si="8"/>
        <v>#ERROR!</v>
      </c>
      <c r="BI49" s="4">
        <v>7164.0</v>
      </c>
    </row>
    <row r="50" ht="12.75" customHeight="1">
      <c r="A50" s="5">
        <f>companies!A50</f>
        <v>49</v>
      </c>
      <c r="B50" s="199" t="s">
        <v>1254</v>
      </c>
      <c r="C50" s="210">
        <v>46330.0</v>
      </c>
      <c r="D50" s="210">
        <v>46217.0</v>
      </c>
      <c r="E50" s="210">
        <v>46217.0</v>
      </c>
      <c r="F50" s="210"/>
      <c r="G50" s="210"/>
      <c r="H50" s="210"/>
      <c r="I50" s="210"/>
      <c r="J50" s="210"/>
      <c r="K50" s="210"/>
      <c r="L50" s="210"/>
      <c r="M50" s="211"/>
      <c r="N50" s="211"/>
      <c r="O50" s="211"/>
      <c r="P50" s="211"/>
      <c r="Q50" s="211"/>
      <c r="R50" s="210"/>
      <c r="S50" s="211"/>
      <c r="T50" s="211"/>
      <c r="U50" s="211"/>
      <c r="V50" s="211"/>
      <c r="W50" s="210">
        <v>33056.0</v>
      </c>
      <c r="X50" s="199">
        <v>46217.0</v>
      </c>
      <c r="Y50" s="199">
        <v>125603.0</v>
      </c>
      <c r="Z50" s="199"/>
      <c r="AA50" s="199"/>
      <c r="AB50" s="199"/>
      <c r="AC50" s="199"/>
      <c r="AD50" s="212" t="s">
        <v>683</v>
      </c>
      <c r="AE50" s="212" t="s">
        <v>683</v>
      </c>
      <c r="AF50" s="213" t="str">
        <f>Table1[[#This Row],[2019 Scope 1 (MeT Co2)]]</f>
        <v>#ERROR!</v>
      </c>
      <c r="AG50" s="214" t="str">
        <f t="shared" si="1"/>
        <v>#ERROR!</v>
      </c>
      <c r="AH50" s="215" t="str">
        <f t="shared" si="2"/>
        <v>#ERROR!</v>
      </c>
      <c r="AI50" s="209"/>
      <c r="AJ50" s="209"/>
      <c r="AK50" s="212" t="s">
        <v>683</v>
      </c>
      <c r="AL50" s="212" t="s">
        <v>683</v>
      </c>
      <c r="AM50" s="213" t="str">
        <f>Table1[[#This Row],[2019 Scope 2 ]]</f>
        <v>#ERROR!</v>
      </c>
      <c r="AN50" s="214" t="str">
        <f t="shared" si="3"/>
        <v>#ERROR!</v>
      </c>
      <c r="AO50" s="215" t="str">
        <f t="shared" si="4"/>
        <v>#ERROR!</v>
      </c>
      <c r="AP50" s="214" t="str">
        <f t="shared" si="5"/>
        <v>#ERROR!</v>
      </c>
      <c r="AQ50" s="215" t="str">
        <f t="shared" si="6"/>
        <v>#ERROR!</v>
      </c>
      <c r="AR50" s="216" t="str">
        <f>Table1[[#This Row],[2019 Scope 3 ]]</f>
        <v>#ERROR!</v>
      </c>
      <c r="AS50" s="217" t="str">
        <f t="shared" si="7"/>
        <v>#ERROR!</v>
      </c>
      <c r="AT50" s="218" t="str">
        <f t="shared" si="8"/>
        <v>#ERROR!</v>
      </c>
      <c r="BI50" s="4">
        <v>7345.0</v>
      </c>
    </row>
    <row r="51" ht="12.75" customHeight="1">
      <c r="A51" s="5">
        <f>companies!A51</f>
        <v>50</v>
      </c>
      <c r="B51" s="199" t="s">
        <v>1254</v>
      </c>
      <c r="C51" s="210">
        <v>11231.0</v>
      </c>
      <c r="D51" s="210">
        <v>18410.0</v>
      </c>
      <c r="E51" s="210">
        <v>18410.0</v>
      </c>
      <c r="F51" s="210"/>
      <c r="G51" s="210"/>
      <c r="H51" s="210"/>
      <c r="I51" s="210"/>
      <c r="J51" s="210"/>
      <c r="K51" s="210"/>
      <c r="L51" s="210"/>
      <c r="M51" s="211"/>
      <c r="N51" s="211"/>
      <c r="O51" s="211"/>
      <c r="P51" s="211"/>
      <c r="Q51" s="211"/>
      <c r="R51" s="210"/>
      <c r="S51" s="211"/>
      <c r="T51" s="211"/>
      <c r="U51" s="211"/>
      <c r="V51" s="211"/>
      <c r="W51" s="210">
        <v>120001.0</v>
      </c>
      <c r="X51" s="199">
        <v>18410.0</v>
      </c>
      <c r="Y51" s="199">
        <v>149642.0</v>
      </c>
      <c r="Z51" s="199"/>
      <c r="AA51" s="199"/>
      <c r="AB51" s="199"/>
      <c r="AC51" s="199"/>
      <c r="AD51" s="212" t="s">
        <v>683</v>
      </c>
      <c r="AE51" s="212" t="s">
        <v>683</v>
      </c>
      <c r="AF51" s="213" t="str">
        <f>Table1[[#This Row],[2019 Scope 1 (MeT Co2)]]</f>
        <v>#ERROR!</v>
      </c>
      <c r="AG51" s="214" t="str">
        <f t="shared" si="1"/>
        <v>#ERROR!</v>
      </c>
      <c r="AH51" s="215" t="str">
        <f t="shared" si="2"/>
        <v>#ERROR!</v>
      </c>
      <c r="AI51" s="209"/>
      <c r="AJ51" s="209"/>
      <c r="AK51" s="212" t="s">
        <v>683</v>
      </c>
      <c r="AL51" s="212" t="s">
        <v>683</v>
      </c>
      <c r="AM51" s="213" t="str">
        <f>Table1[[#This Row],[2019 Scope 2 ]]</f>
        <v>#ERROR!</v>
      </c>
      <c r="AN51" s="214" t="str">
        <f t="shared" si="3"/>
        <v>#ERROR!</v>
      </c>
      <c r="AO51" s="215" t="str">
        <f t="shared" si="4"/>
        <v>#ERROR!</v>
      </c>
      <c r="AP51" s="214" t="str">
        <f t="shared" si="5"/>
        <v>#ERROR!</v>
      </c>
      <c r="AQ51" s="215" t="str">
        <f t="shared" si="6"/>
        <v>#ERROR!</v>
      </c>
      <c r="AR51" s="216" t="str">
        <f>Table1[[#This Row],[2019 Scope 3 ]]</f>
        <v>#ERROR!</v>
      </c>
      <c r="AS51" s="217" t="str">
        <f t="shared" si="7"/>
        <v>#ERROR!</v>
      </c>
      <c r="AT51" s="218" t="str">
        <f t="shared" si="8"/>
        <v>#ERROR!</v>
      </c>
      <c r="BI51" s="4">
        <v>7599.0</v>
      </c>
    </row>
    <row r="52" ht="12.75" customHeight="1">
      <c r="A52" s="5">
        <f>companies!A52</f>
        <v>51</v>
      </c>
      <c r="B52" s="199" t="s">
        <v>1254</v>
      </c>
      <c r="C52" s="210">
        <v>433633.0</v>
      </c>
      <c r="D52" s="210">
        <v>1681640.0</v>
      </c>
      <c r="E52" s="210">
        <v>1681640.0</v>
      </c>
      <c r="F52" s="210"/>
      <c r="G52" s="210"/>
      <c r="H52" s="210"/>
      <c r="I52" s="210"/>
      <c r="J52" s="210"/>
      <c r="K52" s="210"/>
      <c r="L52" s="210"/>
      <c r="M52" s="211"/>
      <c r="N52" s="211"/>
      <c r="O52" s="211"/>
      <c r="P52" s="211"/>
      <c r="Q52" s="211"/>
      <c r="R52" s="210"/>
      <c r="S52" s="211"/>
      <c r="T52" s="211"/>
      <c r="U52" s="211"/>
      <c r="V52" s="211"/>
      <c r="W52" s="210">
        <v>3791806.0</v>
      </c>
      <c r="X52" s="199">
        <v>1681640.0</v>
      </c>
      <c r="Y52" s="199">
        <v>5907079.0</v>
      </c>
      <c r="Z52" s="199"/>
      <c r="AA52" s="199"/>
      <c r="AB52" s="199"/>
      <c r="AC52" s="199"/>
      <c r="AD52" s="212" t="s">
        <v>683</v>
      </c>
      <c r="AE52" s="212" t="s">
        <v>683</v>
      </c>
      <c r="AF52" s="213" t="str">
        <f>Table1[[#This Row],[2019 Scope 1 (MeT Co2)]]</f>
        <v>#ERROR!</v>
      </c>
      <c r="AG52" s="214" t="str">
        <f t="shared" si="1"/>
        <v>#ERROR!</v>
      </c>
      <c r="AH52" s="215" t="str">
        <f t="shared" si="2"/>
        <v>#ERROR!</v>
      </c>
      <c r="AI52" s="209"/>
      <c r="AJ52" s="209"/>
      <c r="AK52" s="212" t="s">
        <v>683</v>
      </c>
      <c r="AL52" s="212" t="s">
        <v>683</v>
      </c>
      <c r="AM52" s="213" t="str">
        <f>Table1[[#This Row],[2019 Scope 2 ]]</f>
        <v>#ERROR!</v>
      </c>
      <c r="AN52" s="214" t="str">
        <f t="shared" si="3"/>
        <v>#ERROR!</v>
      </c>
      <c r="AO52" s="215" t="str">
        <f t="shared" si="4"/>
        <v>#ERROR!</v>
      </c>
      <c r="AP52" s="214" t="str">
        <f t="shared" si="5"/>
        <v>#ERROR!</v>
      </c>
      <c r="AQ52" s="215" t="str">
        <f t="shared" si="6"/>
        <v>#ERROR!</v>
      </c>
      <c r="AR52" s="216" t="str">
        <f>Table1[[#This Row],[2019 Scope 3 ]]</f>
        <v>#ERROR!</v>
      </c>
      <c r="AS52" s="217" t="str">
        <f t="shared" si="7"/>
        <v>#ERROR!</v>
      </c>
      <c r="AT52" s="218" t="str">
        <f t="shared" si="8"/>
        <v>#ERROR!</v>
      </c>
      <c r="BI52" s="4">
        <v>8526.0</v>
      </c>
    </row>
    <row r="53" ht="12.75" customHeight="1">
      <c r="A53" s="5">
        <f>companies!A53</f>
        <v>52</v>
      </c>
      <c r="B53" s="199" t="s">
        <v>1254</v>
      </c>
      <c r="C53" s="210">
        <v>1355420.0</v>
      </c>
      <c r="D53" s="210">
        <v>1228457.0</v>
      </c>
      <c r="E53" s="210">
        <v>1228457.0</v>
      </c>
      <c r="F53" s="210"/>
      <c r="G53" s="210"/>
      <c r="H53" s="210"/>
      <c r="I53" s="210"/>
      <c r="J53" s="210"/>
      <c r="K53" s="210"/>
      <c r="L53" s="210"/>
      <c r="M53" s="211"/>
      <c r="N53" s="211"/>
      <c r="O53" s="211"/>
      <c r="P53" s="211"/>
      <c r="Q53" s="211"/>
      <c r="R53" s="210"/>
      <c r="S53" s="211"/>
      <c r="T53" s="211"/>
      <c r="U53" s="211"/>
      <c r="V53" s="211"/>
      <c r="W53" s="210" t="s">
        <v>536</v>
      </c>
      <c r="X53" s="199">
        <v>1228457.0</v>
      </c>
      <c r="Y53" s="199"/>
      <c r="Z53" s="199"/>
      <c r="AA53" s="199"/>
      <c r="AB53" s="199"/>
      <c r="AC53" s="199"/>
      <c r="AD53" s="212" t="s">
        <v>683</v>
      </c>
      <c r="AE53" s="212" t="s">
        <v>683</v>
      </c>
      <c r="AF53" s="213" t="str">
        <f>Table1[[#This Row],[2019 Scope 1 (MeT Co2)]]</f>
        <v>#ERROR!</v>
      </c>
      <c r="AG53" s="214" t="str">
        <f t="shared" si="1"/>
        <v>#ERROR!</v>
      </c>
      <c r="AH53" s="215" t="str">
        <f t="shared" si="2"/>
        <v>#ERROR!</v>
      </c>
      <c r="AI53" s="209"/>
      <c r="AJ53" s="209"/>
      <c r="AK53" s="212" t="s">
        <v>683</v>
      </c>
      <c r="AL53" s="212" t="s">
        <v>683</v>
      </c>
      <c r="AM53" s="213" t="str">
        <f>Table1[[#This Row],[2019 Scope 2 ]]</f>
        <v>#ERROR!</v>
      </c>
      <c r="AN53" s="214" t="str">
        <f t="shared" si="3"/>
        <v>#ERROR!</v>
      </c>
      <c r="AO53" s="215" t="str">
        <f t="shared" si="4"/>
        <v>#ERROR!</v>
      </c>
      <c r="AP53" s="214" t="str">
        <f t="shared" si="5"/>
        <v>#ERROR!</v>
      </c>
      <c r="AQ53" s="215" t="str">
        <f t="shared" si="6"/>
        <v>#ERROR!</v>
      </c>
      <c r="AR53" s="216" t="str">
        <f>Table1[[#This Row],[2019 Scope 3 ]]</f>
        <v>#ERROR!</v>
      </c>
      <c r="AS53" s="217" t="str">
        <f t="shared" si="7"/>
        <v>#ERROR!</v>
      </c>
      <c r="AT53" s="218" t="str">
        <f t="shared" si="8"/>
        <v>#ERROR!</v>
      </c>
      <c r="BI53" s="4">
        <v>8553.0</v>
      </c>
    </row>
    <row r="54" ht="12.75" customHeight="1">
      <c r="A54" s="5">
        <f>companies!A54</f>
        <v>53</v>
      </c>
      <c r="B54" s="199" t="s">
        <v>1254</v>
      </c>
      <c r="C54" s="210">
        <v>124700.0</v>
      </c>
      <c r="D54" s="210">
        <v>1077000.0</v>
      </c>
      <c r="E54" s="210">
        <v>1077000.0</v>
      </c>
      <c r="F54" s="210"/>
      <c r="G54" s="210"/>
      <c r="H54" s="210"/>
      <c r="I54" s="210"/>
      <c r="J54" s="210"/>
      <c r="K54" s="210"/>
      <c r="L54" s="210"/>
      <c r="M54" s="211"/>
      <c r="N54" s="211"/>
      <c r="O54" s="211"/>
      <c r="P54" s="211"/>
      <c r="Q54" s="211"/>
      <c r="R54" s="210"/>
      <c r="S54" s="211"/>
      <c r="T54" s="211"/>
      <c r="U54" s="211"/>
      <c r="V54" s="211"/>
      <c r="W54" s="210" t="s">
        <v>536</v>
      </c>
      <c r="X54" s="199">
        <v>1077000.0</v>
      </c>
      <c r="Y54" s="199"/>
      <c r="Z54" s="199"/>
      <c r="AA54" s="199"/>
      <c r="AB54" s="199"/>
      <c r="AC54" s="199"/>
      <c r="AD54" s="212" t="s">
        <v>683</v>
      </c>
      <c r="AE54" s="212" t="s">
        <v>683</v>
      </c>
      <c r="AF54" s="213" t="str">
        <f>Table1[[#This Row],[2019 Scope 1 (MeT Co2)]]</f>
        <v>#ERROR!</v>
      </c>
      <c r="AG54" s="214" t="str">
        <f t="shared" si="1"/>
        <v>#ERROR!</v>
      </c>
      <c r="AH54" s="215" t="str">
        <f t="shared" si="2"/>
        <v>#ERROR!</v>
      </c>
      <c r="AI54" s="209"/>
      <c r="AJ54" s="209"/>
      <c r="AK54" s="212" t="s">
        <v>683</v>
      </c>
      <c r="AL54" s="212" t="s">
        <v>683</v>
      </c>
      <c r="AM54" s="213" t="str">
        <f>Table1[[#This Row],[2019 Scope 2 ]]</f>
        <v>#ERROR!</v>
      </c>
      <c r="AN54" s="214" t="str">
        <f t="shared" si="3"/>
        <v>#ERROR!</v>
      </c>
      <c r="AO54" s="215" t="str">
        <f t="shared" si="4"/>
        <v>#ERROR!</v>
      </c>
      <c r="AP54" s="214" t="str">
        <f t="shared" si="5"/>
        <v>#ERROR!</v>
      </c>
      <c r="AQ54" s="215" t="str">
        <f t="shared" si="6"/>
        <v>#ERROR!</v>
      </c>
      <c r="AR54" s="216" t="str">
        <f>Table1[[#This Row],[2019 Scope 3 ]]</f>
        <v>#ERROR!</v>
      </c>
      <c r="AS54" s="217" t="str">
        <f t="shared" si="7"/>
        <v>#ERROR!</v>
      </c>
      <c r="AT54" s="218" t="str">
        <f t="shared" si="8"/>
        <v>#ERROR!</v>
      </c>
      <c r="BI54" s="199">
        <v>9284.0</v>
      </c>
    </row>
    <row r="55" ht="12.75" customHeight="1">
      <c r="A55" s="5">
        <f>companies!A55</f>
        <v>54</v>
      </c>
      <c r="B55" s="199" t="s">
        <v>1254</v>
      </c>
      <c r="C55" s="210">
        <v>1490000.0</v>
      </c>
      <c r="D55" s="210">
        <v>971000.0</v>
      </c>
      <c r="E55" s="210">
        <v>971000.0</v>
      </c>
      <c r="F55" s="210"/>
      <c r="G55" s="210"/>
      <c r="H55" s="210"/>
      <c r="I55" s="210"/>
      <c r="J55" s="210"/>
      <c r="K55" s="210"/>
      <c r="L55" s="210"/>
      <c r="M55" s="211"/>
      <c r="N55" s="211"/>
      <c r="O55" s="211"/>
      <c r="P55" s="211"/>
      <c r="Q55" s="211"/>
      <c r="R55" s="210"/>
      <c r="S55" s="211"/>
      <c r="T55" s="211"/>
      <c r="U55" s="211"/>
      <c r="V55" s="211"/>
      <c r="W55" s="210">
        <v>1.232E7</v>
      </c>
      <c r="X55" s="199">
        <v>971000.0</v>
      </c>
      <c r="Y55" s="199">
        <v>1.4781E7</v>
      </c>
      <c r="Z55" s="199"/>
      <c r="AA55" s="199"/>
      <c r="AB55" s="199"/>
      <c r="AC55" s="199"/>
      <c r="AD55" s="212" t="s">
        <v>683</v>
      </c>
      <c r="AE55" s="212" t="s">
        <v>683</v>
      </c>
      <c r="AF55" s="213" t="str">
        <f>Table1[[#This Row],[2019 Scope 1 (MeT Co2)]]</f>
        <v>#ERROR!</v>
      </c>
      <c r="AG55" s="214" t="str">
        <f t="shared" si="1"/>
        <v>#ERROR!</v>
      </c>
      <c r="AH55" s="215" t="str">
        <f t="shared" si="2"/>
        <v>#ERROR!</v>
      </c>
      <c r="AI55" s="209"/>
      <c r="AJ55" s="209"/>
      <c r="AK55" s="212" t="s">
        <v>683</v>
      </c>
      <c r="AL55" s="212" t="s">
        <v>683</v>
      </c>
      <c r="AM55" s="213" t="str">
        <f>Table1[[#This Row],[2019 Scope 2 ]]</f>
        <v>#ERROR!</v>
      </c>
      <c r="AN55" s="214" t="str">
        <f t="shared" si="3"/>
        <v>#ERROR!</v>
      </c>
      <c r="AO55" s="215" t="str">
        <f t="shared" si="4"/>
        <v>#ERROR!</v>
      </c>
      <c r="AP55" s="214" t="str">
        <f t="shared" si="5"/>
        <v>#ERROR!</v>
      </c>
      <c r="AQ55" s="215" t="str">
        <f t="shared" si="6"/>
        <v>#ERROR!</v>
      </c>
      <c r="AR55" s="216" t="str">
        <f>Table1[[#This Row],[2019 Scope 3 ]]</f>
        <v>#ERROR!</v>
      </c>
      <c r="AS55" s="217" t="str">
        <f t="shared" si="7"/>
        <v>#ERROR!</v>
      </c>
      <c r="AT55" s="218" t="str">
        <f t="shared" si="8"/>
        <v>#ERROR!</v>
      </c>
      <c r="BI55" s="4">
        <v>9298.0</v>
      </c>
    </row>
    <row r="56" ht="12.75" customHeight="1">
      <c r="A56" s="5">
        <f>companies!A56</f>
        <v>55</v>
      </c>
      <c r="B56" s="199" t="s">
        <v>1254</v>
      </c>
      <c r="C56" s="210">
        <v>474497.0</v>
      </c>
      <c r="D56" s="210">
        <v>639323.0</v>
      </c>
      <c r="E56" s="210">
        <v>639323.0</v>
      </c>
      <c r="F56" s="210"/>
      <c r="G56" s="210"/>
      <c r="H56" s="210"/>
      <c r="I56" s="210"/>
      <c r="J56" s="210"/>
      <c r="K56" s="210"/>
      <c r="L56" s="210"/>
      <c r="M56" s="211"/>
      <c r="N56" s="211"/>
      <c r="O56" s="211"/>
      <c r="P56" s="211"/>
      <c r="Q56" s="211"/>
      <c r="R56" s="210"/>
      <c r="S56" s="211"/>
      <c r="T56" s="211"/>
      <c r="U56" s="211"/>
      <c r="V56" s="211"/>
      <c r="W56" s="210">
        <v>1.798849E7</v>
      </c>
      <c r="X56" s="199">
        <v>639323.0</v>
      </c>
      <c r="Y56" s="199">
        <v>1.910231E7</v>
      </c>
      <c r="Z56" s="199"/>
      <c r="AA56" s="199"/>
      <c r="AB56" s="199"/>
      <c r="AC56" s="199"/>
      <c r="AD56" s="212" t="s">
        <v>683</v>
      </c>
      <c r="AE56" s="212" t="s">
        <v>683</v>
      </c>
      <c r="AF56" s="213" t="str">
        <f>Table1[[#This Row],[2019 Scope 1 (MeT Co2)]]</f>
        <v>#ERROR!</v>
      </c>
      <c r="AG56" s="214" t="str">
        <f t="shared" si="1"/>
        <v>#ERROR!</v>
      </c>
      <c r="AH56" s="215" t="str">
        <f t="shared" si="2"/>
        <v>#ERROR!</v>
      </c>
      <c r="AI56" s="209"/>
      <c r="AJ56" s="209"/>
      <c r="AK56" s="212" t="s">
        <v>683</v>
      </c>
      <c r="AL56" s="212" t="s">
        <v>683</v>
      </c>
      <c r="AM56" s="213" t="str">
        <f>Table1[[#This Row],[2019 Scope 2 ]]</f>
        <v>#ERROR!</v>
      </c>
      <c r="AN56" s="214" t="str">
        <f t="shared" si="3"/>
        <v>#ERROR!</v>
      </c>
      <c r="AO56" s="215" t="str">
        <f t="shared" si="4"/>
        <v>#ERROR!</v>
      </c>
      <c r="AP56" s="214" t="str">
        <f t="shared" si="5"/>
        <v>#ERROR!</v>
      </c>
      <c r="AQ56" s="215" t="str">
        <f t="shared" si="6"/>
        <v>#ERROR!</v>
      </c>
      <c r="AR56" s="216" t="str">
        <f>Table1[[#This Row],[2019 Scope 3 ]]</f>
        <v>#ERROR!</v>
      </c>
      <c r="AS56" s="217" t="str">
        <f t="shared" si="7"/>
        <v>#ERROR!</v>
      </c>
      <c r="AT56" s="218" t="str">
        <f t="shared" si="8"/>
        <v>#ERROR!</v>
      </c>
      <c r="BI56" s="4">
        <v>9829.0</v>
      </c>
    </row>
    <row r="57" ht="12.75" customHeight="1">
      <c r="A57" s="5">
        <f>companies!A57</f>
        <v>56</v>
      </c>
      <c r="B57" s="199" t="s">
        <v>1254</v>
      </c>
      <c r="C57" s="210">
        <v>78229.0</v>
      </c>
      <c r="D57" s="210">
        <v>596843.0</v>
      </c>
      <c r="E57" s="210">
        <v>596843.0</v>
      </c>
      <c r="F57" s="210"/>
      <c r="G57" s="210"/>
      <c r="H57" s="210"/>
      <c r="I57" s="210"/>
      <c r="J57" s="210"/>
      <c r="K57" s="210"/>
      <c r="L57" s="210"/>
      <c r="M57" s="211"/>
      <c r="N57" s="211"/>
      <c r="O57" s="211"/>
      <c r="P57" s="211"/>
      <c r="Q57" s="211"/>
      <c r="R57" s="210"/>
      <c r="S57" s="211"/>
      <c r="T57" s="211"/>
      <c r="U57" s="211"/>
      <c r="V57" s="211"/>
      <c r="W57" s="210">
        <v>187020.0</v>
      </c>
      <c r="X57" s="199">
        <v>596843.0</v>
      </c>
      <c r="Y57" s="199">
        <v>862092.0</v>
      </c>
      <c r="Z57" s="199"/>
      <c r="AA57" s="199"/>
      <c r="AB57" s="199"/>
      <c r="AC57" s="199"/>
      <c r="AD57" s="212" t="s">
        <v>683</v>
      </c>
      <c r="AE57" s="212" t="s">
        <v>683</v>
      </c>
      <c r="AF57" s="213" t="str">
        <f>Table1[[#This Row],[2019 Scope 1 (MeT Co2)]]</f>
        <v>#ERROR!</v>
      </c>
      <c r="AG57" s="214" t="str">
        <f t="shared" si="1"/>
        <v>#ERROR!</v>
      </c>
      <c r="AH57" s="215" t="str">
        <f t="shared" si="2"/>
        <v>#ERROR!</v>
      </c>
      <c r="AI57" s="209"/>
      <c r="AJ57" s="209"/>
      <c r="AK57" s="212" t="s">
        <v>683</v>
      </c>
      <c r="AL57" s="212" t="s">
        <v>683</v>
      </c>
      <c r="AM57" s="213" t="str">
        <f>Table1[[#This Row],[2019 Scope 2 ]]</f>
        <v>#ERROR!</v>
      </c>
      <c r="AN57" s="214" t="str">
        <f t="shared" si="3"/>
        <v>#ERROR!</v>
      </c>
      <c r="AO57" s="215" t="str">
        <f t="shared" si="4"/>
        <v>#ERROR!</v>
      </c>
      <c r="AP57" s="214" t="str">
        <f t="shared" si="5"/>
        <v>#ERROR!</v>
      </c>
      <c r="AQ57" s="215" t="str">
        <f t="shared" si="6"/>
        <v>#ERROR!</v>
      </c>
      <c r="AR57" s="216" t="str">
        <f>Table1[[#This Row],[2019 Scope 3 ]]</f>
        <v>#ERROR!</v>
      </c>
      <c r="AS57" s="217" t="str">
        <f t="shared" si="7"/>
        <v>#ERROR!</v>
      </c>
      <c r="AT57" s="218" t="str">
        <f t="shared" si="8"/>
        <v>#ERROR!</v>
      </c>
      <c r="BI57" s="4">
        <v>9871.0</v>
      </c>
    </row>
    <row r="58" ht="12.75" customHeight="1">
      <c r="A58" s="5">
        <f>companies!A58</f>
        <v>57</v>
      </c>
      <c r="B58" s="199" t="s">
        <v>1254</v>
      </c>
      <c r="C58" s="210" t="s">
        <v>536</v>
      </c>
      <c r="D58" s="210" t="s">
        <v>536</v>
      </c>
      <c r="E58" s="210" t="s">
        <v>536</v>
      </c>
      <c r="F58" s="210"/>
      <c r="G58" s="210"/>
      <c r="H58" s="210"/>
      <c r="I58" s="210"/>
      <c r="J58" s="210"/>
      <c r="K58" s="210"/>
      <c r="L58" s="210"/>
      <c r="M58" s="211"/>
      <c r="N58" s="211"/>
      <c r="O58" s="211"/>
      <c r="P58" s="211"/>
      <c r="Q58" s="211"/>
      <c r="R58" s="210"/>
      <c r="S58" s="211"/>
      <c r="T58" s="211"/>
      <c r="U58" s="211"/>
      <c r="V58" s="211"/>
      <c r="W58" s="210" t="s">
        <v>536</v>
      </c>
      <c r="X58" s="199">
        <v>0.0</v>
      </c>
      <c r="Y58" s="199"/>
      <c r="Z58" s="212"/>
      <c r="AA58" s="212"/>
      <c r="AB58" s="212"/>
      <c r="AC58" s="212"/>
      <c r="AD58" s="212" t="e">
        <v>#N/A</v>
      </c>
      <c r="AE58" s="212" t="e">
        <v>#N/A</v>
      </c>
      <c r="AF58" s="213" t="str">
        <f>Table1[[#This Row],[2019 Scope 1 (MeT Co2)]]</f>
        <v>#ERROR!</v>
      </c>
      <c r="AG58" s="214" t="str">
        <f t="shared" si="1"/>
        <v>#ERROR!</v>
      </c>
      <c r="AH58" s="215" t="str">
        <f t="shared" si="2"/>
        <v>#ERROR!</v>
      </c>
      <c r="AI58" s="209"/>
      <c r="AJ58" s="209"/>
      <c r="AK58" s="212" t="e">
        <v>#N/A</v>
      </c>
      <c r="AL58" s="212" t="e">
        <v>#N/A</v>
      </c>
      <c r="AM58" s="213" t="str">
        <f>Table1[[#This Row],[2019 Scope 2 ]]</f>
        <v>#ERROR!</v>
      </c>
      <c r="AN58" s="214" t="str">
        <f t="shared" si="3"/>
        <v>#ERROR!</v>
      </c>
      <c r="AO58" s="215" t="str">
        <f t="shared" si="4"/>
        <v>#ERROR!</v>
      </c>
      <c r="AP58" s="214" t="str">
        <f t="shared" si="5"/>
        <v>#ERROR!</v>
      </c>
      <c r="AQ58" s="215" t="str">
        <f t="shared" si="6"/>
        <v>#ERROR!</v>
      </c>
      <c r="AR58" s="216" t="str">
        <f>Table1[[#This Row],[2019 Scope 3 ]]</f>
        <v>#ERROR!</v>
      </c>
      <c r="AS58" s="217" t="str">
        <f t="shared" si="7"/>
        <v>#ERROR!</v>
      </c>
      <c r="AT58" s="218" t="str">
        <f t="shared" si="8"/>
        <v>#ERROR!</v>
      </c>
    </row>
    <row r="59" ht="12.75" customHeight="1">
      <c r="A59" s="5">
        <f>companies!A59</f>
        <v>58</v>
      </c>
      <c r="B59" s="199" t="s">
        <v>1254</v>
      </c>
      <c r="C59" s="210">
        <v>709692.0</v>
      </c>
      <c r="D59" s="210">
        <v>765557.0</v>
      </c>
      <c r="E59" s="210">
        <v>765557.0</v>
      </c>
      <c r="F59" s="210"/>
      <c r="G59" s="210"/>
      <c r="H59" s="210"/>
      <c r="I59" s="210"/>
      <c r="J59" s="210"/>
      <c r="K59" s="210"/>
      <c r="L59" s="210"/>
      <c r="M59" s="211"/>
      <c r="N59" s="211"/>
      <c r="O59" s="211"/>
      <c r="P59" s="211"/>
      <c r="Q59" s="211"/>
      <c r="R59" s="210"/>
      <c r="S59" s="211"/>
      <c r="T59" s="211"/>
      <c r="U59" s="211"/>
      <c r="V59" s="211"/>
      <c r="W59" s="210">
        <v>2.151907535E7</v>
      </c>
      <c r="X59" s="199">
        <v>765557.0</v>
      </c>
      <c r="Y59" s="199">
        <v>2.299432435E7</v>
      </c>
      <c r="Z59" s="212"/>
      <c r="AA59" s="212"/>
      <c r="AB59" s="212"/>
      <c r="AC59" s="212"/>
      <c r="AD59" s="212" t="s">
        <v>683</v>
      </c>
      <c r="AE59" s="212" t="s">
        <v>683</v>
      </c>
      <c r="AF59" s="213" t="str">
        <f>Table1[[#This Row],[2019 Scope 1 (MeT Co2)]]</f>
        <v>#ERROR!</v>
      </c>
      <c r="AG59" s="214" t="str">
        <f t="shared" si="1"/>
        <v>#ERROR!</v>
      </c>
      <c r="AH59" s="215" t="str">
        <f t="shared" si="2"/>
        <v>#ERROR!</v>
      </c>
      <c r="AI59" s="209"/>
      <c r="AJ59" s="209"/>
      <c r="AK59" s="212" t="s">
        <v>683</v>
      </c>
      <c r="AL59" s="212" t="s">
        <v>683</v>
      </c>
      <c r="AM59" s="213" t="str">
        <f>Table1[[#This Row],[2019 Scope 2 ]]</f>
        <v>#ERROR!</v>
      </c>
      <c r="AN59" s="214" t="str">
        <f t="shared" si="3"/>
        <v>#ERROR!</v>
      </c>
      <c r="AO59" s="215" t="str">
        <f t="shared" si="4"/>
        <v>#ERROR!</v>
      </c>
      <c r="AP59" s="214" t="str">
        <f t="shared" si="5"/>
        <v>#ERROR!</v>
      </c>
      <c r="AQ59" s="215" t="str">
        <f t="shared" si="6"/>
        <v>#ERROR!</v>
      </c>
      <c r="AR59" s="216" t="str">
        <f>Table1[[#This Row],[2019 Scope 3 ]]</f>
        <v>#ERROR!</v>
      </c>
      <c r="AS59" s="217" t="str">
        <f t="shared" si="7"/>
        <v>#ERROR!</v>
      </c>
      <c r="AT59" s="218" t="str">
        <f t="shared" si="8"/>
        <v>#ERROR!</v>
      </c>
      <c r="BI59" s="4">
        <v>58857.0</v>
      </c>
    </row>
    <row r="60" ht="12.75" customHeight="1">
      <c r="A60" s="5">
        <f>companies!A60</f>
        <v>59</v>
      </c>
      <c r="B60" s="199" t="s">
        <v>1254</v>
      </c>
      <c r="C60" s="210">
        <v>291523.0</v>
      </c>
      <c r="D60" s="210">
        <v>552851.0</v>
      </c>
      <c r="E60" s="210">
        <v>552851.0</v>
      </c>
      <c r="F60" s="210"/>
      <c r="G60" s="210"/>
      <c r="H60" s="210"/>
      <c r="I60" s="210"/>
      <c r="J60" s="210"/>
      <c r="K60" s="210"/>
      <c r="L60" s="210"/>
      <c r="M60" s="211"/>
      <c r="N60" s="211"/>
      <c r="O60" s="211"/>
      <c r="P60" s="211"/>
      <c r="Q60" s="211"/>
      <c r="R60" s="210"/>
      <c r="S60" s="211"/>
      <c r="T60" s="211"/>
      <c r="U60" s="211"/>
      <c r="V60" s="211"/>
      <c r="W60" s="210">
        <v>3.0605E7</v>
      </c>
      <c r="X60" s="199">
        <v>552851.0</v>
      </c>
      <c r="Y60" s="199">
        <v>3.1449374E7</v>
      </c>
      <c r="Z60" s="199"/>
      <c r="AA60" s="199"/>
      <c r="AB60" s="199"/>
      <c r="AC60" s="199"/>
      <c r="AD60" s="212" t="s">
        <v>683</v>
      </c>
      <c r="AE60" s="212" t="s">
        <v>683</v>
      </c>
      <c r="AF60" s="213" t="str">
        <f>Table1[[#This Row],[2019 Scope 1 (MeT Co2)]]</f>
        <v>#ERROR!</v>
      </c>
      <c r="AG60" s="214" t="str">
        <f t="shared" si="1"/>
        <v>#ERROR!</v>
      </c>
      <c r="AH60" s="215" t="str">
        <f t="shared" si="2"/>
        <v>#ERROR!</v>
      </c>
      <c r="AI60" s="209"/>
      <c r="AJ60" s="209"/>
      <c r="AK60" s="212" t="s">
        <v>683</v>
      </c>
      <c r="AL60" s="212" t="s">
        <v>683</v>
      </c>
      <c r="AM60" s="213" t="str">
        <f>Table1[[#This Row],[2019 Scope 2 ]]</f>
        <v>#ERROR!</v>
      </c>
      <c r="AN60" s="214" t="str">
        <f t="shared" si="3"/>
        <v>#ERROR!</v>
      </c>
      <c r="AO60" s="215" t="str">
        <f t="shared" si="4"/>
        <v>#ERROR!</v>
      </c>
      <c r="AP60" s="214" t="str">
        <f t="shared" si="5"/>
        <v>#ERROR!</v>
      </c>
      <c r="AQ60" s="215" t="str">
        <f t="shared" si="6"/>
        <v>#ERROR!</v>
      </c>
      <c r="AR60" s="216" t="str">
        <f>Table1[[#This Row],[2019 Scope 3 ]]</f>
        <v>#ERROR!</v>
      </c>
      <c r="AS60" s="217" t="str">
        <f t="shared" si="7"/>
        <v>#ERROR!</v>
      </c>
      <c r="AT60" s="218" t="str">
        <f t="shared" si="8"/>
        <v>#ERROR!</v>
      </c>
      <c r="BI60" s="4" t="s">
        <v>1259</v>
      </c>
    </row>
    <row r="61" ht="12.75" customHeight="1">
      <c r="A61" s="5">
        <f>companies!A61</f>
        <v>60</v>
      </c>
      <c r="B61" s="199" t="s">
        <v>1254</v>
      </c>
      <c r="C61" s="210">
        <v>400000.0</v>
      </c>
      <c r="D61" s="210">
        <v>2022000.0</v>
      </c>
      <c r="E61" s="210">
        <v>2022000.0</v>
      </c>
      <c r="F61" s="210"/>
      <c r="G61" s="210"/>
      <c r="H61" s="210"/>
      <c r="I61" s="210"/>
      <c r="J61" s="210"/>
      <c r="K61" s="210"/>
      <c r="L61" s="210"/>
      <c r="M61" s="211"/>
      <c r="N61" s="211"/>
      <c r="O61" s="211"/>
      <c r="P61" s="211"/>
      <c r="Q61" s="211"/>
      <c r="R61" s="210"/>
      <c r="S61" s="211"/>
      <c r="T61" s="211"/>
      <c r="U61" s="211"/>
      <c r="V61" s="211"/>
      <c r="W61" s="210" t="s">
        <v>536</v>
      </c>
      <c r="X61" s="199">
        <v>2022000.0</v>
      </c>
      <c r="Y61" s="199"/>
      <c r="Z61" s="212"/>
      <c r="AA61" s="212"/>
      <c r="AB61" s="212"/>
      <c r="AC61" s="212"/>
      <c r="AD61" s="212" t="s">
        <v>683</v>
      </c>
      <c r="AE61" s="212" t="s">
        <v>683</v>
      </c>
      <c r="AF61" s="213" t="str">
        <f>Table1[[#This Row],[2019 Scope 1 (MeT Co2)]]</f>
        <v>#ERROR!</v>
      </c>
      <c r="AG61" s="214" t="str">
        <f t="shared" si="1"/>
        <v>#ERROR!</v>
      </c>
      <c r="AH61" s="215" t="str">
        <f t="shared" si="2"/>
        <v>#ERROR!</v>
      </c>
      <c r="AI61" s="209"/>
      <c r="AJ61" s="209"/>
      <c r="AK61" s="212" t="s">
        <v>683</v>
      </c>
      <c r="AL61" s="212" t="s">
        <v>683</v>
      </c>
      <c r="AM61" s="213" t="str">
        <f>Table1[[#This Row],[2019 Scope 2 ]]</f>
        <v>#ERROR!</v>
      </c>
      <c r="AN61" s="214" t="str">
        <f t="shared" si="3"/>
        <v>#ERROR!</v>
      </c>
      <c r="AO61" s="215" t="str">
        <f t="shared" si="4"/>
        <v>#ERROR!</v>
      </c>
      <c r="AP61" s="214" t="str">
        <f t="shared" si="5"/>
        <v>#ERROR!</v>
      </c>
      <c r="AQ61" s="215" t="str">
        <f t="shared" si="6"/>
        <v>#ERROR!</v>
      </c>
      <c r="AR61" s="216" t="str">
        <f>Table1[[#This Row],[2019 Scope 3 ]]</f>
        <v>#ERROR!</v>
      </c>
      <c r="AS61" s="217" t="str">
        <f t="shared" si="7"/>
        <v>#ERROR!</v>
      </c>
      <c r="AT61" s="218" t="str">
        <f t="shared" si="8"/>
        <v>#ERROR!</v>
      </c>
      <c r="BI61" s="4">
        <v>11017.0</v>
      </c>
    </row>
    <row r="62" ht="12.75" customHeight="1">
      <c r="A62" s="5">
        <f>companies!A62</f>
        <v>61</v>
      </c>
      <c r="B62" s="199" t="s">
        <v>1254</v>
      </c>
      <c r="C62" s="210">
        <v>6587.0</v>
      </c>
      <c r="D62" s="210">
        <v>64917.0</v>
      </c>
      <c r="E62" s="210">
        <v>64917.0</v>
      </c>
      <c r="F62" s="210"/>
      <c r="G62" s="210"/>
      <c r="H62" s="210"/>
      <c r="I62" s="210"/>
      <c r="J62" s="210"/>
      <c r="K62" s="210"/>
      <c r="L62" s="210"/>
      <c r="M62" s="211"/>
      <c r="N62" s="211"/>
      <c r="O62" s="211"/>
      <c r="P62" s="211"/>
      <c r="Q62" s="211"/>
      <c r="R62" s="210"/>
      <c r="S62" s="211"/>
      <c r="T62" s="211"/>
      <c r="U62" s="211"/>
      <c r="V62" s="211"/>
      <c r="W62" s="210">
        <v>471614.0</v>
      </c>
      <c r="X62" s="199">
        <v>64917.0</v>
      </c>
      <c r="Y62" s="199">
        <v>543118.0</v>
      </c>
      <c r="Z62" s="199"/>
      <c r="AA62" s="199"/>
      <c r="AB62" s="199"/>
      <c r="AC62" s="199"/>
      <c r="AD62" s="212" t="s">
        <v>683</v>
      </c>
      <c r="AE62" s="212" t="s">
        <v>683</v>
      </c>
      <c r="AF62" s="213" t="str">
        <f>Table1[[#This Row],[2019 Scope 1 (MeT Co2)]]</f>
        <v>#ERROR!</v>
      </c>
      <c r="AG62" s="214" t="str">
        <f t="shared" si="1"/>
        <v>#ERROR!</v>
      </c>
      <c r="AH62" s="215" t="str">
        <f t="shared" si="2"/>
        <v>#ERROR!</v>
      </c>
      <c r="AI62" s="209"/>
      <c r="AJ62" s="209"/>
      <c r="AK62" s="212" t="s">
        <v>683</v>
      </c>
      <c r="AL62" s="212" t="s">
        <v>683</v>
      </c>
      <c r="AM62" s="213" t="str">
        <f>Table1[[#This Row],[2019 Scope 2 ]]</f>
        <v>#ERROR!</v>
      </c>
      <c r="AN62" s="214" t="str">
        <f t="shared" si="3"/>
        <v>#ERROR!</v>
      </c>
      <c r="AO62" s="215" t="str">
        <f t="shared" si="4"/>
        <v>#ERROR!</v>
      </c>
      <c r="AP62" s="214" t="str">
        <f t="shared" si="5"/>
        <v>#ERROR!</v>
      </c>
      <c r="AQ62" s="215" t="str">
        <f t="shared" si="6"/>
        <v>#ERROR!</v>
      </c>
      <c r="AR62" s="216" t="str">
        <f>Table1[[#This Row],[2019 Scope 3 ]]</f>
        <v>#ERROR!</v>
      </c>
      <c r="AS62" s="217" t="str">
        <f t="shared" si="7"/>
        <v>#ERROR!</v>
      </c>
      <c r="AT62" s="218" t="str">
        <f t="shared" si="8"/>
        <v>#ERROR!</v>
      </c>
      <c r="BI62" s="4">
        <v>11421.0</v>
      </c>
    </row>
    <row r="63" ht="12.75" customHeight="1">
      <c r="A63" s="5">
        <f>companies!A63</f>
        <v>62</v>
      </c>
      <c r="B63" s="199" t="s">
        <v>1254</v>
      </c>
      <c r="C63" s="210">
        <v>151000.0</v>
      </c>
      <c r="D63" s="210">
        <v>764000.0</v>
      </c>
      <c r="E63" s="210">
        <v>764000.0</v>
      </c>
      <c r="F63" s="210"/>
      <c r="G63" s="210"/>
      <c r="H63" s="210"/>
      <c r="I63" s="210"/>
      <c r="J63" s="210"/>
      <c r="K63" s="210"/>
      <c r="L63" s="210"/>
      <c r="M63" s="211"/>
      <c r="N63" s="211"/>
      <c r="O63" s="211"/>
      <c r="P63" s="211"/>
      <c r="Q63" s="211"/>
      <c r="R63" s="210"/>
      <c r="S63" s="211"/>
      <c r="T63" s="211"/>
      <c r="U63" s="211"/>
      <c r="V63" s="211"/>
      <c r="W63" s="210">
        <v>0.0</v>
      </c>
      <c r="X63" s="199">
        <v>764000.0</v>
      </c>
      <c r="Y63" s="199">
        <v>915000.0</v>
      </c>
      <c r="Z63" s="212"/>
      <c r="AA63" s="212"/>
      <c r="AB63" s="212"/>
      <c r="AC63" s="212"/>
      <c r="AD63" s="212" t="s">
        <v>1255</v>
      </c>
      <c r="AE63" s="212" t="s">
        <v>1256</v>
      </c>
      <c r="AF63" s="213" t="str">
        <f>Table1[[#This Row],[2019 Scope 1 (MeT Co2)]]</f>
        <v>#ERROR!</v>
      </c>
      <c r="AG63" s="214" t="str">
        <f t="shared" si="1"/>
        <v>#ERROR!</v>
      </c>
      <c r="AH63" s="215" t="str">
        <f t="shared" si="2"/>
        <v>#ERROR!</v>
      </c>
      <c r="AI63" s="209"/>
      <c r="AJ63" s="209"/>
      <c r="AK63" s="212" t="s">
        <v>1255</v>
      </c>
      <c r="AL63" s="212" t="s">
        <v>1256</v>
      </c>
      <c r="AM63" s="213" t="str">
        <f>Table1[[#This Row],[2019 Scope 2 ]]</f>
        <v>#ERROR!</v>
      </c>
      <c r="AN63" s="214" t="str">
        <f t="shared" si="3"/>
        <v>#ERROR!</v>
      </c>
      <c r="AO63" s="215" t="str">
        <f t="shared" si="4"/>
        <v>#ERROR!</v>
      </c>
      <c r="AP63" s="214" t="str">
        <f t="shared" si="5"/>
        <v>#ERROR!</v>
      </c>
      <c r="AQ63" s="215" t="str">
        <f t="shared" si="6"/>
        <v>#ERROR!</v>
      </c>
      <c r="AR63" s="216" t="str">
        <f>Table1[[#This Row],[2019 Scope 3 ]]</f>
        <v>#ERROR!</v>
      </c>
      <c r="AS63" s="217" t="str">
        <f t="shared" si="7"/>
        <v>#ERROR!</v>
      </c>
      <c r="AT63" s="218" t="str">
        <f t="shared" si="8"/>
        <v>#ERROR!</v>
      </c>
      <c r="BI63" s="4">
        <v>11581.0</v>
      </c>
    </row>
    <row r="64" ht="12.75" customHeight="1">
      <c r="A64" s="5">
        <f>companies!A64</f>
        <v>63</v>
      </c>
      <c r="B64" s="199" t="s">
        <v>1254</v>
      </c>
      <c r="C64" s="210">
        <v>74992.0</v>
      </c>
      <c r="D64" s="210">
        <v>269008.0</v>
      </c>
      <c r="E64" s="210">
        <v>269008.0</v>
      </c>
      <c r="F64" s="210"/>
      <c r="G64" s="210"/>
      <c r="H64" s="210"/>
      <c r="I64" s="210"/>
      <c r="J64" s="210"/>
      <c r="K64" s="210"/>
      <c r="L64" s="210"/>
      <c r="M64" s="211"/>
      <c r="N64" s="211"/>
      <c r="O64" s="211"/>
      <c r="P64" s="211"/>
      <c r="Q64" s="211"/>
      <c r="R64" s="210"/>
      <c r="S64" s="211"/>
      <c r="T64" s="211"/>
      <c r="U64" s="211"/>
      <c r="V64" s="211"/>
      <c r="W64" s="210">
        <v>0.0</v>
      </c>
      <c r="X64" s="199">
        <v>269008.0</v>
      </c>
      <c r="Y64" s="199">
        <v>344000.0</v>
      </c>
      <c r="Z64" s="199"/>
      <c r="AA64" s="199"/>
      <c r="AB64" s="199"/>
      <c r="AC64" s="199"/>
      <c r="AD64" s="212" t="s">
        <v>683</v>
      </c>
      <c r="AE64" s="212" t="s">
        <v>683</v>
      </c>
      <c r="AF64" s="213" t="str">
        <f>Table1[[#This Row],[2019 Scope 1 (MeT Co2)]]</f>
        <v>#ERROR!</v>
      </c>
      <c r="AG64" s="214" t="str">
        <f t="shared" si="1"/>
        <v>#ERROR!</v>
      </c>
      <c r="AH64" s="215" t="str">
        <f t="shared" si="2"/>
        <v>#ERROR!</v>
      </c>
      <c r="AI64" s="209"/>
      <c r="AJ64" s="209"/>
      <c r="AK64" s="212" t="s">
        <v>683</v>
      </c>
      <c r="AL64" s="212" t="s">
        <v>683</v>
      </c>
      <c r="AM64" s="213" t="str">
        <f>Table1[[#This Row],[2019 Scope 2 ]]</f>
        <v>#ERROR!</v>
      </c>
      <c r="AN64" s="214" t="str">
        <f t="shared" si="3"/>
        <v>#ERROR!</v>
      </c>
      <c r="AO64" s="215" t="str">
        <f t="shared" si="4"/>
        <v>#ERROR!</v>
      </c>
      <c r="AP64" s="214" t="str">
        <f t="shared" si="5"/>
        <v>#ERROR!</v>
      </c>
      <c r="AQ64" s="215" t="str">
        <f t="shared" si="6"/>
        <v>#ERROR!</v>
      </c>
      <c r="AR64" s="216" t="str">
        <f>Table1[[#This Row],[2019 Scope 3 ]]</f>
        <v>#ERROR!</v>
      </c>
      <c r="AS64" s="217" t="str">
        <f t="shared" si="7"/>
        <v>#ERROR!</v>
      </c>
      <c r="AT64" s="218" t="str">
        <f t="shared" si="8"/>
        <v>#ERROR!</v>
      </c>
      <c r="BI64" s="199">
        <v>11651.0</v>
      </c>
    </row>
    <row r="65" ht="12.75" customHeight="1">
      <c r="A65" s="5">
        <f>companies!A65</f>
        <v>64</v>
      </c>
      <c r="B65" s="199" t="s">
        <v>1254</v>
      </c>
      <c r="C65" s="210">
        <v>801600.0</v>
      </c>
      <c r="D65" s="210">
        <v>462500.0</v>
      </c>
      <c r="E65" s="210">
        <v>462500.0</v>
      </c>
      <c r="F65" s="210"/>
      <c r="G65" s="210"/>
      <c r="H65" s="210"/>
      <c r="I65" s="210"/>
      <c r="J65" s="210"/>
      <c r="K65" s="210"/>
      <c r="L65" s="210"/>
      <c r="M65" s="211"/>
      <c r="N65" s="211"/>
      <c r="O65" s="211"/>
      <c r="P65" s="211"/>
      <c r="Q65" s="211"/>
      <c r="R65" s="210"/>
      <c r="S65" s="211"/>
      <c r="T65" s="211"/>
      <c r="U65" s="211"/>
      <c r="V65" s="211"/>
      <c r="W65" s="210">
        <v>6586000.0</v>
      </c>
      <c r="X65" s="199">
        <v>462500.0</v>
      </c>
      <c r="Y65" s="199">
        <v>7850100.0</v>
      </c>
      <c r="Z65" s="199"/>
      <c r="AA65" s="199"/>
      <c r="AB65" s="199"/>
      <c r="AC65" s="199"/>
      <c r="AD65" s="212" t="s">
        <v>683</v>
      </c>
      <c r="AE65" s="212" t="s">
        <v>683</v>
      </c>
      <c r="AF65" s="213" t="str">
        <f>Table1[[#This Row],[2019 Scope 1 (MeT Co2)]]</f>
        <v>#ERROR!</v>
      </c>
      <c r="AG65" s="214" t="str">
        <f t="shared" si="1"/>
        <v>#ERROR!</v>
      </c>
      <c r="AH65" s="215" t="str">
        <f t="shared" si="2"/>
        <v>#ERROR!</v>
      </c>
      <c r="AI65" s="209"/>
      <c r="AJ65" s="209"/>
      <c r="AK65" s="212" t="s">
        <v>683</v>
      </c>
      <c r="AL65" s="212" t="s">
        <v>683</v>
      </c>
      <c r="AM65" s="213" t="str">
        <f>Table1[[#This Row],[2019 Scope 2 ]]</f>
        <v>#ERROR!</v>
      </c>
      <c r="AN65" s="214" t="str">
        <f t="shared" si="3"/>
        <v>#ERROR!</v>
      </c>
      <c r="AO65" s="215" t="str">
        <f t="shared" si="4"/>
        <v>#ERROR!</v>
      </c>
      <c r="AP65" s="214" t="str">
        <f t="shared" si="5"/>
        <v>#ERROR!</v>
      </c>
      <c r="AQ65" s="215" t="str">
        <f t="shared" si="6"/>
        <v>#ERROR!</v>
      </c>
      <c r="AR65" s="216" t="str">
        <f>Table1[[#This Row],[2019 Scope 3 ]]</f>
        <v>#ERROR!</v>
      </c>
      <c r="AS65" s="217" t="str">
        <f t="shared" si="7"/>
        <v>#ERROR!</v>
      </c>
      <c r="AT65" s="218" t="str">
        <f t="shared" si="8"/>
        <v>#ERROR!</v>
      </c>
      <c r="BI65" s="4">
        <v>11765.0</v>
      </c>
    </row>
    <row r="66" ht="12.75" customHeight="1">
      <c r="A66" s="5">
        <f>companies!A66</f>
        <v>65</v>
      </c>
      <c r="B66" s="199" t="s">
        <v>1254</v>
      </c>
      <c r="C66" s="210">
        <v>15722.0</v>
      </c>
      <c r="D66" s="210">
        <v>0.0</v>
      </c>
      <c r="E66" s="210">
        <v>0.0</v>
      </c>
      <c r="F66" s="210"/>
      <c r="G66" s="210"/>
      <c r="H66" s="210"/>
      <c r="I66" s="210"/>
      <c r="J66" s="210"/>
      <c r="K66" s="210"/>
      <c r="L66" s="210"/>
      <c r="M66" s="211"/>
      <c r="N66" s="211"/>
      <c r="O66" s="211"/>
      <c r="P66" s="211"/>
      <c r="Q66" s="211"/>
      <c r="R66" s="210"/>
      <c r="S66" s="211"/>
      <c r="T66" s="211"/>
      <c r="U66" s="211"/>
      <c r="V66" s="211"/>
      <c r="W66" s="210">
        <v>34019.0</v>
      </c>
      <c r="X66" s="199" t="b">
        <v>0</v>
      </c>
      <c r="Y66" s="199">
        <v>49741.0</v>
      </c>
      <c r="Z66" s="199"/>
      <c r="AA66" s="199"/>
      <c r="AB66" s="199"/>
      <c r="AC66" s="199"/>
      <c r="AD66" s="212" t="s">
        <v>683</v>
      </c>
      <c r="AE66" s="212" t="s">
        <v>683</v>
      </c>
      <c r="AF66" s="213" t="str">
        <f>Table1[[#This Row],[2019 Scope 1 (MeT Co2)]]</f>
        <v>#ERROR!</v>
      </c>
      <c r="AG66" s="214" t="str">
        <f t="shared" si="1"/>
        <v>#ERROR!</v>
      </c>
      <c r="AH66" s="215" t="str">
        <f t="shared" si="2"/>
        <v>#ERROR!</v>
      </c>
      <c r="AI66" s="209"/>
      <c r="AJ66" s="209"/>
      <c r="AK66" s="212" t="s">
        <v>683</v>
      </c>
      <c r="AL66" s="212" t="s">
        <v>683</v>
      </c>
      <c r="AM66" s="213" t="str">
        <f>Table1[[#This Row],[2019 Scope 2 ]]</f>
        <v>#ERROR!</v>
      </c>
      <c r="AN66" s="214" t="str">
        <f t="shared" si="3"/>
        <v>#ERROR!</v>
      </c>
      <c r="AO66" s="215" t="str">
        <f t="shared" si="4"/>
        <v>#ERROR!</v>
      </c>
      <c r="AP66" s="214" t="str">
        <f t="shared" si="5"/>
        <v>#ERROR!</v>
      </c>
      <c r="AQ66" s="215" t="str">
        <f t="shared" si="6"/>
        <v>#ERROR!</v>
      </c>
      <c r="AR66" s="216" t="str">
        <f>Table1[[#This Row],[2019 Scope 3 ]]</f>
        <v>#ERROR!</v>
      </c>
      <c r="AS66" s="217" t="str">
        <f t="shared" si="7"/>
        <v>#ERROR!</v>
      </c>
      <c r="AT66" s="218" t="str">
        <f t="shared" si="8"/>
        <v>#ERROR!</v>
      </c>
      <c r="BI66" s="4">
        <v>11796.0</v>
      </c>
    </row>
    <row r="67" ht="12.75" customHeight="1">
      <c r="A67" s="5">
        <f>companies!A67</f>
        <v>66</v>
      </c>
      <c r="B67" s="199" t="s">
        <v>1254</v>
      </c>
      <c r="C67" s="210">
        <v>97639.0</v>
      </c>
      <c r="D67" s="210">
        <v>139110.0</v>
      </c>
      <c r="E67" s="210">
        <v>139110.0</v>
      </c>
      <c r="F67" s="210"/>
      <c r="G67" s="210"/>
      <c r="H67" s="210"/>
      <c r="I67" s="210"/>
      <c r="J67" s="210"/>
      <c r="K67" s="210"/>
      <c r="L67" s="210"/>
      <c r="M67" s="211"/>
      <c r="N67" s="211"/>
      <c r="O67" s="211"/>
      <c r="P67" s="211"/>
      <c r="Q67" s="211"/>
      <c r="R67" s="210"/>
      <c r="S67" s="211"/>
      <c r="T67" s="211"/>
      <c r="U67" s="211"/>
      <c r="V67" s="211"/>
      <c r="W67" s="210">
        <v>1.0963251E7</v>
      </c>
      <c r="X67" s="199">
        <v>139110.0</v>
      </c>
      <c r="Y67" s="199">
        <v>1.12E7</v>
      </c>
      <c r="Z67" s="199"/>
      <c r="AA67" s="199"/>
      <c r="AB67" s="199"/>
      <c r="AC67" s="199"/>
      <c r="AD67" s="212" t="s">
        <v>683</v>
      </c>
      <c r="AE67" s="212" t="s">
        <v>683</v>
      </c>
      <c r="AF67" s="213" t="str">
        <f>Table1[[#This Row],[2019 Scope 1 (MeT Co2)]]</f>
        <v>#ERROR!</v>
      </c>
      <c r="AG67" s="214" t="str">
        <f t="shared" si="1"/>
        <v>#ERROR!</v>
      </c>
      <c r="AH67" s="215" t="str">
        <f t="shared" si="2"/>
        <v>#ERROR!</v>
      </c>
      <c r="AI67" s="209"/>
      <c r="AJ67" s="209"/>
      <c r="AK67" s="212" t="s">
        <v>683</v>
      </c>
      <c r="AL67" s="212" t="s">
        <v>683</v>
      </c>
      <c r="AM67" s="213" t="str">
        <f>Table1[[#This Row],[2019 Scope 2 ]]</f>
        <v>#ERROR!</v>
      </c>
      <c r="AN67" s="214" t="str">
        <f t="shared" si="3"/>
        <v>#ERROR!</v>
      </c>
      <c r="AO67" s="215" t="str">
        <f t="shared" si="4"/>
        <v>#ERROR!</v>
      </c>
      <c r="AP67" s="214" t="str">
        <f t="shared" si="5"/>
        <v>#ERROR!</v>
      </c>
      <c r="AQ67" s="215" t="str">
        <f t="shared" si="6"/>
        <v>#ERROR!</v>
      </c>
      <c r="AR67" s="216" t="str">
        <f>Table1[[#This Row],[2019 Scope 3 ]]</f>
        <v>#ERROR!</v>
      </c>
      <c r="AS67" s="217" t="str">
        <f t="shared" si="7"/>
        <v>#ERROR!</v>
      </c>
      <c r="AT67" s="218" t="str">
        <f t="shared" si="8"/>
        <v>#ERROR!</v>
      </c>
      <c r="BI67" s="4">
        <v>11930.0</v>
      </c>
    </row>
    <row r="68" ht="12.75" customHeight="1">
      <c r="A68" s="5">
        <f>companies!A68</f>
        <v>67</v>
      </c>
      <c r="B68" s="199" t="s">
        <v>1254</v>
      </c>
      <c r="C68" s="210">
        <v>778304.0</v>
      </c>
      <c r="D68" s="210">
        <v>907536.0</v>
      </c>
      <c r="E68" s="210">
        <v>907536.0</v>
      </c>
      <c r="F68" s="210"/>
      <c r="G68" s="210"/>
      <c r="H68" s="210"/>
      <c r="I68" s="210"/>
      <c r="J68" s="210"/>
      <c r="K68" s="210"/>
      <c r="L68" s="210"/>
      <c r="M68" s="211"/>
      <c r="N68" s="211"/>
      <c r="O68" s="211"/>
      <c r="P68" s="211"/>
      <c r="Q68" s="211"/>
      <c r="R68" s="210"/>
      <c r="S68" s="211"/>
      <c r="T68" s="211"/>
      <c r="U68" s="211"/>
      <c r="V68" s="211"/>
      <c r="W68" s="210">
        <v>1.2217015E7</v>
      </c>
      <c r="X68" s="199">
        <v>907536.0</v>
      </c>
      <c r="Y68" s="199">
        <v>1.3902855E7</v>
      </c>
      <c r="Z68" s="199"/>
      <c r="AA68" s="199"/>
      <c r="AB68" s="199"/>
      <c r="AC68" s="199"/>
      <c r="AD68" s="212" t="s">
        <v>683</v>
      </c>
      <c r="AE68" s="212" t="s">
        <v>683</v>
      </c>
      <c r="AF68" s="213" t="str">
        <f>Table1[[#This Row],[2019 Scope 1 (MeT Co2)]]</f>
        <v>#ERROR!</v>
      </c>
      <c r="AG68" s="214" t="str">
        <f t="shared" si="1"/>
        <v>#ERROR!</v>
      </c>
      <c r="AH68" s="215" t="str">
        <f t="shared" si="2"/>
        <v>#ERROR!</v>
      </c>
      <c r="AI68" s="209"/>
      <c r="AJ68" s="209"/>
      <c r="AK68" s="212" t="s">
        <v>683</v>
      </c>
      <c r="AL68" s="212" t="s">
        <v>683</v>
      </c>
      <c r="AM68" s="213" t="str">
        <f>Table1[[#This Row],[2019 Scope 2 ]]</f>
        <v>#ERROR!</v>
      </c>
      <c r="AN68" s="214" t="str">
        <f t="shared" si="3"/>
        <v>#ERROR!</v>
      </c>
      <c r="AO68" s="215" t="str">
        <f t="shared" si="4"/>
        <v>#ERROR!</v>
      </c>
      <c r="AP68" s="214" t="str">
        <f t="shared" si="5"/>
        <v>#ERROR!</v>
      </c>
      <c r="AQ68" s="215" t="str">
        <f t="shared" si="6"/>
        <v>#ERROR!</v>
      </c>
      <c r="AR68" s="216" t="str">
        <f>Table1[[#This Row],[2019 Scope 3 ]]</f>
        <v>#ERROR!</v>
      </c>
      <c r="AS68" s="217" t="str">
        <f t="shared" si="7"/>
        <v>#ERROR!</v>
      </c>
      <c r="AT68" s="218" t="str">
        <f t="shared" si="8"/>
        <v>#ERROR!</v>
      </c>
      <c r="BI68" s="4">
        <v>42037.0</v>
      </c>
    </row>
    <row r="69" ht="12.75" customHeight="1">
      <c r="A69" s="5">
        <f>companies!A69</f>
        <v>68</v>
      </c>
      <c r="B69" s="199" t="s">
        <v>1254</v>
      </c>
      <c r="C69" s="210">
        <v>29450.0</v>
      </c>
      <c r="D69" s="210">
        <v>178350.0</v>
      </c>
      <c r="E69" s="210">
        <v>178350.0</v>
      </c>
      <c r="F69" s="210"/>
      <c r="G69" s="210"/>
      <c r="H69" s="210"/>
      <c r="I69" s="210"/>
      <c r="J69" s="210"/>
      <c r="K69" s="210"/>
      <c r="L69" s="210"/>
      <c r="M69" s="211"/>
      <c r="N69" s="211"/>
      <c r="O69" s="211"/>
      <c r="P69" s="211"/>
      <c r="Q69" s="211"/>
      <c r="R69" s="210"/>
      <c r="S69" s="211"/>
      <c r="T69" s="211"/>
      <c r="U69" s="211"/>
      <c r="V69" s="211"/>
      <c r="W69" s="210">
        <v>1357000.0</v>
      </c>
      <c r="X69" s="199">
        <v>178350.0</v>
      </c>
      <c r="Y69" s="199">
        <v>1564800.0</v>
      </c>
      <c r="Z69" s="199"/>
      <c r="AA69" s="199"/>
      <c r="AB69" s="199"/>
      <c r="AC69" s="199"/>
      <c r="AD69" s="212" t="s">
        <v>683</v>
      </c>
      <c r="AE69" s="212" t="s">
        <v>683</v>
      </c>
      <c r="AF69" s="213" t="str">
        <f>Table1[[#This Row],[2019 Scope 1 (MeT Co2)]]</f>
        <v>#ERROR!</v>
      </c>
      <c r="AG69" s="214" t="str">
        <f t="shared" si="1"/>
        <v>#ERROR!</v>
      </c>
      <c r="AH69" s="215" t="str">
        <f t="shared" si="2"/>
        <v>#ERROR!</v>
      </c>
      <c r="AI69" s="209"/>
      <c r="AJ69" s="209"/>
      <c r="AK69" s="212" t="s">
        <v>683</v>
      </c>
      <c r="AL69" s="212" t="s">
        <v>683</v>
      </c>
      <c r="AM69" s="213" t="str">
        <f>Table1[[#This Row],[2019 Scope 2 ]]</f>
        <v>#ERROR!</v>
      </c>
      <c r="AN69" s="214" t="str">
        <f t="shared" si="3"/>
        <v>#ERROR!</v>
      </c>
      <c r="AO69" s="215" t="str">
        <f t="shared" si="4"/>
        <v>#ERROR!</v>
      </c>
      <c r="AP69" s="214" t="str">
        <f t="shared" si="5"/>
        <v>#ERROR!</v>
      </c>
      <c r="AQ69" s="215" t="str">
        <f t="shared" si="6"/>
        <v>#ERROR!</v>
      </c>
      <c r="AR69" s="216" t="str">
        <f>Table1[[#This Row],[2019 Scope 3 ]]</f>
        <v>#ERROR!</v>
      </c>
      <c r="AS69" s="217" t="str">
        <f t="shared" si="7"/>
        <v>#ERROR!</v>
      </c>
      <c r="AT69" s="218" t="str">
        <f t="shared" si="8"/>
        <v>#ERROR!</v>
      </c>
      <c r="BI69" s="4">
        <v>12406.0</v>
      </c>
    </row>
    <row r="70" ht="12.75" customHeight="1">
      <c r="A70" s="5">
        <f>companies!A70</f>
        <v>69</v>
      </c>
      <c r="B70" s="199" t="s">
        <v>1254</v>
      </c>
      <c r="C70" s="210" t="s">
        <v>536</v>
      </c>
      <c r="D70" s="210" t="s">
        <v>536</v>
      </c>
      <c r="E70" s="210" t="s">
        <v>536</v>
      </c>
      <c r="F70" s="210"/>
      <c r="G70" s="210"/>
      <c r="H70" s="210"/>
      <c r="I70" s="210"/>
      <c r="J70" s="210"/>
      <c r="K70" s="210"/>
      <c r="L70" s="210"/>
      <c r="M70" s="211"/>
      <c r="N70" s="211"/>
      <c r="O70" s="211"/>
      <c r="P70" s="211"/>
      <c r="Q70" s="211"/>
      <c r="R70" s="210"/>
      <c r="S70" s="211"/>
      <c r="T70" s="211"/>
      <c r="U70" s="211"/>
      <c r="V70" s="211"/>
      <c r="W70" s="210" t="s">
        <v>536</v>
      </c>
      <c r="X70" s="199">
        <v>0.0</v>
      </c>
      <c r="Y70" s="199"/>
      <c r="Z70" s="212"/>
      <c r="AA70" s="212"/>
      <c r="AB70" s="212"/>
      <c r="AC70" s="212"/>
      <c r="AD70" s="212" t="e">
        <v>#N/A</v>
      </c>
      <c r="AE70" s="212" t="e">
        <v>#N/A</v>
      </c>
      <c r="AF70" s="213" t="str">
        <f>Table1[[#This Row],[2019 Scope 1 (MeT Co2)]]</f>
        <v>#ERROR!</v>
      </c>
      <c r="AG70" s="214" t="str">
        <f t="shared" si="1"/>
        <v>#ERROR!</v>
      </c>
      <c r="AH70" s="215" t="str">
        <f t="shared" si="2"/>
        <v>#ERROR!</v>
      </c>
      <c r="AI70" s="209"/>
      <c r="AJ70" s="209"/>
      <c r="AK70" s="212" t="e">
        <v>#N/A</v>
      </c>
      <c r="AL70" s="212" t="e">
        <v>#N/A</v>
      </c>
      <c r="AM70" s="213" t="str">
        <f>Table1[[#This Row],[2019 Scope 2 ]]</f>
        <v>#ERROR!</v>
      </c>
      <c r="AN70" s="214" t="str">
        <f t="shared" si="3"/>
        <v>#ERROR!</v>
      </c>
      <c r="AO70" s="215" t="str">
        <f t="shared" si="4"/>
        <v>#ERROR!</v>
      </c>
      <c r="AP70" s="214" t="str">
        <f t="shared" si="5"/>
        <v>#ERROR!</v>
      </c>
      <c r="AQ70" s="215" t="str">
        <f t="shared" si="6"/>
        <v>#ERROR!</v>
      </c>
      <c r="AR70" s="216" t="str">
        <f>Table1[[#This Row],[2019 Scope 3 ]]</f>
        <v>#ERROR!</v>
      </c>
      <c r="AS70" s="217" t="str">
        <f t="shared" si="7"/>
        <v>#ERROR!</v>
      </c>
      <c r="AT70" s="218" t="str">
        <f t="shared" si="8"/>
        <v>#ERROR!</v>
      </c>
    </row>
    <row r="71" ht="12.75" customHeight="1">
      <c r="A71" s="5">
        <f>companies!A71</f>
        <v>70</v>
      </c>
      <c r="B71" s="199" t="s">
        <v>1254</v>
      </c>
      <c r="C71" s="210" t="s">
        <v>536</v>
      </c>
      <c r="D71" s="210" t="s">
        <v>536</v>
      </c>
      <c r="E71" s="210" t="s">
        <v>536</v>
      </c>
      <c r="F71" s="210"/>
      <c r="G71" s="210"/>
      <c r="H71" s="210"/>
      <c r="I71" s="210"/>
      <c r="J71" s="210"/>
      <c r="K71" s="210"/>
      <c r="L71" s="210"/>
      <c r="M71" s="211"/>
      <c r="N71" s="211"/>
      <c r="O71" s="211"/>
      <c r="P71" s="211"/>
      <c r="Q71" s="211"/>
      <c r="R71" s="210"/>
      <c r="S71" s="211"/>
      <c r="T71" s="211"/>
      <c r="U71" s="211"/>
      <c r="V71" s="211"/>
      <c r="W71" s="210" t="s">
        <v>536</v>
      </c>
      <c r="X71" s="199">
        <v>0.0</v>
      </c>
      <c r="Y71" s="199"/>
      <c r="Z71" s="212"/>
      <c r="AA71" s="212"/>
      <c r="AB71" s="212"/>
      <c r="AC71" s="212"/>
      <c r="AD71" s="212" t="e">
        <v>#N/A</v>
      </c>
      <c r="AE71" s="212" t="e">
        <v>#N/A</v>
      </c>
      <c r="AF71" s="213" t="str">
        <f>Table1[[#This Row],[2019 Scope 1 (MeT Co2)]]</f>
        <v>#ERROR!</v>
      </c>
      <c r="AG71" s="214" t="str">
        <f t="shared" si="1"/>
        <v>#ERROR!</v>
      </c>
      <c r="AH71" s="215" t="str">
        <f t="shared" si="2"/>
        <v>#ERROR!</v>
      </c>
      <c r="AI71" s="209"/>
      <c r="AJ71" s="209"/>
      <c r="AK71" s="212" t="e">
        <v>#N/A</v>
      </c>
      <c r="AL71" s="212" t="e">
        <v>#N/A</v>
      </c>
      <c r="AM71" s="213" t="str">
        <f>Table1[[#This Row],[2019 Scope 2 ]]</f>
        <v>#ERROR!</v>
      </c>
      <c r="AN71" s="214" t="str">
        <f t="shared" si="3"/>
        <v>#ERROR!</v>
      </c>
      <c r="AO71" s="215" t="str">
        <f t="shared" si="4"/>
        <v>#ERROR!</v>
      </c>
      <c r="AP71" s="214" t="str">
        <f t="shared" si="5"/>
        <v>#ERROR!</v>
      </c>
      <c r="AQ71" s="215" t="str">
        <f t="shared" si="6"/>
        <v>#ERROR!</v>
      </c>
      <c r="AR71" s="216" t="str">
        <f>Table1[[#This Row],[2019 Scope 3 ]]</f>
        <v>#ERROR!</v>
      </c>
      <c r="AS71" s="217" t="str">
        <f t="shared" si="7"/>
        <v>#ERROR!</v>
      </c>
      <c r="AT71" s="218" t="str">
        <f t="shared" si="8"/>
        <v>#ERROR!</v>
      </c>
    </row>
    <row r="72" ht="12.75" customHeight="1">
      <c r="A72" s="5">
        <f>companies!A72</f>
        <v>71</v>
      </c>
      <c r="B72" s="199" t="s">
        <v>1254</v>
      </c>
      <c r="C72" s="210">
        <v>40139.0</v>
      </c>
      <c r="D72" s="210">
        <v>224489.0</v>
      </c>
      <c r="E72" s="210">
        <v>224489.0</v>
      </c>
      <c r="F72" s="210"/>
      <c r="G72" s="210"/>
      <c r="H72" s="210"/>
      <c r="I72" s="210"/>
      <c r="J72" s="210"/>
      <c r="K72" s="210"/>
      <c r="L72" s="210"/>
      <c r="M72" s="211"/>
      <c r="N72" s="211"/>
      <c r="O72" s="211"/>
      <c r="P72" s="211"/>
      <c r="Q72" s="211"/>
      <c r="R72" s="210"/>
      <c r="S72" s="211"/>
      <c r="T72" s="211"/>
      <c r="U72" s="211"/>
      <c r="V72" s="211"/>
      <c r="W72" s="210">
        <v>2751744.0</v>
      </c>
      <c r="X72" s="199">
        <v>224489.0</v>
      </c>
      <c r="Y72" s="199">
        <v>3016372.0</v>
      </c>
      <c r="Z72" s="199"/>
      <c r="AA72" s="199"/>
      <c r="AB72" s="199"/>
      <c r="AC72" s="199"/>
      <c r="AD72" s="212" t="s">
        <v>1260</v>
      </c>
      <c r="AE72" s="212" t="s">
        <v>1261</v>
      </c>
      <c r="AF72" s="213" t="str">
        <f>Table1[[#This Row],[2019 Scope 1 (MeT Co2)]]</f>
        <v>#ERROR!</v>
      </c>
      <c r="AG72" s="214" t="str">
        <f t="shared" si="1"/>
        <v>#ERROR!</v>
      </c>
      <c r="AH72" s="215" t="str">
        <f t="shared" si="2"/>
        <v>#ERROR!</v>
      </c>
      <c r="AI72" s="209"/>
      <c r="AJ72" s="209"/>
      <c r="AK72" s="212" t="s">
        <v>1260</v>
      </c>
      <c r="AL72" s="212" t="s">
        <v>1261</v>
      </c>
      <c r="AM72" s="213" t="str">
        <f>Table1[[#This Row],[2019 Scope 2 ]]</f>
        <v>#ERROR!</v>
      </c>
      <c r="AN72" s="214" t="str">
        <f t="shared" si="3"/>
        <v>#ERROR!</v>
      </c>
      <c r="AO72" s="215" t="str">
        <f t="shared" si="4"/>
        <v>#ERROR!</v>
      </c>
      <c r="AP72" s="214" t="str">
        <f t="shared" si="5"/>
        <v>#ERROR!</v>
      </c>
      <c r="AQ72" s="215" t="str">
        <f t="shared" si="6"/>
        <v>#ERROR!</v>
      </c>
      <c r="AR72" s="216" t="str">
        <f>Table1[[#This Row],[2019 Scope 3 ]]</f>
        <v>#ERROR!</v>
      </c>
      <c r="AS72" s="217" t="str">
        <f t="shared" si="7"/>
        <v>#ERROR!</v>
      </c>
      <c r="AT72" s="218" t="str">
        <f t="shared" si="8"/>
        <v>#ERROR!</v>
      </c>
      <c r="BI72" s="4">
        <v>13279.0</v>
      </c>
    </row>
    <row r="73" ht="12.75" customHeight="1">
      <c r="A73" s="5">
        <f>companies!A73</f>
        <v>72</v>
      </c>
      <c r="B73" s="199" t="s">
        <v>1254</v>
      </c>
      <c r="C73" s="210">
        <v>2571.0</v>
      </c>
      <c r="D73" s="210">
        <v>47142.0</v>
      </c>
      <c r="E73" s="210">
        <v>47142.0</v>
      </c>
      <c r="F73" s="210"/>
      <c r="G73" s="210"/>
      <c r="H73" s="210"/>
      <c r="I73" s="210"/>
      <c r="J73" s="210"/>
      <c r="K73" s="210"/>
      <c r="L73" s="210"/>
      <c r="M73" s="211"/>
      <c r="N73" s="211"/>
      <c r="O73" s="211"/>
      <c r="P73" s="211"/>
      <c r="Q73" s="211"/>
      <c r="R73" s="210"/>
      <c r="S73" s="211"/>
      <c r="T73" s="211"/>
      <c r="U73" s="211"/>
      <c r="V73" s="211"/>
      <c r="W73" s="210">
        <v>277014.0</v>
      </c>
      <c r="X73" s="199">
        <v>47142.0</v>
      </c>
      <c r="Y73" s="199">
        <v>326727.0</v>
      </c>
      <c r="Z73" s="199"/>
      <c r="AA73" s="199"/>
      <c r="AB73" s="199"/>
      <c r="AC73" s="199"/>
      <c r="AD73" s="212" t="s">
        <v>683</v>
      </c>
      <c r="AE73" s="212" t="s">
        <v>683</v>
      </c>
      <c r="AF73" s="213" t="str">
        <f>Table1[[#This Row],[2019 Scope 1 (MeT Co2)]]</f>
        <v>#ERROR!</v>
      </c>
      <c r="AG73" s="214" t="str">
        <f t="shared" si="1"/>
        <v>#ERROR!</v>
      </c>
      <c r="AH73" s="215" t="str">
        <f t="shared" si="2"/>
        <v>#ERROR!</v>
      </c>
      <c r="AI73" s="209"/>
      <c r="AJ73" s="209"/>
      <c r="AK73" s="212" t="s">
        <v>683</v>
      </c>
      <c r="AL73" s="212" t="s">
        <v>683</v>
      </c>
      <c r="AM73" s="213" t="str">
        <f>Table1[[#This Row],[2019 Scope 2 ]]</f>
        <v>#ERROR!</v>
      </c>
      <c r="AN73" s="214" t="str">
        <f t="shared" si="3"/>
        <v>#ERROR!</v>
      </c>
      <c r="AO73" s="219" t="str">
        <f t="shared" si="4"/>
        <v>#ERROR!</v>
      </c>
      <c r="AP73" s="214" t="str">
        <f t="shared" si="5"/>
        <v>#ERROR!</v>
      </c>
      <c r="AQ73" s="219" t="str">
        <f t="shared" si="6"/>
        <v>#ERROR!</v>
      </c>
      <c r="AR73" s="216" t="str">
        <f>Table1[[#This Row],[2019 Scope 3 ]]</f>
        <v>#ERROR!</v>
      </c>
      <c r="AS73" s="217" t="str">
        <f t="shared" si="7"/>
        <v>#ERROR!</v>
      </c>
      <c r="AT73" s="218" t="str">
        <f t="shared" si="8"/>
        <v>#ERROR!</v>
      </c>
      <c r="BI73" s="199">
        <v>13604.0</v>
      </c>
    </row>
    <row r="74" ht="12.75" customHeight="1">
      <c r="A74" s="5">
        <f>companies!A74</f>
        <v>73</v>
      </c>
      <c r="B74" s="199" t="s">
        <v>1254</v>
      </c>
      <c r="C74" s="210">
        <v>1.13E7</v>
      </c>
      <c r="D74" s="210">
        <v>4200000.0</v>
      </c>
      <c r="E74" s="210">
        <v>4200000.0</v>
      </c>
      <c r="F74" s="210"/>
      <c r="G74" s="210"/>
      <c r="H74" s="210"/>
      <c r="I74" s="210"/>
      <c r="J74" s="210"/>
      <c r="K74" s="210"/>
      <c r="L74" s="210"/>
      <c r="M74" s="211"/>
      <c r="N74" s="211"/>
      <c r="O74" s="211"/>
      <c r="P74" s="211"/>
      <c r="Q74" s="211"/>
      <c r="R74" s="210"/>
      <c r="S74" s="211"/>
      <c r="T74" s="211"/>
      <c r="U74" s="211"/>
      <c r="V74" s="211"/>
      <c r="W74" s="210">
        <v>6.3E7</v>
      </c>
      <c r="X74" s="199">
        <v>4200000.0</v>
      </c>
      <c r="Y74" s="199">
        <v>7.85E7</v>
      </c>
      <c r="Z74" s="212"/>
      <c r="AA74" s="212"/>
      <c r="AB74" s="212"/>
      <c r="AC74" s="212"/>
      <c r="AD74" s="212" t="s">
        <v>683</v>
      </c>
      <c r="AE74" s="212" t="s">
        <v>683</v>
      </c>
      <c r="AF74" s="213" t="str">
        <f>Table1[[#This Row],[2019 Scope 1 (MeT Co2)]]</f>
        <v>#ERROR!</v>
      </c>
      <c r="AG74" s="214" t="str">
        <f t="shared" si="1"/>
        <v>#ERROR!</v>
      </c>
      <c r="AH74" s="215" t="str">
        <f t="shared" si="2"/>
        <v>#ERROR!</v>
      </c>
      <c r="AI74" s="209"/>
      <c r="AJ74" s="209"/>
      <c r="AK74" s="212" t="s">
        <v>683</v>
      </c>
      <c r="AL74" s="212" t="s">
        <v>683</v>
      </c>
      <c r="AM74" s="213" t="str">
        <f>Table1[[#This Row],[2019 Scope 2 ]]</f>
        <v>#ERROR!</v>
      </c>
      <c r="AN74" s="214" t="str">
        <f t="shared" si="3"/>
        <v>#ERROR!</v>
      </c>
      <c r="AO74" s="215" t="str">
        <f t="shared" si="4"/>
        <v>#ERROR!</v>
      </c>
      <c r="AP74" s="214" t="str">
        <f t="shared" si="5"/>
        <v>#ERROR!</v>
      </c>
      <c r="AQ74" s="215" t="str">
        <f t="shared" si="6"/>
        <v>#ERROR!</v>
      </c>
      <c r="AR74" s="216" t="str">
        <f>Table1[[#This Row],[2019 Scope 3 ]]</f>
        <v>#ERROR!</v>
      </c>
      <c r="AS74" s="217" t="str">
        <f t="shared" si="7"/>
        <v>#ERROR!</v>
      </c>
      <c r="AT74" s="218" t="str">
        <f t="shared" si="8"/>
        <v>#ERROR!</v>
      </c>
      <c r="BI74" s="4">
        <v>13649.0</v>
      </c>
    </row>
    <row r="75" ht="12.75" customHeight="1">
      <c r="A75" s="5">
        <f>companies!A75</f>
        <v>74</v>
      </c>
      <c r="B75" s="199" t="s">
        <v>1254</v>
      </c>
      <c r="C75" s="210">
        <v>14763.0</v>
      </c>
      <c r="D75" s="210">
        <v>403160.0</v>
      </c>
      <c r="E75" s="210">
        <v>403160.0</v>
      </c>
      <c r="F75" s="210"/>
      <c r="G75" s="210"/>
      <c r="H75" s="210"/>
      <c r="I75" s="210"/>
      <c r="J75" s="210"/>
      <c r="K75" s="210"/>
      <c r="L75" s="210"/>
      <c r="M75" s="211"/>
      <c r="N75" s="211"/>
      <c r="O75" s="211"/>
      <c r="P75" s="211"/>
      <c r="Q75" s="211"/>
      <c r="R75" s="210"/>
      <c r="S75" s="211"/>
      <c r="T75" s="211"/>
      <c r="U75" s="211"/>
      <c r="V75" s="211"/>
      <c r="W75" s="210">
        <v>991706.12</v>
      </c>
      <c r="X75" s="199">
        <v>403160.0</v>
      </c>
      <c r="Y75" s="199">
        <v>1409629.12</v>
      </c>
      <c r="Z75" s="199"/>
      <c r="AA75" s="199"/>
      <c r="AB75" s="199"/>
      <c r="AC75" s="199"/>
      <c r="AD75" s="212" t="s">
        <v>683</v>
      </c>
      <c r="AE75" s="212" t="s">
        <v>683</v>
      </c>
      <c r="AF75" s="213" t="str">
        <f>Table1[[#This Row],[2019 Scope 1 (MeT Co2)]]</f>
        <v>#ERROR!</v>
      </c>
      <c r="AG75" s="214" t="str">
        <f t="shared" si="1"/>
        <v>#ERROR!</v>
      </c>
      <c r="AH75" s="215" t="str">
        <f t="shared" si="2"/>
        <v>#ERROR!</v>
      </c>
      <c r="AI75" s="209"/>
      <c r="AJ75" s="209"/>
      <c r="AK75" s="212" t="s">
        <v>683</v>
      </c>
      <c r="AL75" s="212" t="s">
        <v>683</v>
      </c>
      <c r="AM75" s="213" t="str">
        <f>Table1[[#This Row],[2019 Scope 2 ]]</f>
        <v>#ERROR!</v>
      </c>
      <c r="AN75" s="214" t="str">
        <f t="shared" si="3"/>
        <v>#ERROR!</v>
      </c>
      <c r="AO75" s="215" t="str">
        <f t="shared" si="4"/>
        <v>#ERROR!</v>
      </c>
      <c r="AP75" s="214" t="str">
        <f t="shared" si="5"/>
        <v>#ERROR!</v>
      </c>
      <c r="AQ75" s="215" t="str">
        <f t="shared" si="6"/>
        <v>#ERROR!</v>
      </c>
      <c r="AR75" s="216" t="str">
        <f>Table1[[#This Row],[2019 Scope 3 ]]</f>
        <v>#ERROR!</v>
      </c>
      <c r="AS75" s="217" t="str">
        <f t="shared" si="7"/>
        <v>#ERROR!</v>
      </c>
      <c r="AT75" s="218" t="str">
        <f t="shared" si="8"/>
        <v>#ERROR!</v>
      </c>
      <c r="BI75" s="4">
        <v>14013.0</v>
      </c>
    </row>
    <row r="76" ht="12.75" customHeight="1">
      <c r="A76" s="5">
        <f>companies!A76</f>
        <v>75</v>
      </c>
      <c r="B76" s="199" t="s">
        <v>1254</v>
      </c>
      <c r="C76" s="210">
        <v>9600.0</v>
      </c>
      <c r="D76" s="210">
        <v>57800.0</v>
      </c>
      <c r="E76" s="210">
        <v>57800.0</v>
      </c>
      <c r="F76" s="210"/>
      <c r="G76" s="210"/>
      <c r="H76" s="210"/>
      <c r="I76" s="210"/>
      <c r="J76" s="210"/>
      <c r="K76" s="210"/>
      <c r="L76" s="210"/>
      <c r="M76" s="211"/>
      <c r="N76" s="211"/>
      <c r="O76" s="211"/>
      <c r="P76" s="211"/>
      <c r="Q76" s="211"/>
      <c r="R76" s="210"/>
      <c r="S76" s="211"/>
      <c r="T76" s="211"/>
      <c r="U76" s="211"/>
      <c r="V76" s="211"/>
      <c r="W76" s="210">
        <v>24500.0</v>
      </c>
      <c r="X76" s="199">
        <v>57800.0</v>
      </c>
      <c r="Y76" s="199">
        <v>91900.0</v>
      </c>
      <c r="Z76" s="199"/>
      <c r="AA76" s="199"/>
      <c r="AB76" s="199"/>
      <c r="AC76" s="199"/>
      <c r="AD76" s="212" t="s">
        <v>1255</v>
      </c>
      <c r="AE76" s="212" t="s">
        <v>1256</v>
      </c>
      <c r="AF76" s="213" t="str">
        <f>Table1[[#This Row],[2019 Scope 1 (MeT Co2)]]</f>
        <v>#ERROR!</v>
      </c>
      <c r="AG76" s="214" t="str">
        <f t="shared" si="1"/>
        <v>#ERROR!</v>
      </c>
      <c r="AH76" s="215" t="str">
        <f t="shared" si="2"/>
        <v>#ERROR!</v>
      </c>
      <c r="AI76" s="209"/>
      <c r="AJ76" s="209"/>
      <c r="AK76" s="212" t="s">
        <v>1255</v>
      </c>
      <c r="AL76" s="212" t="s">
        <v>1256</v>
      </c>
      <c r="AM76" s="213" t="str">
        <f>Table1[[#This Row],[2019 Scope 2 ]]</f>
        <v>#ERROR!</v>
      </c>
      <c r="AN76" s="214" t="str">
        <f t="shared" si="3"/>
        <v>#ERROR!</v>
      </c>
      <c r="AO76" s="215" t="str">
        <f t="shared" si="4"/>
        <v>#ERROR!</v>
      </c>
      <c r="AP76" s="214" t="str">
        <f t="shared" si="5"/>
        <v>#ERROR!</v>
      </c>
      <c r="AQ76" s="215" t="str">
        <f t="shared" si="6"/>
        <v>#ERROR!</v>
      </c>
      <c r="AR76" s="216" t="str">
        <f>Table1[[#This Row],[2019 Scope 3 ]]</f>
        <v>#ERROR!</v>
      </c>
      <c r="AS76" s="217" t="str">
        <f t="shared" si="7"/>
        <v>#ERROR!</v>
      </c>
      <c r="AT76" s="218" t="str">
        <f t="shared" si="8"/>
        <v>#ERROR!</v>
      </c>
      <c r="BI76" s="199">
        <v>58304.0</v>
      </c>
    </row>
    <row r="77" ht="12.75" customHeight="1">
      <c r="A77" s="5">
        <f>companies!A77</f>
        <v>76</v>
      </c>
      <c r="B77" s="199" t="s">
        <v>1254</v>
      </c>
      <c r="C77" s="210">
        <v>3734520.0</v>
      </c>
      <c r="D77" s="210">
        <v>1713950.0</v>
      </c>
      <c r="E77" s="210">
        <v>1713950.0</v>
      </c>
      <c r="F77" s="210"/>
      <c r="G77" s="210"/>
      <c r="H77" s="210"/>
      <c r="I77" s="210"/>
      <c r="J77" s="210"/>
      <c r="K77" s="210"/>
      <c r="L77" s="210"/>
      <c r="M77" s="211"/>
      <c r="N77" s="211"/>
      <c r="O77" s="211"/>
      <c r="P77" s="211"/>
      <c r="Q77" s="211"/>
      <c r="R77" s="210"/>
      <c r="S77" s="211"/>
      <c r="T77" s="211"/>
      <c r="U77" s="211"/>
      <c r="V77" s="211"/>
      <c r="W77" s="210">
        <v>6.281798E7</v>
      </c>
      <c r="X77" s="199">
        <v>1713950.0</v>
      </c>
      <c r="Y77" s="199">
        <v>6.826645E7</v>
      </c>
      <c r="Z77" s="199"/>
      <c r="AA77" s="199"/>
      <c r="AB77" s="199"/>
      <c r="AC77" s="199"/>
      <c r="AD77" s="212" t="s">
        <v>683</v>
      </c>
      <c r="AE77" s="212" t="s">
        <v>683</v>
      </c>
      <c r="AF77" s="213" t="str">
        <f>Table1[[#This Row],[2019 Scope 1 (MeT Co2)]]</f>
        <v>#ERROR!</v>
      </c>
      <c r="AG77" s="214" t="str">
        <f t="shared" si="1"/>
        <v>#ERROR!</v>
      </c>
      <c r="AH77" s="215" t="str">
        <f t="shared" si="2"/>
        <v>#ERROR!</v>
      </c>
      <c r="AI77" s="209"/>
      <c r="AJ77" s="209"/>
      <c r="AK77" s="212" t="s">
        <v>683</v>
      </c>
      <c r="AL77" s="212" t="s">
        <v>683</v>
      </c>
      <c r="AM77" s="213" t="str">
        <f>Table1[[#This Row],[2019 Scope 2 ]]</f>
        <v>#ERROR!</v>
      </c>
      <c r="AN77" s="214" t="str">
        <f t="shared" si="3"/>
        <v>#ERROR!</v>
      </c>
      <c r="AO77" s="215" t="str">
        <f t="shared" si="4"/>
        <v>#ERROR!</v>
      </c>
      <c r="AP77" s="214" t="str">
        <f t="shared" si="5"/>
        <v>#ERROR!</v>
      </c>
      <c r="AQ77" s="215" t="str">
        <f t="shared" si="6"/>
        <v>#ERROR!</v>
      </c>
      <c r="AR77" s="216" t="str">
        <f>Table1[[#This Row],[2019 Scope 3 ]]</f>
        <v>#ERROR!</v>
      </c>
      <c r="AS77" s="217" t="str">
        <f t="shared" si="7"/>
        <v>#ERROR!</v>
      </c>
      <c r="AT77" s="218" t="str">
        <f t="shared" si="8"/>
        <v>#ERROR!</v>
      </c>
      <c r="BI77" s="4">
        <v>14605.0</v>
      </c>
    </row>
    <row r="78" ht="12.75" customHeight="1">
      <c r="A78" s="5">
        <f>companies!A78</f>
        <v>77</v>
      </c>
      <c r="B78" s="199" t="s">
        <v>1254</v>
      </c>
      <c r="C78" s="210">
        <v>788838.0</v>
      </c>
      <c r="D78" s="210">
        <v>812923.0</v>
      </c>
      <c r="E78" s="210">
        <v>812923.0</v>
      </c>
      <c r="F78" s="210"/>
      <c r="G78" s="210"/>
      <c r="H78" s="210"/>
      <c r="I78" s="210"/>
      <c r="J78" s="210"/>
      <c r="K78" s="210"/>
      <c r="L78" s="210"/>
      <c r="M78" s="211"/>
      <c r="N78" s="211"/>
      <c r="O78" s="211"/>
      <c r="P78" s="211"/>
      <c r="Q78" s="211"/>
      <c r="R78" s="210"/>
      <c r="S78" s="211"/>
      <c r="T78" s="211"/>
      <c r="U78" s="211"/>
      <c r="V78" s="211"/>
      <c r="W78" s="210" t="s">
        <v>536</v>
      </c>
      <c r="X78" s="199">
        <v>812923.0</v>
      </c>
      <c r="Y78" s="199"/>
      <c r="Z78" s="199"/>
      <c r="AA78" s="199"/>
      <c r="AB78" s="199"/>
      <c r="AC78" s="199"/>
      <c r="AD78" s="212" t="s">
        <v>1255</v>
      </c>
      <c r="AE78" s="212" t="s">
        <v>1256</v>
      </c>
      <c r="AF78" s="213" t="str">
        <f>Table1[[#This Row],[2019 Scope 1 (MeT Co2)]]</f>
        <v>#ERROR!</v>
      </c>
      <c r="AG78" s="214" t="str">
        <f t="shared" si="1"/>
        <v>#ERROR!</v>
      </c>
      <c r="AH78" s="215" t="str">
        <f t="shared" si="2"/>
        <v>#ERROR!</v>
      </c>
      <c r="AI78" s="209"/>
      <c r="AJ78" s="209"/>
      <c r="AK78" s="212" t="s">
        <v>1255</v>
      </c>
      <c r="AL78" s="212" t="s">
        <v>1256</v>
      </c>
      <c r="AM78" s="213" t="str">
        <f>Table1[[#This Row],[2019 Scope 2 ]]</f>
        <v>#ERROR!</v>
      </c>
      <c r="AN78" s="214" t="str">
        <f t="shared" si="3"/>
        <v>#ERROR!</v>
      </c>
      <c r="AO78" s="215" t="str">
        <f t="shared" si="4"/>
        <v>#ERROR!</v>
      </c>
      <c r="AP78" s="214" t="str">
        <f t="shared" si="5"/>
        <v>#ERROR!</v>
      </c>
      <c r="AQ78" s="215" t="str">
        <f t="shared" si="6"/>
        <v>#ERROR!</v>
      </c>
      <c r="AR78" s="216" t="str">
        <f>Table1[[#This Row],[2019 Scope 3 ]]</f>
        <v>#ERROR!</v>
      </c>
      <c r="AS78" s="217" t="str">
        <f t="shared" si="7"/>
        <v>#ERROR!</v>
      </c>
      <c r="AT78" s="218" t="str">
        <f t="shared" si="8"/>
        <v>#ERROR!</v>
      </c>
      <c r="BI78" s="4">
        <v>14683.0</v>
      </c>
    </row>
    <row r="79" ht="12.75" customHeight="1">
      <c r="A79" s="5">
        <f>companies!A79</f>
        <v>78</v>
      </c>
      <c r="B79" s="199" t="s">
        <v>1254</v>
      </c>
      <c r="C79" s="210">
        <v>388384.0</v>
      </c>
      <c r="D79" s="210">
        <v>241355.0</v>
      </c>
      <c r="E79" s="210">
        <v>241355.0</v>
      </c>
      <c r="F79" s="210"/>
      <c r="G79" s="210"/>
      <c r="H79" s="210"/>
      <c r="I79" s="210"/>
      <c r="J79" s="210"/>
      <c r="K79" s="210"/>
      <c r="L79" s="210"/>
      <c r="M79" s="211"/>
      <c r="N79" s="211"/>
      <c r="O79" s="211"/>
      <c r="P79" s="211"/>
      <c r="Q79" s="211"/>
      <c r="R79" s="210"/>
      <c r="S79" s="211"/>
      <c r="T79" s="211"/>
      <c r="U79" s="211"/>
      <c r="V79" s="211"/>
      <c r="W79" s="210">
        <v>5137000.0</v>
      </c>
      <c r="X79" s="199">
        <v>241355.0</v>
      </c>
      <c r="Y79" s="199">
        <v>5766739.0</v>
      </c>
      <c r="Z79" s="199"/>
      <c r="AA79" s="199"/>
      <c r="AB79" s="199"/>
      <c r="AC79" s="199"/>
      <c r="AD79" s="212" t="s">
        <v>683</v>
      </c>
      <c r="AE79" s="212" t="s">
        <v>683</v>
      </c>
      <c r="AF79" s="213" t="str">
        <f>Table1[[#This Row],[2019 Scope 1 (MeT Co2)]]</f>
        <v>#ERROR!</v>
      </c>
      <c r="AG79" s="214" t="str">
        <f t="shared" si="1"/>
        <v>#ERROR!</v>
      </c>
      <c r="AH79" s="215" t="str">
        <f t="shared" si="2"/>
        <v>#ERROR!</v>
      </c>
      <c r="AI79" s="209"/>
      <c r="AJ79" s="209"/>
      <c r="AK79" s="212" t="s">
        <v>683</v>
      </c>
      <c r="AL79" s="212" t="s">
        <v>683</v>
      </c>
      <c r="AM79" s="213" t="str">
        <f>Table1[[#This Row],[2019 Scope 2 ]]</f>
        <v>#ERROR!</v>
      </c>
      <c r="AN79" s="214" t="str">
        <f t="shared" si="3"/>
        <v>#ERROR!</v>
      </c>
      <c r="AO79" s="215" t="str">
        <f t="shared" si="4"/>
        <v>#ERROR!</v>
      </c>
      <c r="AP79" s="214" t="str">
        <f t="shared" si="5"/>
        <v>#ERROR!</v>
      </c>
      <c r="AQ79" s="215" t="str">
        <f t="shared" si="6"/>
        <v>#ERROR!</v>
      </c>
      <c r="AR79" s="216" t="str">
        <f>Table1[[#This Row],[2019 Scope 3 ]]</f>
        <v>#ERROR!</v>
      </c>
      <c r="AS79" s="217" t="str">
        <f t="shared" si="7"/>
        <v>#ERROR!</v>
      </c>
      <c r="AT79" s="218" t="str">
        <f t="shared" si="8"/>
        <v>#ERROR!</v>
      </c>
      <c r="BI79" s="199">
        <v>14712.0</v>
      </c>
    </row>
    <row r="80" ht="12.75" customHeight="1">
      <c r="A80" s="5">
        <f>companies!A80</f>
        <v>79</v>
      </c>
      <c r="B80" s="199" t="s">
        <v>1254</v>
      </c>
      <c r="C80" s="210">
        <v>2122000.0</v>
      </c>
      <c r="D80" s="210">
        <v>2437000.0</v>
      </c>
      <c r="E80" s="210">
        <v>2437000.0</v>
      </c>
      <c r="F80" s="210"/>
      <c r="G80" s="210"/>
      <c r="H80" s="210"/>
      <c r="I80" s="210"/>
      <c r="J80" s="210"/>
      <c r="K80" s="210"/>
      <c r="L80" s="210"/>
      <c r="M80" s="211"/>
      <c r="N80" s="211"/>
      <c r="O80" s="211"/>
      <c r="P80" s="211"/>
      <c r="Q80" s="211"/>
      <c r="R80" s="210"/>
      <c r="S80" s="211"/>
      <c r="T80" s="211"/>
      <c r="U80" s="211"/>
      <c r="V80" s="211"/>
      <c r="W80" s="210">
        <v>2.35218042E8</v>
      </c>
      <c r="X80" s="199">
        <v>2437000.0</v>
      </c>
      <c r="Y80" s="199">
        <v>2.39777042E8</v>
      </c>
      <c r="Z80" s="199"/>
      <c r="AA80" s="199"/>
      <c r="AB80" s="199"/>
      <c r="AC80" s="199"/>
      <c r="AD80" s="212" t="s">
        <v>683</v>
      </c>
      <c r="AE80" s="212" t="s">
        <v>683</v>
      </c>
      <c r="AF80" s="213" t="str">
        <f>Table1[[#This Row],[2019 Scope 1 (MeT Co2)]]</f>
        <v>#ERROR!</v>
      </c>
      <c r="AG80" s="214" t="str">
        <f t="shared" si="1"/>
        <v>#ERROR!</v>
      </c>
      <c r="AH80" s="215" t="str">
        <f t="shared" si="2"/>
        <v>#ERROR!</v>
      </c>
      <c r="AI80" s="209"/>
      <c r="AJ80" s="209"/>
      <c r="AK80" s="212" t="s">
        <v>683</v>
      </c>
      <c r="AL80" s="212" t="s">
        <v>683</v>
      </c>
      <c r="AM80" s="213" t="str">
        <f>Table1[[#This Row],[2019 Scope 2 ]]</f>
        <v>#ERROR!</v>
      </c>
      <c r="AN80" s="214" t="str">
        <f t="shared" si="3"/>
        <v>#ERROR!</v>
      </c>
      <c r="AO80" s="215" t="str">
        <f t="shared" si="4"/>
        <v>#ERROR!</v>
      </c>
      <c r="AP80" s="214" t="str">
        <f t="shared" si="5"/>
        <v>#ERROR!</v>
      </c>
      <c r="AQ80" s="215" t="str">
        <f t="shared" si="6"/>
        <v>#ERROR!</v>
      </c>
      <c r="AR80" s="216" t="str">
        <f>Table1[[#This Row],[2019 Scope 3 ]]</f>
        <v>#ERROR!</v>
      </c>
      <c r="AS80" s="217" t="str">
        <f t="shared" si="7"/>
        <v>#ERROR!</v>
      </c>
      <c r="AT80" s="218" t="str">
        <f t="shared" si="8"/>
        <v>#ERROR!</v>
      </c>
      <c r="BI80" s="199">
        <v>15132.0</v>
      </c>
    </row>
    <row r="81" ht="12.75" customHeight="1">
      <c r="A81" s="5">
        <f>companies!A81</f>
        <v>80</v>
      </c>
      <c r="B81" s="199" t="s">
        <v>1254</v>
      </c>
      <c r="C81" s="210">
        <v>80179.0</v>
      </c>
      <c r="D81" s="210">
        <v>128298.0</v>
      </c>
      <c r="E81" s="210">
        <v>128298.0</v>
      </c>
      <c r="F81" s="210"/>
      <c r="G81" s="210"/>
      <c r="H81" s="210"/>
      <c r="I81" s="210"/>
      <c r="J81" s="210"/>
      <c r="K81" s="210"/>
      <c r="L81" s="210"/>
      <c r="M81" s="211"/>
      <c r="N81" s="211"/>
      <c r="O81" s="211"/>
      <c r="P81" s="211"/>
      <c r="Q81" s="211"/>
      <c r="R81" s="210"/>
      <c r="S81" s="211"/>
      <c r="T81" s="211"/>
      <c r="U81" s="211"/>
      <c r="V81" s="211"/>
      <c r="W81" s="210">
        <v>112252.0</v>
      </c>
      <c r="X81" s="199">
        <v>128298.0</v>
      </c>
      <c r="Y81" s="199">
        <v>320729.0</v>
      </c>
      <c r="Z81" s="199"/>
      <c r="AA81" s="199"/>
      <c r="AB81" s="199"/>
      <c r="AC81" s="199"/>
      <c r="AD81" s="212" t="s">
        <v>683</v>
      </c>
      <c r="AE81" s="212" t="s">
        <v>683</v>
      </c>
      <c r="AF81" s="213" t="str">
        <f>Table1[[#This Row],[2019 Scope 1 (MeT Co2)]]</f>
        <v>#ERROR!</v>
      </c>
      <c r="AG81" s="214" t="str">
        <f t="shared" si="1"/>
        <v>#ERROR!</v>
      </c>
      <c r="AH81" s="215" t="str">
        <f t="shared" si="2"/>
        <v>#ERROR!</v>
      </c>
      <c r="AI81" s="209"/>
      <c r="AJ81" s="209"/>
      <c r="AK81" s="212" t="s">
        <v>683</v>
      </c>
      <c r="AL81" s="212" t="s">
        <v>683</v>
      </c>
      <c r="AM81" s="213" t="str">
        <f>Table1[[#This Row],[2019 Scope 2 ]]</f>
        <v>#ERROR!</v>
      </c>
      <c r="AN81" s="214" t="str">
        <f t="shared" si="3"/>
        <v>#ERROR!</v>
      </c>
      <c r="AO81" s="215" t="str">
        <f t="shared" si="4"/>
        <v>#ERROR!</v>
      </c>
      <c r="AP81" s="214" t="str">
        <f t="shared" si="5"/>
        <v>#ERROR!</v>
      </c>
      <c r="AQ81" s="215" t="str">
        <f t="shared" si="6"/>
        <v>#ERROR!</v>
      </c>
      <c r="AR81" s="216" t="str">
        <f>Table1[[#This Row],[2019 Scope 3 ]]</f>
        <v>#ERROR!</v>
      </c>
      <c r="AS81" s="217" t="str">
        <f t="shared" si="7"/>
        <v>#ERROR!</v>
      </c>
      <c r="AT81" s="218" t="str">
        <f t="shared" si="8"/>
        <v>#ERROR!</v>
      </c>
      <c r="BI81" s="199">
        <v>15419.0</v>
      </c>
    </row>
    <row r="82" ht="12.75" customHeight="1">
      <c r="A82" s="5">
        <f>companies!A82</f>
        <v>81</v>
      </c>
      <c r="B82" s="199" t="s">
        <v>1254</v>
      </c>
      <c r="C82" s="210" t="s">
        <v>536</v>
      </c>
      <c r="D82" s="210" t="s">
        <v>536</v>
      </c>
      <c r="E82" s="210" t="s">
        <v>536</v>
      </c>
      <c r="F82" s="210"/>
      <c r="G82" s="210"/>
      <c r="H82" s="210"/>
      <c r="I82" s="210"/>
      <c r="J82" s="210"/>
      <c r="K82" s="210"/>
      <c r="L82" s="210"/>
      <c r="M82" s="211"/>
      <c r="N82" s="211"/>
      <c r="O82" s="211"/>
      <c r="P82" s="211"/>
      <c r="Q82" s="211"/>
      <c r="R82" s="210"/>
      <c r="S82" s="211"/>
      <c r="T82" s="211"/>
      <c r="U82" s="211"/>
      <c r="V82" s="211"/>
      <c r="W82" s="210" t="s">
        <v>536</v>
      </c>
      <c r="X82" s="199">
        <v>0.0</v>
      </c>
      <c r="Y82" s="199"/>
      <c r="Z82" s="212"/>
      <c r="AA82" s="212"/>
      <c r="AB82" s="212"/>
      <c r="AC82" s="212"/>
      <c r="AD82" s="212" t="e">
        <v>#N/A</v>
      </c>
      <c r="AE82" s="212" t="e">
        <v>#N/A</v>
      </c>
      <c r="AF82" s="213" t="str">
        <f>Table1[[#This Row],[2019 Scope 1 (MeT Co2)]]</f>
        <v>#ERROR!</v>
      </c>
      <c r="AG82" s="214" t="str">
        <f t="shared" si="1"/>
        <v>#ERROR!</v>
      </c>
      <c r="AH82" s="215" t="str">
        <f t="shared" si="2"/>
        <v>#ERROR!</v>
      </c>
      <c r="AI82" s="209"/>
      <c r="AJ82" s="209"/>
      <c r="AK82" s="212" t="e">
        <v>#N/A</v>
      </c>
      <c r="AL82" s="212" t="e">
        <v>#N/A</v>
      </c>
      <c r="AM82" s="213" t="str">
        <f>Table1[[#This Row],[2019 Scope 2 ]]</f>
        <v>#ERROR!</v>
      </c>
      <c r="AN82" s="214" t="str">
        <f t="shared" si="3"/>
        <v>#ERROR!</v>
      </c>
      <c r="AO82" s="215" t="str">
        <f t="shared" si="4"/>
        <v>#ERROR!</v>
      </c>
      <c r="AP82" s="214" t="str">
        <f t="shared" si="5"/>
        <v>#ERROR!</v>
      </c>
      <c r="AQ82" s="215" t="str">
        <f t="shared" si="6"/>
        <v>#ERROR!</v>
      </c>
      <c r="AR82" s="216" t="str">
        <f>Table1[[#This Row],[2019 Scope 3 ]]</f>
        <v>#ERROR!</v>
      </c>
      <c r="AS82" s="217" t="str">
        <f t="shared" si="7"/>
        <v>#ERROR!</v>
      </c>
      <c r="AT82" s="218" t="str">
        <f t="shared" si="8"/>
        <v>#ERROR!</v>
      </c>
    </row>
    <row r="83" ht="12.75" customHeight="1">
      <c r="A83" s="5">
        <f>companies!A83</f>
        <v>82</v>
      </c>
      <c r="B83" s="199" t="s">
        <v>1254</v>
      </c>
      <c r="C83" s="210">
        <v>4000.0</v>
      </c>
      <c r="D83" s="210">
        <v>174000.0</v>
      </c>
      <c r="E83" s="210">
        <v>174000.0</v>
      </c>
      <c r="F83" s="210"/>
      <c r="G83" s="210"/>
      <c r="H83" s="210"/>
      <c r="I83" s="210"/>
      <c r="J83" s="210"/>
      <c r="K83" s="210"/>
      <c r="L83" s="210"/>
      <c r="M83" s="211"/>
      <c r="N83" s="211"/>
      <c r="O83" s="211"/>
      <c r="P83" s="211"/>
      <c r="Q83" s="211"/>
      <c r="R83" s="210"/>
      <c r="S83" s="211"/>
      <c r="T83" s="211"/>
      <c r="U83" s="211"/>
      <c r="V83" s="211"/>
      <c r="W83" s="210">
        <v>99000.0</v>
      </c>
      <c r="X83" s="199">
        <v>174000.0</v>
      </c>
      <c r="Y83" s="199">
        <v>277000.0</v>
      </c>
      <c r="Z83" s="199"/>
      <c r="AA83" s="199"/>
      <c r="AB83" s="199"/>
      <c r="AC83" s="199"/>
      <c r="AD83" s="212" t="s">
        <v>683</v>
      </c>
      <c r="AE83" s="212" t="s">
        <v>683</v>
      </c>
      <c r="AF83" s="213" t="str">
        <f>Table1[[#This Row],[2019 Scope 1 (MeT Co2)]]</f>
        <v>#ERROR!</v>
      </c>
      <c r="AG83" s="214" t="str">
        <f t="shared" si="1"/>
        <v>#ERROR!</v>
      </c>
      <c r="AH83" s="219" t="str">
        <f t="shared" si="2"/>
        <v>#ERROR!</v>
      </c>
      <c r="AI83" s="209"/>
      <c r="AJ83" s="209"/>
      <c r="AK83" s="212" t="s">
        <v>683</v>
      </c>
      <c r="AL83" s="212" t="s">
        <v>683</v>
      </c>
      <c r="AM83" s="213" t="str">
        <f>Table1[[#This Row],[2019 Scope 2 ]]</f>
        <v>#ERROR!</v>
      </c>
      <c r="AN83" s="214" t="str">
        <f t="shared" si="3"/>
        <v>#ERROR!</v>
      </c>
      <c r="AO83" s="219" t="str">
        <f t="shared" si="4"/>
        <v>#ERROR!</v>
      </c>
      <c r="AP83" s="214" t="str">
        <f t="shared" si="5"/>
        <v>#ERROR!</v>
      </c>
      <c r="AQ83" s="219" t="str">
        <f t="shared" si="6"/>
        <v>#ERROR!</v>
      </c>
      <c r="AR83" s="216" t="str">
        <f>Table1[[#This Row],[2019 Scope 3 ]]</f>
        <v>#ERROR!</v>
      </c>
      <c r="AS83" s="217" t="str">
        <f t="shared" si="7"/>
        <v>#ERROR!</v>
      </c>
      <c r="AT83" s="218" t="str">
        <f t="shared" si="8"/>
        <v>#ERROR!</v>
      </c>
      <c r="BI83" s="199">
        <v>16158.0</v>
      </c>
    </row>
    <row r="84" ht="12.75" customHeight="1">
      <c r="A84" s="5">
        <f>companies!A84</f>
        <v>83</v>
      </c>
      <c r="B84" s="199" t="s">
        <v>1254</v>
      </c>
      <c r="C84" s="210">
        <v>1358000.0</v>
      </c>
      <c r="D84" s="210">
        <v>561000.0</v>
      </c>
      <c r="E84" s="210">
        <v>561000.0</v>
      </c>
      <c r="F84" s="210"/>
      <c r="G84" s="210"/>
      <c r="H84" s="210"/>
      <c r="I84" s="210"/>
      <c r="J84" s="210"/>
      <c r="K84" s="210"/>
      <c r="L84" s="210"/>
      <c r="M84" s="211"/>
      <c r="N84" s="211"/>
      <c r="O84" s="211"/>
      <c r="P84" s="211"/>
      <c r="Q84" s="211"/>
      <c r="R84" s="210"/>
      <c r="S84" s="211"/>
      <c r="T84" s="211"/>
      <c r="U84" s="211"/>
      <c r="V84" s="211"/>
      <c r="W84" s="210">
        <v>911000.0</v>
      </c>
      <c r="X84" s="199">
        <v>561000.0</v>
      </c>
      <c r="Y84" s="199">
        <v>2830000.0</v>
      </c>
      <c r="Z84" s="212"/>
      <c r="AA84" s="212"/>
      <c r="AB84" s="212"/>
      <c r="AC84" s="212"/>
      <c r="AD84" s="212" t="e">
        <v>#N/A</v>
      </c>
      <c r="AE84" s="212" t="e">
        <v>#N/A</v>
      </c>
      <c r="AF84" s="213" t="str">
        <f>Table1[[#This Row],[2019 Scope 1 (MeT Co2)]]</f>
        <v>#ERROR!</v>
      </c>
      <c r="AG84" s="214" t="str">
        <f t="shared" si="1"/>
        <v>#ERROR!</v>
      </c>
      <c r="AH84" s="215" t="str">
        <f t="shared" si="2"/>
        <v>#ERROR!</v>
      </c>
      <c r="AI84" s="209"/>
      <c r="AJ84" s="209"/>
      <c r="AK84" s="212" t="e">
        <v>#N/A</v>
      </c>
      <c r="AL84" s="212" t="e">
        <v>#N/A</v>
      </c>
      <c r="AM84" s="213" t="str">
        <f>Table1[[#This Row],[2019 Scope 2 ]]</f>
        <v>#ERROR!</v>
      </c>
      <c r="AN84" s="214" t="str">
        <f t="shared" si="3"/>
        <v>#ERROR!</v>
      </c>
      <c r="AO84" s="215" t="str">
        <f t="shared" si="4"/>
        <v>#ERROR!</v>
      </c>
      <c r="AP84" s="214" t="str">
        <f t="shared" si="5"/>
        <v>#ERROR!</v>
      </c>
      <c r="AQ84" s="215" t="str">
        <f t="shared" si="6"/>
        <v>#ERROR!</v>
      </c>
      <c r="AR84" s="216" t="str">
        <f>Table1[[#This Row],[2019 Scope 3 ]]</f>
        <v>#ERROR!</v>
      </c>
      <c r="AS84" s="217" t="str">
        <f t="shared" si="7"/>
        <v>#ERROR!</v>
      </c>
      <c r="AT84" s="218" t="str">
        <f t="shared" si="8"/>
        <v>#ERROR!</v>
      </c>
    </row>
    <row r="85" ht="12.75" customHeight="1">
      <c r="A85" s="5">
        <f>companies!A85</f>
        <v>84</v>
      </c>
      <c r="B85" s="199" t="s">
        <v>1254</v>
      </c>
      <c r="C85" s="210">
        <v>19404.0</v>
      </c>
      <c r="D85" s="210">
        <v>293618.0</v>
      </c>
      <c r="E85" s="210">
        <v>293618.0</v>
      </c>
      <c r="F85" s="210"/>
      <c r="G85" s="210"/>
      <c r="H85" s="210"/>
      <c r="I85" s="210"/>
      <c r="J85" s="210"/>
      <c r="K85" s="210"/>
      <c r="L85" s="210"/>
      <c r="M85" s="211"/>
      <c r="N85" s="211"/>
      <c r="O85" s="211"/>
      <c r="P85" s="211"/>
      <c r="Q85" s="211"/>
      <c r="R85" s="210"/>
      <c r="S85" s="211"/>
      <c r="T85" s="211"/>
      <c r="U85" s="211"/>
      <c r="V85" s="211"/>
      <c r="W85" s="210">
        <v>580998.0</v>
      </c>
      <c r="X85" s="199">
        <v>293618.0</v>
      </c>
      <c r="Y85" s="199">
        <v>894020.0</v>
      </c>
      <c r="Z85" s="212"/>
      <c r="AA85" s="212"/>
      <c r="AB85" s="212"/>
      <c r="AC85" s="212"/>
      <c r="AD85" s="212" t="s">
        <v>1255</v>
      </c>
      <c r="AE85" s="212" t="s">
        <v>1256</v>
      </c>
      <c r="AF85" s="213" t="str">
        <f>Table1[[#This Row],[2019 Scope 1 (MeT Co2)]]</f>
        <v>#ERROR!</v>
      </c>
      <c r="AG85" s="214" t="str">
        <f t="shared" si="1"/>
        <v>#ERROR!</v>
      </c>
      <c r="AH85" s="215" t="str">
        <f t="shared" si="2"/>
        <v>#ERROR!</v>
      </c>
      <c r="AI85" s="209"/>
      <c r="AJ85" s="209"/>
      <c r="AK85" s="212" t="s">
        <v>1255</v>
      </c>
      <c r="AL85" s="212" t="s">
        <v>1256</v>
      </c>
      <c r="AM85" s="213" t="str">
        <f>Table1[[#This Row],[2019 Scope 2 ]]</f>
        <v>#ERROR!</v>
      </c>
      <c r="AN85" s="214" t="str">
        <f t="shared" si="3"/>
        <v>#ERROR!</v>
      </c>
      <c r="AO85" s="215" t="str">
        <f t="shared" si="4"/>
        <v>#ERROR!</v>
      </c>
      <c r="AP85" s="214" t="str">
        <f t="shared" si="5"/>
        <v>#ERROR!</v>
      </c>
      <c r="AQ85" s="215" t="str">
        <f t="shared" si="6"/>
        <v>#ERROR!</v>
      </c>
      <c r="AR85" s="216" t="str">
        <f>Table1[[#This Row],[2019 Scope 3 ]]</f>
        <v>#ERROR!</v>
      </c>
      <c r="AS85" s="217" t="str">
        <f t="shared" si="7"/>
        <v>#ERROR!</v>
      </c>
      <c r="AT85" s="218" t="str">
        <f t="shared" si="8"/>
        <v>#ERROR!</v>
      </c>
      <c r="BI85" s="4">
        <v>17069.0</v>
      </c>
    </row>
    <row r="86" ht="12.75" customHeight="1">
      <c r="A86" s="5">
        <f>companies!A86</f>
        <v>85</v>
      </c>
      <c r="B86" s="199" t="s">
        <v>1254</v>
      </c>
      <c r="C86" s="210">
        <v>9.7534302E7</v>
      </c>
      <c r="D86" s="210">
        <v>2701183.0</v>
      </c>
      <c r="E86" s="210">
        <v>2701183.0</v>
      </c>
      <c r="F86" s="210"/>
      <c r="G86" s="210"/>
      <c r="H86" s="210"/>
      <c r="I86" s="210"/>
      <c r="J86" s="210"/>
      <c r="K86" s="210"/>
      <c r="L86" s="210"/>
      <c r="M86" s="211"/>
      <c r="N86" s="211"/>
      <c r="O86" s="211"/>
      <c r="P86" s="211"/>
      <c r="Q86" s="211"/>
      <c r="R86" s="210"/>
      <c r="S86" s="211"/>
      <c r="T86" s="211"/>
      <c r="U86" s="211"/>
      <c r="V86" s="211"/>
      <c r="W86" s="210">
        <v>3.4630131E7</v>
      </c>
      <c r="X86" s="199">
        <v>2701183.0</v>
      </c>
      <c r="Y86" s="199">
        <v>1.34865616E8</v>
      </c>
      <c r="Z86" s="199"/>
      <c r="AA86" s="199"/>
      <c r="AB86" s="199"/>
      <c r="AC86" s="199"/>
      <c r="AD86" s="212" t="s">
        <v>683</v>
      </c>
      <c r="AE86" s="212" t="s">
        <v>683</v>
      </c>
      <c r="AF86" s="213" t="str">
        <f>Table1[[#This Row],[2019 Scope 1 (MeT Co2)]]</f>
        <v>#ERROR!</v>
      </c>
      <c r="AG86" s="214" t="str">
        <f t="shared" si="1"/>
        <v>#ERROR!</v>
      </c>
      <c r="AH86" s="215" t="str">
        <f t="shared" si="2"/>
        <v>#ERROR!</v>
      </c>
      <c r="AI86" s="209"/>
      <c r="AJ86" s="209"/>
      <c r="AK86" s="212" t="s">
        <v>683</v>
      </c>
      <c r="AL86" s="212" t="s">
        <v>683</v>
      </c>
      <c r="AM86" s="213" t="str">
        <f>Table1[[#This Row],[2019 Scope 2 ]]</f>
        <v>#ERROR!</v>
      </c>
      <c r="AN86" s="214" t="str">
        <f t="shared" si="3"/>
        <v>#ERROR!</v>
      </c>
      <c r="AO86" s="215" t="str">
        <f t="shared" si="4"/>
        <v>#ERROR!</v>
      </c>
      <c r="AP86" s="214" t="str">
        <f t="shared" si="5"/>
        <v>#ERROR!</v>
      </c>
      <c r="AQ86" s="215" t="str">
        <f t="shared" si="6"/>
        <v>#ERROR!</v>
      </c>
      <c r="AR86" s="216" t="str">
        <f>Table1[[#This Row],[2019 Scope 3 ]]</f>
        <v>#ERROR!</v>
      </c>
      <c r="AS86" s="217" t="str">
        <f t="shared" si="7"/>
        <v>#ERROR!</v>
      </c>
      <c r="AT86" s="218" t="str">
        <f t="shared" si="8"/>
        <v>#ERROR!</v>
      </c>
      <c r="BI86" s="4">
        <v>18951.0</v>
      </c>
    </row>
    <row r="87" ht="12.75" customHeight="1">
      <c r="A87" s="5">
        <f>companies!A87</f>
        <v>86</v>
      </c>
      <c r="B87" s="199" t="s">
        <v>1254</v>
      </c>
      <c r="C87" s="210">
        <v>291000.0</v>
      </c>
      <c r="D87" s="210">
        <v>390000.0</v>
      </c>
      <c r="E87" s="210">
        <v>390000.0</v>
      </c>
      <c r="F87" s="210"/>
      <c r="G87" s="210"/>
      <c r="H87" s="210"/>
      <c r="I87" s="210"/>
      <c r="J87" s="210"/>
      <c r="K87" s="210"/>
      <c r="L87" s="210"/>
      <c r="M87" s="211"/>
      <c r="N87" s="211"/>
      <c r="O87" s="211"/>
      <c r="P87" s="211"/>
      <c r="Q87" s="211"/>
      <c r="R87" s="210"/>
      <c r="S87" s="211"/>
      <c r="T87" s="211"/>
      <c r="U87" s="211"/>
      <c r="V87" s="211"/>
      <c r="W87" s="210">
        <v>1.59E7</v>
      </c>
      <c r="X87" s="199">
        <v>390000.0</v>
      </c>
      <c r="Y87" s="199">
        <v>1.6581E7</v>
      </c>
      <c r="Z87" s="212"/>
      <c r="AA87" s="212"/>
      <c r="AB87" s="212"/>
      <c r="AC87" s="212"/>
      <c r="AD87" s="212" t="s">
        <v>683</v>
      </c>
      <c r="AE87" s="212" t="s">
        <v>683</v>
      </c>
      <c r="AF87" s="213" t="str">
        <f>Table1[[#This Row],[2019 Scope 1 (MeT Co2)]]</f>
        <v>#ERROR!</v>
      </c>
      <c r="AG87" s="214" t="str">
        <f t="shared" si="1"/>
        <v>#ERROR!</v>
      </c>
      <c r="AH87" s="215" t="str">
        <f t="shared" si="2"/>
        <v>#ERROR!</v>
      </c>
      <c r="AI87" s="209"/>
      <c r="AJ87" s="209"/>
      <c r="AK87" s="212" t="s">
        <v>683</v>
      </c>
      <c r="AL87" s="212" t="s">
        <v>683</v>
      </c>
      <c r="AM87" s="213" t="str">
        <f>Table1[[#This Row],[2019 Scope 2 ]]</f>
        <v>#ERROR!</v>
      </c>
      <c r="AN87" s="214" t="str">
        <f t="shared" si="3"/>
        <v>#ERROR!</v>
      </c>
      <c r="AO87" s="215" t="str">
        <f t="shared" si="4"/>
        <v>#ERROR!</v>
      </c>
      <c r="AP87" s="214" t="str">
        <f t="shared" si="5"/>
        <v>#ERROR!</v>
      </c>
      <c r="AQ87" s="215" t="str">
        <f t="shared" si="6"/>
        <v>#ERROR!</v>
      </c>
      <c r="AR87" s="216" t="str">
        <f>Table1[[#This Row],[2019 Scope 3 ]]</f>
        <v>#ERROR!</v>
      </c>
      <c r="AS87" s="217" t="str">
        <f t="shared" si="7"/>
        <v>#ERROR!</v>
      </c>
      <c r="AT87" s="218" t="str">
        <f t="shared" si="8"/>
        <v>#ERROR!</v>
      </c>
      <c r="BI87" s="4">
        <v>17652.0</v>
      </c>
    </row>
    <row r="88" ht="12.75" customHeight="1">
      <c r="A88" s="5">
        <f>companies!A88</f>
        <v>87</v>
      </c>
      <c r="B88" s="199" t="s">
        <v>1254</v>
      </c>
      <c r="C88" s="210">
        <v>706176.0</v>
      </c>
      <c r="D88" s="210">
        <v>2111537.0</v>
      </c>
      <c r="E88" s="210">
        <v>2111537.0</v>
      </c>
      <c r="F88" s="210"/>
      <c r="G88" s="210"/>
      <c r="H88" s="210"/>
      <c r="I88" s="210"/>
      <c r="J88" s="210"/>
      <c r="K88" s="210"/>
      <c r="L88" s="210"/>
      <c r="M88" s="211"/>
      <c r="N88" s="211"/>
      <c r="O88" s="211"/>
      <c r="P88" s="211"/>
      <c r="Q88" s="211"/>
      <c r="R88" s="210"/>
      <c r="S88" s="211"/>
      <c r="T88" s="211"/>
      <c r="U88" s="211"/>
      <c r="V88" s="211"/>
      <c r="W88" s="210">
        <v>7.84E7</v>
      </c>
      <c r="X88" s="199">
        <v>2111537.0</v>
      </c>
      <c r="Y88" s="199">
        <v>8.1217713E7</v>
      </c>
      <c r="Z88" s="199"/>
      <c r="AA88" s="199"/>
      <c r="AB88" s="199"/>
      <c r="AC88" s="199"/>
      <c r="AD88" s="212" t="s">
        <v>683</v>
      </c>
      <c r="AE88" s="212" t="s">
        <v>683</v>
      </c>
      <c r="AF88" s="213" t="str">
        <f>Table1[[#This Row],[2019 Scope 1 (MeT Co2)]]</f>
        <v>#ERROR!</v>
      </c>
      <c r="AG88" s="214" t="str">
        <f t="shared" si="1"/>
        <v>#ERROR!</v>
      </c>
      <c r="AH88" s="215" t="str">
        <f t="shared" si="2"/>
        <v>#ERROR!</v>
      </c>
      <c r="AI88" s="209"/>
      <c r="AJ88" s="209"/>
      <c r="AK88" s="212" t="s">
        <v>683</v>
      </c>
      <c r="AL88" s="212" t="s">
        <v>683</v>
      </c>
      <c r="AM88" s="213" t="str">
        <f>Table1[[#This Row],[2019 Scope 2 ]]</f>
        <v>#ERROR!</v>
      </c>
      <c r="AN88" s="214" t="str">
        <f t="shared" si="3"/>
        <v>#ERROR!</v>
      </c>
      <c r="AO88" s="215" t="str">
        <f t="shared" si="4"/>
        <v>#ERROR!</v>
      </c>
      <c r="AP88" s="214" t="str">
        <f t="shared" si="5"/>
        <v>#ERROR!</v>
      </c>
      <c r="AQ88" s="215" t="str">
        <f t="shared" si="6"/>
        <v>#ERROR!</v>
      </c>
      <c r="AR88" s="216" t="str">
        <f>Table1[[#This Row],[2019 Scope 3 ]]</f>
        <v>#ERROR!</v>
      </c>
      <c r="AS88" s="217" t="str">
        <f t="shared" si="7"/>
        <v>#ERROR!</v>
      </c>
      <c r="AT88" s="218" t="str">
        <f t="shared" si="8"/>
        <v>#ERROR!</v>
      </c>
      <c r="BI88" s="4">
        <v>18320.0</v>
      </c>
    </row>
    <row r="89" ht="12.75" customHeight="1">
      <c r="A89" s="5">
        <f>companies!A89</f>
        <v>88</v>
      </c>
      <c r="B89" s="199" t="s">
        <v>1254</v>
      </c>
      <c r="C89" s="210">
        <v>1161654.0</v>
      </c>
      <c r="D89" s="210">
        <v>1256755.0</v>
      </c>
      <c r="E89" s="210">
        <v>1256755.0</v>
      </c>
      <c r="F89" s="210"/>
      <c r="G89" s="210"/>
      <c r="H89" s="210"/>
      <c r="I89" s="210"/>
      <c r="J89" s="210"/>
      <c r="K89" s="210"/>
      <c r="L89" s="210"/>
      <c r="M89" s="211"/>
      <c r="N89" s="211"/>
      <c r="O89" s="211"/>
      <c r="P89" s="211"/>
      <c r="Q89" s="211"/>
      <c r="R89" s="210"/>
      <c r="S89" s="211"/>
      <c r="T89" s="211"/>
      <c r="U89" s="211"/>
      <c r="V89" s="211"/>
      <c r="W89" s="210" t="s">
        <v>536</v>
      </c>
      <c r="X89" s="199">
        <v>1256755.0</v>
      </c>
      <c r="Y89" s="199"/>
      <c r="Z89" s="199"/>
      <c r="AA89" s="199"/>
      <c r="AB89" s="199"/>
      <c r="AC89" s="199"/>
      <c r="AD89" s="212" t="s">
        <v>683</v>
      </c>
      <c r="AE89" s="212" t="s">
        <v>683</v>
      </c>
      <c r="AF89" s="213" t="str">
        <f>Table1[[#This Row],[2019 Scope 1 (MeT Co2)]]</f>
        <v>#ERROR!</v>
      </c>
      <c r="AG89" s="214" t="str">
        <f t="shared" si="1"/>
        <v>#ERROR!</v>
      </c>
      <c r="AH89" s="215" t="str">
        <f t="shared" si="2"/>
        <v>#ERROR!</v>
      </c>
      <c r="AI89" s="209"/>
      <c r="AJ89" s="209"/>
      <c r="AK89" s="212" t="s">
        <v>683</v>
      </c>
      <c r="AL89" s="212" t="s">
        <v>683</v>
      </c>
      <c r="AM89" s="213" t="str">
        <f>Table1[[#This Row],[2019 Scope 2 ]]</f>
        <v>#ERROR!</v>
      </c>
      <c r="AN89" s="214" t="str">
        <f t="shared" si="3"/>
        <v>#ERROR!</v>
      </c>
      <c r="AO89" s="215" t="str">
        <f t="shared" si="4"/>
        <v>#ERROR!</v>
      </c>
      <c r="AP89" s="214" t="str">
        <f t="shared" si="5"/>
        <v>#ERROR!</v>
      </c>
      <c r="AQ89" s="215" t="str">
        <f t="shared" si="6"/>
        <v>#ERROR!</v>
      </c>
      <c r="AR89" s="216" t="str">
        <f>Table1[[#This Row],[2019 Scope 3 ]]</f>
        <v>#ERROR!</v>
      </c>
      <c r="AS89" s="217" t="str">
        <f t="shared" si="7"/>
        <v>#ERROR!</v>
      </c>
      <c r="AT89" s="218" t="str">
        <f t="shared" si="8"/>
        <v>#ERROR!</v>
      </c>
      <c r="BI89" s="4">
        <v>18640.0</v>
      </c>
    </row>
    <row r="90" ht="12.75" customHeight="1">
      <c r="A90" s="5">
        <f>companies!A90</f>
        <v>89</v>
      </c>
      <c r="B90" s="199" t="s">
        <v>1254</v>
      </c>
      <c r="C90" s="210">
        <v>8265.0</v>
      </c>
      <c r="D90" s="210">
        <v>2248.0</v>
      </c>
      <c r="E90" s="210">
        <v>2248.0</v>
      </c>
      <c r="F90" s="210"/>
      <c r="G90" s="210"/>
      <c r="H90" s="210"/>
      <c r="I90" s="210"/>
      <c r="J90" s="210"/>
      <c r="K90" s="210"/>
      <c r="L90" s="210"/>
      <c r="M90" s="211"/>
      <c r="N90" s="211"/>
      <c r="O90" s="211"/>
      <c r="P90" s="211"/>
      <c r="Q90" s="211"/>
      <c r="R90" s="210"/>
      <c r="S90" s="211"/>
      <c r="T90" s="211"/>
      <c r="U90" s="211"/>
      <c r="V90" s="211"/>
      <c r="W90" s="210">
        <v>17944.0</v>
      </c>
      <c r="X90" s="199">
        <v>2248.0</v>
      </c>
      <c r="Y90" s="199">
        <v>28457.0</v>
      </c>
      <c r="Z90" s="199"/>
      <c r="AA90" s="199"/>
      <c r="AB90" s="199"/>
      <c r="AC90" s="199"/>
      <c r="AD90" s="212" t="s">
        <v>683</v>
      </c>
      <c r="AE90" s="212" t="s">
        <v>683</v>
      </c>
      <c r="AF90" s="213" t="str">
        <f>Table1[[#This Row],[2019 Scope 1 (MeT Co2)]]</f>
        <v>#ERROR!</v>
      </c>
      <c r="AG90" s="214" t="str">
        <f t="shared" si="1"/>
        <v>#ERROR!</v>
      </c>
      <c r="AH90" s="215" t="str">
        <f t="shared" si="2"/>
        <v>#ERROR!</v>
      </c>
      <c r="AI90" s="209"/>
      <c r="AJ90" s="209"/>
      <c r="AK90" s="212" t="s">
        <v>683</v>
      </c>
      <c r="AL90" s="212" t="s">
        <v>683</v>
      </c>
      <c r="AM90" s="213" t="str">
        <f>Table1[[#This Row],[2019 Scope 2 ]]</f>
        <v>#ERROR!</v>
      </c>
      <c r="AN90" s="214" t="str">
        <f t="shared" si="3"/>
        <v>#ERROR!</v>
      </c>
      <c r="AO90" s="215" t="str">
        <f t="shared" si="4"/>
        <v>#ERROR!</v>
      </c>
      <c r="AP90" s="214" t="str">
        <f t="shared" si="5"/>
        <v>#ERROR!</v>
      </c>
      <c r="AQ90" s="215" t="str">
        <f t="shared" si="6"/>
        <v>#ERROR!</v>
      </c>
      <c r="AR90" s="216" t="str">
        <f>Table1[[#This Row],[2019 Scope 3 ]]</f>
        <v>#ERROR!</v>
      </c>
      <c r="AS90" s="217" t="str">
        <f t="shared" si="7"/>
        <v>#ERROR!</v>
      </c>
      <c r="AT90" s="218" t="str">
        <f t="shared" si="8"/>
        <v>#ERROR!</v>
      </c>
      <c r="BI90" s="4">
        <v>1464.0</v>
      </c>
    </row>
    <row r="91" ht="12.75" customHeight="1">
      <c r="A91" s="5">
        <f>companies!A91</f>
        <v>90</v>
      </c>
      <c r="B91" s="199" t="s">
        <v>1254</v>
      </c>
      <c r="C91" s="210">
        <v>843275.0</v>
      </c>
      <c r="D91" s="210">
        <v>1002150.0</v>
      </c>
      <c r="E91" s="210">
        <v>1002150.0</v>
      </c>
      <c r="F91" s="210"/>
      <c r="G91" s="210"/>
      <c r="H91" s="210"/>
      <c r="I91" s="210"/>
      <c r="J91" s="210"/>
      <c r="K91" s="210"/>
      <c r="L91" s="210"/>
      <c r="M91" s="211"/>
      <c r="N91" s="211"/>
      <c r="O91" s="211"/>
      <c r="P91" s="211"/>
      <c r="Q91" s="211"/>
      <c r="R91" s="210"/>
      <c r="S91" s="211"/>
      <c r="T91" s="211"/>
      <c r="U91" s="211"/>
      <c r="V91" s="211"/>
      <c r="W91" s="210" t="s">
        <v>536</v>
      </c>
      <c r="X91" s="199">
        <v>1002150.0</v>
      </c>
      <c r="Y91" s="199"/>
      <c r="Z91" s="199"/>
      <c r="AA91" s="199"/>
      <c r="AB91" s="199"/>
      <c r="AC91" s="199"/>
      <c r="AD91" s="212" t="s">
        <v>683</v>
      </c>
      <c r="AE91" s="212" t="s">
        <v>683</v>
      </c>
      <c r="AF91" s="213" t="str">
        <f>Table1[[#This Row],[2019 Scope 1 (MeT Co2)]]</f>
        <v>#ERROR!</v>
      </c>
      <c r="AG91" s="214" t="str">
        <f t="shared" si="1"/>
        <v>#ERROR!</v>
      </c>
      <c r="AH91" s="215" t="str">
        <f t="shared" si="2"/>
        <v>#ERROR!</v>
      </c>
      <c r="AI91" s="209"/>
      <c r="AJ91" s="209"/>
      <c r="AK91" s="212" t="s">
        <v>683</v>
      </c>
      <c r="AL91" s="212" t="s">
        <v>683</v>
      </c>
      <c r="AM91" s="213" t="str">
        <f>Table1[[#This Row],[2019 Scope 2 ]]</f>
        <v>#ERROR!</v>
      </c>
      <c r="AN91" s="214" t="str">
        <f t="shared" si="3"/>
        <v>#ERROR!</v>
      </c>
      <c r="AO91" s="215" t="str">
        <f t="shared" si="4"/>
        <v>#ERROR!</v>
      </c>
      <c r="AP91" s="214" t="str">
        <f t="shared" si="5"/>
        <v>#ERROR!</v>
      </c>
      <c r="AQ91" s="215" t="str">
        <f t="shared" si="6"/>
        <v>#ERROR!</v>
      </c>
      <c r="AR91" s="216" t="str">
        <f>Table1[[#This Row],[2019 Scope 3 ]]</f>
        <v>#ERROR!</v>
      </c>
      <c r="AS91" s="217" t="str">
        <f t="shared" si="7"/>
        <v>#ERROR!</v>
      </c>
      <c r="AT91" s="218" t="str">
        <f t="shared" si="8"/>
        <v>#ERROR!</v>
      </c>
      <c r="BI91" s="4">
        <v>20384.0</v>
      </c>
    </row>
    <row r="92" ht="12.75" customHeight="1">
      <c r="A92" s="5">
        <f>companies!A92</f>
        <v>91</v>
      </c>
      <c r="B92" s="199" t="s">
        <v>1254</v>
      </c>
      <c r="C92" s="210">
        <v>70255.0</v>
      </c>
      <c r="D92" s="210">
        <v>408244.0</v>
      </c>
      <c r="E92" s="210">
        <v>408244.0</v>
      </c>
      <c r="F92" s="210"/>
      <c r="G92" s="210"/>
      <c r="H92" s="210"/>
      <c r="I92" s="210"/>
      <c r="J92" s="210"/>
      <c r="K92" s="210"/>
      <c r="L92" s="210"/>
      <c r="M92" s="211"/>
      <c r="N92" s="211"/>
      <c r="O92" s="211"/>
      <c r="P92" s="211"/>
      <c r="Q92" s="211"/>
      <c r="R92" s="210"/>
      <c r="S92" s="211"/>
      <c r="T92" s="211"/>
      <c r="U92" s="211"/>
      <c r="V92" s="211"/>
      <c r="W92" s="210">
        <v>206994.0</v>
      </c>
      <c r="X92" s="199">
        <v>408244.0</v>
      </c>
      <c r="Y92" s="199">
        <v>685493.0</v>
      </c>
      <c r="Z92" s="212"/>
      <c r="AA92" s="212"/>
      <c r="AB92" s="212"/>
      <c r="AC92" s="212"/>
      <c r="AD92" s="212" t="e">
        <v>#N/A</v>
      </c>
      <c r="AE92" s="212" t="e">
        <v>#N/A</v>
      </c>
      <c r="AF92" s="213" t="str">
        <f>Table1[[#This Row],[2019 Scope 1 (MeT Co2)]]</f>
        <v>#ERROR!</v>
      </c>
      <c r="AG92" s="214" t="str">
        <f t="shared" si="1"/>
        <v>#ERROR!</v>
      </c>
      <c r="AH92" s="215" t="str">
        <f t="shared" si="2"/>
        <v>#ERROR!</v>
      </c>
      <c r="AI92" s="209"/>
      <c r="AJ92" s="209"/>
      <c r="AK92" s="212" t="e">
        <v>#N/A</v>
      </c>
      <c r="AL92" s="212" t="e">
        <v>#N/A</v>
      </c>
      <c r="AM92" s="213" t="str">
        <f>Table1[[#This Row],[2019 Scope 2 ]]</f>
        <v>#ERROR!</v>
      </c>
      <c r="AN92" s="214" t="str">
        <f t="shared" si="3"/>
        <v>#ERROR!</v>
      </c>
      <c r="AO92" s="215" t="str">
        <f t="shared" si="4"/>
        <v>#ERROR!</v>
      </c>
      <c r="AP92" s="214" t="str">
        <f t="shared" si="5"/>
        <v>#ERROR!</v>
      </c>
      <c r="AQ92" s="215" t="str">
        <f t="shared" si="6"/>
        <v>#ERROR!</v>
      </c>
      <c r="AR92" s="216" t="str">
        <f>Table1[[#This Row],[2019 Scope 3 ]]</f>
        <v>#ERROR!</v>
      </c>
      <c r="AS92" s="217" t="str">
        <f t="shared" si="7"/>
        <v>#ERROR!</v>
      </c>
      <c r="AT92" s="218" t="str">
        <f t="shared" si="8"/>
        <v>#ERROR!</v>
      </c>
    </row>
    <row r="93" ht="12.75" customHeight="1">
      <c r="A93" s="5">
        <f>companies!A93</f>
        <v>92</v>
      </c>
      <c r="B93" s="199" t="s">
        <v>1254</v>
      </c>
      <c r="C93" s="210">
        <v>1.0216978E7</v>
      </c>
      <c r="D93" s="210">
        <v>773007.0</v>
      </c>
      <c r="E93" s="210">
        <v>773007.0</v>
      </c>
      <c r="F93" s="210"/>
      <c r="G93" s="210"/>
      <c r="H93" s="210"/>
      <c r="I93" s="210"/>
      <c r="J93" s="210"/>
      <c r="K93" s="210"/>
      <c r="L93" s="210"/>
      <c r="M93" s="211"/>
      <c r="N93" s="211"/>
      <c r="O93" s="211"/>
      <c r="P93" s="211"/>
      <c r="Q93" s="211"/>
      <c r="R93" s="210"/>
      <c r="S93" s="211"/>
      <c r="T93" s="211"/>
      <c r="U93" s="211"/>
      <c r="V93" s="211"/>
      <c r="W93" s="210">
        <v>18466.0</v>
      </c>
      <c r="X93" s="199">
        <v>773007.0</v>
      </c>
      <c r="Y93" s="199">
        <v>1.1008451E7</v>
      </c>
      <c r="Z93" s="199"/>
      <c r="AA93" s="199"/>
      <c r="AB93" s="199"/>
      <c r="AC93" s="199"/>
      <c r="AD93" s="212" t="s">
        <v>683</v>
      </c>
      <c r="AE93" s="212" t="s">
        <v>683</v>
      </c>
      <c r="AF93" s="213" t="str">
        <f>Table1[[#This Row],[2019 Scope 1 (MeT Co2)]]</f>
        <v>#ERROR!</v>
      </c>
      <c r="AG93" s="214" t="str">
        <f t="shared" si="1"/>
        <v>#ERROR!</v>
      </c>
      <c r="AH93" s="215" t="str">
        <f t="shared" si="2"/>
        <v>#ERROR!</v>
      </c>
      <c r="AI93" s="209"/>
      <c r="AJ93" s="209"/>
      <c r="AK93" s="212" t="s">
        <v>683</v>
      </c>
      <c r="AL93" s="212" t="s">
        <v>683</v>
      </c>
      <c r="AM93" s="213" t="str">
        <f>Table1[[#This Row],[2019 Scope 2 ]]</f>
        <v>#ERROR!</v>
      </c>
      <c r="AN93" s="214" t="str">
        <f t="shared" si="3"/>
        <v>#ERROR!</v>
      </c>
      <c r="AO93" s="219" t="str">
        <f t="shared" si="4"/>
        <v>#ERROR!</v>
      </c>
      <c r="AP93" s="214" t="str">
        <f t="shared" si="5"/>
        <v>#ERROR!</v>
      </c>
      <c r="AQ93" s="219" t="str">
        <f t="shared" si="6"/>
        <v>#ERROR!</v>
      </c>
      <c r="AR93" s="216" t="str">
        <f>Table1[[#This Row],[2019 Scope 3 ]]</f>
        <v>#ERROR!</v>
      </c>
      <c r="AS93" s="217" t="str">
        <f t="shared" si="7"/>
        <v>#ERROR!</v>
      </c>
      <c r="AT93" s="218" t="str">
        <f t="shared" si="8"/>
        <v>#ERROR!</v>
      </c>
      <c r="BI93" s="199">
        <v>19845.0</v>
      </c>
    </row>
    <row r="94" ht="12.75" customHeight="1">
      <c r="A94" s="5">
        <f>companies!A94</f>
        <v>93</v>
      </c>
      <c r="B94" s="199" t="s">
        <v>1254</v>
      </c>
      <c r="C94" s="210">
        <v>16570.0</v>
      </c>
      <c r="D94" s="210">
        <v>156719.0</v>
      </c>
      <c r="E94" s="210">
        <v>156719.0</v>
      </c>
      <c r="F94" s="210"/>
      <c r="G94" s="210"/>
      <c r="H94" s="210"/>
      <c r="I94" s="210"/>
      <c r="J94" s="210"/>
      <c r="K94" s="210"/>
      <c r="L94" s="210"/>
      <c r="M94" s="211"/>
      <c r="N94" s="211"/>
      <c r="O94" s="211"/>
      <c r="P94" s="211"/>
      <c r="Q94" s="211"/>
      <c r="R94" s="210"/>
      <c r="S94" s="211"/>
      <c r="T94" s="211"/>
      <c r="U94" s="211"/>
      <c r="V94" s="211"/>
      <c r="W94" s="210">
        <v>127671.0</v>
      </c>
      <c r="X94" s="199">
        <v>156719.0</v>
      </c>
      <c r="Y94" s="199">
        <v>300960.0</v>
      </c>
      <c r="Z94" s="199"/>
      <c r="AA94" s="199"/>
      <c r="AB94" s="199"/>
      <c r="AC94" s="199"/>
      <c r="AD94" s="212" t="s">
        <v>683</v>
      </c>
      <c r="AE94" s="212" t="s">
        <v>683</v>
      </c>
      <c r="AF94" s="213" t="str">
        <f>Table1[[#This Row],[2019 Scope 1 (MeT Co2)]]</f>
        <v>#ERROR!</v>
      </c>
      <c r="AG94" s="214" t="str">
        <f t="shared" si="1"/>
        <v>#ERROR!</v>
      </c>
      <c r="AH94" s="215" t="str">
        <f t="shared" si="2"/>
        <v>#ERROR!</v>
      </c>
      <c r="AI94" s="209"/>
      <c r="AJ94" s="209"/>
      <c r="AK94" s="212" t="s">
        <v>683</v>
      </c>
      <c r="AL94" s="212" t="s">
        <v>683</v>
      </c>
      <c r="AM94" s="213" t="str">
        <f>Table1[[#This Row],[2019 Scope 2 ]]</f>
        <v>#ERROR!</v>
      </c>
      <c r="AN94" s="214" t="str">
        <f t="shared" si="3"/>
        <v>#ERROR!</v>
      </c>
      <c r="AO94" s="215" t="str">
        <f t="shared" si="4"/>
        <v>#ERROR!</v>
      </c>
      <c r="AP94" s="214" t="str">
        <f t="shared" si="5"/>
        <v>#ERROR!</v>
      </c>
      <c r="AQ94" s="215" t="str">
        <f t="shared" si="6"/>
        <v>#ERROR!</v>
      </c>
      <c r="AR94" s="216" t="str">
        <f>Table1[[#This Row],[2019 Scope 3 ]]</f>
        <v>#ERROR!</v>
      </c>
      <c r="AS94" s="217" t="str">
        <f t="shared" si="7"/>
        <v>#ERROR!</v>
      </c>
      <c r="AT94" s="218" t="str">
        <f t="shared" si="8"/>
        <v>#ERROR!</v>
      </c>
      <c r="BI94" s="4">
        <v>19858.0</v>
      </c>
    </row>
    <row r="95" ht="12.75" customHeight="1">
      <c r="A95" s="5">
        <f>companies!A95</f>
        <v>94</v>
      </c>
      <c r="B95" s="199" t="s">
        <v>1254</v>
      </c>
      <c r="C95" s="210">
        <v>1.3047E7</v>
      </c>
      <c r="D95" s="210">
        <v>745000.0</v>
      </c>
      <c r="E95" s="210">
        <v>745000.0</v>
      </c>
      <c r="F95" s="210"/>
      <c r="G95" s="210"/>
      <c r="H95" s="210"/>
      <c r="I95" s="210"/>
      <c r="J95" s="210"/>
      <c r="K95" s="210"/>
      <c r="L95" s="210"/>
      <c r="M95" s="211"/>
      <c r="N95" s="211"/>
      <c r="O95" s="211"/>
      <c r="P95" s="211"/>
      <c r="Q95" s="211"/>
      <c r="R95" s="210"/>
      <c r="S95" s="211"/>
      <c r="T95" s="211"/>
      <c r="U95" s="211"/>
      <c r="V95" s="211"/>
      <c r="W95" s="210">
        <v>2.0071E7</v>
      </c>
      <c r="X95" s="199">
        <v>745000.0</v>
      </c>
      <c r="Y95" s="199">
        <v>3.3863E7</v>
      </c>
      <c r="Z95" s="199"/>
      <c r="AA95" s="199"/>
      <c r="AB95" s="199"/>
      <c r="AC95" s="199"/>
      <c r="AD95" s="212" t="s">
        <v>683</v>
      </c>
      <c r="AE95" s="212" t="s">
        <v>683</v>
      </c>
      <c r="AF95" s="213" t="str">
        <f>Table1[[#This Row],[2019 Scope 1 (MeT Co2)]]</f>
        <v>#ERROR!</v>
      </c>
      <c r="AG95" s="214" t="str">
        <f t="shared" si="1"/>
        <v>#ERROR!</v>
      </c>
      <c r="AH95" s="215" t="str">
        <f t="shared" si="2"/>
        <v>#ERROR!</v>
      </c>
      <c r="AI95" s="209"/>
      <c r="AJ95" s="209"/>
      <c r="AK95" s="212" t="s">
        <v>683</v>
      </c>
      <c r="AL95" s="212" t="s">
        <v>683</v>
      </c>
      <c r="AM95" s="213" t="str">
        <f>Table1[[#This Row],[2019 Scope 2 ]]</f>
        <v>#ERROR!</v>
      </c>
      <c r="AN95" s="214" t="str">
        <f t="shared" si="3"/>
        <v>#ERROR!</v>
      </c>
      <c r="AO95" s="215" t="str">
        <f t="shared" si="4"/>
        <v>#ERROR!</v>
      </c>
      <c r="AP95" s="214" t="str">
        <f t="shared" si="5"/>
        <v>#ERROR!</v>
      </c>
      <c r="AQ95" s="215" t="str">
        <f t="shared" si="6"/>
        <v>#ERROR!</v>
      </c>
      <c r="AR95" s="216" t="str">
        <f>Table1[[#This Row],[2019 Scope 3 ]]</f>
        <v>#ERROR!</v>
      </c>
      <c r="AS95" s="217" t="str">
        <f t="shared" si="7"/>
        <v>#ERROR!</v>
      </c>
      <c r="AT95" s="218" t="str">
        <f t="shared" si="8"/>
        <v>#ERROR!</v>
      </c>
      <c r="BI95" s="4">
        <v>19898.0</v>
      </c>
    </row>
    <row r="96" ht="12.75" customHeight="1">
      <c r="A96" s="5">
        <f>companies!A96</f>
        <v>95</v>
      </c>
      <c r="B96" s="199" t="s">
        <v>1254</v>
      </c>
      <c r="C96" s="210">
        <v>55029.0</v>
      </c>
      <c r="D96" s="210">
        <v>239367.0</v>
      </c>
      <c r="E96" s="210">
        <v>239367.0</v>
      </c>
      <c r="F96" s="210"/>
      <c r="G96" s="210"/>
      <c r="H96" s="210"/>
      <c r="I96" s="210"/>
      <c r="J96" s="210"/>
      <c r="K96" s="210"/>
      <c r="L96" s="210"/>
      <c r="M96" s="211"/>
      <c r="N96" s="211"/>
      <c r="O96" s="211"/>
      <c r="P96" s="211"/>
      <c r="Q96" s="211"/>
      <c r="R96" s="210"/>
      <c r="S96" s="211"/>
      <c r="T96" s="211"/>
      <c r="U96" s="211"/>
      <c r="V96" s="211"/>
      <c r="W96" s="210">
        <v>0.0</v>
      </c>
      <c r="X96" s="199">
        <v>239367.0</v>
      </c>
      <c r="Y96" s="199">
        <v>294396.0</v>
      </c>
      <c r="Z96" s="199"/>
      <c r="AA96" s="199"/>
      <c r="AB96" s="199"/>
      <c r="AC96" s="199"/>
      <c r="AD96" s="212" t="s">
        <v>1255</v>
      </c>
      <c r="AE96" s="212" t="s">
        <v>1256</v>
      </c>
      <c r="AF96" s="213" t="str">
        <f>Table1[[#This Row],[2019 Scope 1 (MeT Co2)]]</f>
        <v>#ERROR!</v>
      </c>
      <c r="AG96" s="214" t="str">
        <f t="shared" si="1"/>
        <v>#ERROR!</v>
      </c>
      <c r="AH96" s="215" t="str">
        <f t="shared" si="2"/>
        <v>#ERROR!</v>
      </c>
      <c r="AI96" s="209"/>
      <c r="AJ96" s="209"/>
      <c r="AK96" s="212" t="s">
        <v>1255</v>
      </c>
      <c r="AL96" s="212" t="s">
        <v>1256</v>
      </c>
      <c r="AM96" s="213" t="str">
        <f>Table1[[#This Row],[2019 Scope 2 ]]</f>
        <v>#ERROR!</v>
      </c>
      <c r="AN96" s="214" t="str">
        <f t="shared" si="3"/>
        <v>#ERROR!</v>
      </c>
      <c r="AO96" s="215" t="str">
        <f t="shared" si="4"/>
        <v>#ERROR!</v>
      </c>
      <c r="AP96" s="214" t="str">
        <f t="shared" si="5"/>
        <v>#ERROR!</v>
      </c>
      <c r="AQ96" s="215" t="str">
        <f t="shared" si="6"/>
        <v>#ERROR!</v>
      </c>
      <c r="AR96" s="216" t="str">
        <f>Table1[[#This Row],[2019 Scope 3 ]]</f>
        <v>#ERROR!</v>
      </c>
      <c r="AS96" s="217" t="str">
        <f t="shared" si="7"/>
        <v>#ERROR!</v>
      </c>
      <c r="AT96" s="218" t="str">
        <f t="shared" si="8"/>
        <v>#ERROR!</v>
      </c>
      <c r="BI96" s="4">
        <v>19593.0</v>
      </c>
    </row>
    <row r="97" ht="12.75" customHeight="1">
      <c r="A97" s="5">
        <f>companies!A97</f>
        <v>96</v>
      </c>
      <c r="B97" s="199" t="s">
        <v>1254</v>
      </c>
      <c r="C97" s="210">
        <v>376735.0</v>
      </c>
      <c r="D97" s="210">
        <v>4522261.0</v>
      </c>
      <c r="E97" s="210">
        <v>4522261.0</v>
      </c>
      <c r="F97" s="210"/>
      <c r="G97" s="210"/>
      <c r="H97" s="210"/>
      <c r="I97" s="210"/>
      <c r="J97" s="210"/>
      <c r="K97" s="210"/>
      <c r="L97" s="210"/>
      <c r="M97" s="211"/>
      <c r="N97" s="211"/>
      <c r="O97" s="211"/>
      <c r="P97" s="211"/>
      <c r="Q97" s="211"/>
      <c r="R97" s="210"/>
      <c r="S97" s="211"/>
      <c r="T97" s="211"/>
      <c r="U97" s="211"/>
      <c r="V97" s="211"/>
      <c r="W97" s="210">
        <v>69271.0</v>
      </c>
      <c r="X97" s="199">
        <v>4522261.0</v>
      </c>
      <c r="Y97" s="199">
        <v>4968267.0</v>
      </c>
      <c r="Z97" s="199"/>
      <c r="AA97" s="199"/>
      <c r="AB97" s="199"/>
      <c r="AC97" s="199"/>
      <c r="AD97" s="212" t="s">
        <v>683</v>
      </c>
      <c r="AE97" s="212" t="s">
        <v>683</v>
      </c>
      <c r="AF97" s="213" t="str">
        <f>Table1[[#This Row],[2019 Scope 1 (MeT Co2)]]</f>
        <v>#ERROR!</v>
      </c>
      <c r="AG97" s="214" t="str">
        <f t="shared" si="1"/>
        <v>#ERROR!</v>
      </c>
      <c r="AH97" s="215" t="str">
        <f t="shared" si="2"/>
        <v>#ERROR!</v>
      </c>
      <c r="AI97" s="209"/>
      <c r="AJ97" s="209"/>
      <c r="AK97" s="212" t="s">
        <v>683</v>
      </c>
      <c r="AL97" s="212" t="s">
        <v>683</v>
      </c>
      <c r="AM97" s="213" t="str">
        <f>Table1[[#This Row],[2019 Scope 2 ]]</f>
        <v>#ERROR!</v>
      </c>
      <c r="AN97" s="214" t="str">
        <f t="shared" si="3"/>
        <v>#ERROR!</v>
      </c>
      <c r="AO97" s="215" t="str">
        <f t="shared" si="4"/>
        <v>#ERROR!</v>
      </c>
      <c r="AP97" s="214" t="str">
        <f t="shared" si="5"/>
        <v>#ERROR!</v>
      </c>
      <c r="AQ97" s="215" t="str">
        <f t="shared" si="6"/>
        <v>#ERROR!</v>
      </c>
      <c r="AR97" s="216" t="str">
        <f>Table1[[#This Row],[2019 Scope 3 ]]</f>
        <v>#ERROR!</v>
      </c>
      <c r="AS97" s="217" t="str">
        <f t="shared" si="7"/>
        <v>#ERROR!</v>
      </c>
      <c r="AT97" s="218" t="str">
        <f t="shared" si="8"/>
        <v>#ERROR!</v>
      </c>
      <c r="BI97" s="4">
        <v>20175.0</v>
      </c>
    </row>
    <row r="98" ht="12.75" customHeight="1">
      <c r="A98" s="5">
        <f>companies!A98</f>
        <v>97</v>
      </c>
      <c r="B98" s="199" t="s">
        <v>1254</v>
      </c>
      <c r="C98" s="210">
        <v>9143.0</v>
      </c>
      <c r="D98" s="210">
        <v>56628.0</v>
      </c>
      <c r="E98" s="210">
        <v>56628.0</v>
      </c>
      <c r="F98" s="210"/>
      <c r="G98" s="210"/>
      <c r="H98" s="210"/>
      <c r="I98" s="210"/>
      <c r="J98" s="210"/>
      <c r="K98" s="210"/>
      <c r="L98" s="210"/>
      <c r="M98" s="211"/>
      <c r="N98" s="211"/>
      <c r="O98" s="211"/>
      <c r="P98" s="211"/>
      <c r="Q98" s="211"/>
      <c r="R98" s="210"/>
      <c r="S98" s="211"/>
      <c r="T98" s="211"/>
      <c r="U98" s="211"/>
      <c r="V98" s="211"/>
      <c r="W98" s="210">
        <v>55182.0</v>
      </c>
      <c r="X98" s="199">
        <v>56628.0</v>
      </c>
      <c r="Y98" s="199">
        <v>120953.0</v>
      </c>
      <c r="Z98" s="199"/>
      <c r="AA98" s="199"/>
      <c r="AB98" s="199"/>
      <c r="AC98" s="199"/>
      <c r="AD98" s="212" t="s">
        <v>683</v>
      </c>
      <c r="AE98" s="212" t="s">
        <v>683</v>
      </c>
      <c r="AF98" s="213" t="str">
        <f>Table1[[#This Row],[2019 Scope 1 (MeT Co2)]]</f>
        <v>#ERROR!</v>
      </c>
      <c r="AG98" s="214" t="str">
        <f t="shared" si="1"/>
        <v>#ERROR!</v>
      </c>
      <c r="AH98" s="215" t="str">
        <f t="shared" si="2"/>
        <v>#ERROR!</v>
      </c>
      <c r="AI98" s="209"/>
      <c r="AJ98" s="209"/>
      <c r="AK98" s="212" t="s">
        <v>683</v>
      </c>
      <c r="AL98" s="212" t="s">
        <v>683</v>
      </c>
      <c r="AM98" s="213" t="str">
        <f>Table1[[#This Row],[2019 Scope 2 ]]</f>
        <v>#ERROR!</v>
      </c>
      <c r="AN98" s="214" t="str">
        <f t="shared" si="3"/>
        <v>#ERROR!</v>
      </c>
      <c r="AO98" s="215" t="str">
        <f t="shared" si="4"/>
        <v>#ERROR!</v>
      </c>
      <c r="AP98" s="214" t="str">
        <f t="shared" si="5"/>
        <v>#ERROR!</v>
      </c>
      <c r="AQ98" s="215" t="str">
        <f t="shared" si="6"/>
        <v>#ERROR!</v>
      </c>
      <c r="AR98" s="216" t="str">
        <f>Table1[[#This Row],[2019 Scope 3 ]]</f>
        <v>#ERROR!</v>
      </c>
      <c r="AS98" s="217" t="str">
        <f t="shared" si="7"/>
        <v>#ERROR!</v>
      </c>
      <c r="AT98" s="218" t="str">
        <f t="shared" si="8"/>
        <v>#ERROR!</v>
      </c>
      <c r="BI98" s="4">
        <v>22867.0</v>
      </c>
    </row>
    <row r="99" ht="12.75" customHeight="1">
      <c r="A99" s="5">
        <f>companies!A99</f>
        <v>98</v>
      </c>
      <c r="B99" s="199" t="s">
        <v>1254</v>
      </c>
      <c r="C99" s="210">
        <v>368000.0</v>
      </c>
      <c r="D99" s="210">
        <v>1863000.0</v>
      </c>
      <c r="E99" s="210">
        <v>1863000.0</v>
      </c>
      <c r="F99" s="210"/>
      <c r="G99" s="210"/>
      <c r="H99" s="210"/>
      <c r="I99" s="210"/>
      <c r="J99" s="210"/>
      <c r="K99" s="210"/>
      <c r="L99" s="210"/>
      <c r="M99" s="211"/>
      <c r="N99" s="211"/>
      <c r="O99" s="211"/>
      <c r="P99" s="211"/>
      <c r="Q99" s="211"/>
      <c r="R99" s="210"/>
      <c r="S99" s="211"/>
      <c r="T99" s="211"/>
      <c r="U99" s="211"/>
      <c r="V99" s="211"/>
      <c r="W99" s="210">
        <v>123000.0</v>
      </c>
      <c r="X99" s="199">
        <v>1863000.0</v>
      </c>
      <c r="Y99" s="199">
        <v>2354000.0</v>
      </c>
      <c r="Z99" s="199"/>
      <c r="AA99" s="199"/>
      <c r="AB99" s="199"/>
      <c r="AC99" s="199"/>
      <c r="AD99" s="212" t="s">
        <v>683</v>
      </c>
      <c r="AE99" s="212" t="s">
        <v>683</v>
      </c>
      <c r="AF99" s="213" t="str">
        <f>Table1[[#This Row],[2019 Scope 1 (MeT Co2)]]</f>
        <v>#ERROR!</v>
      </c>
      <c r="AG99" s="214" t="str">
        <f t="shared" si="1"/>
        <v>#ERROR!</v>
      </c>
      <c r="AH99" s="215" t="str">
        <f t="shared" si="2"/>
        <v>#ERROR!</v>
      </c>
      <c r="AI99" s="209"/>
      <c r="AJ99" s="209"/>
      <c r="AK99" s="212" t="s">
        <v>683</v>
      </c>
      <c r="AL99" s="212" t="s">
        <v>683</v>
      </c>
      <c r="AM99" s="213" t="str">
        <f>Table1[[#This Row],[2019 Scope 2 ]]</f>
        <v>#ERROR!</v>
      </c>
      <c r="AN99" s="214" t="str">
        <f t="shared" si="3"/>
        <v>#ERROR!</v>
      </c>
      <c r="AO99" s="215" t="str">
        <f t="shared" si="4"/>
        <v>#ERROR!</v>
      </c>
      <c r="AP99" s="214" t="str">
        <f t="shared" si="5"/>
        <v>#ERROR!</v>
      </c>
      <c r="AQ99" s="215" t="str">
        <f t="shared" si="6"/>
        <v>#ERROR!</v>
      </c>
      <c r="AR99" s="216" t="str">
        <f>Table1[[#This Row],[2019 Scope 3 ]]</f>
        <v>#ERROR!</v>
      </c>
      <c r="AS99" s="217" t="str">
        <f t="shared" si="7"/>
        <v>#ERROR!</v>
      </c>
      <c r="AT99" s="218" t="str">
        <f t="shared" si="8"/>
        <v>#ERROR!</v>
      </c>
      <c r="BI99" s="199">
        <v>20398.0</v>
      </c>
    </row>
    <row r="100" ht="12.75" customHeight="1">
      <c r="A100" s="5">
        <f>companies!A100</f>
        <v>99</v>
      </c>
      <c r="B100" s="199" t="s">
        <v>1254</v>
      </c>
      <c r="C100" s="210">
        <v>1.216E7</v>
      </c>
      <c r="D100" s="210">
        <v>6520000.0</v>
      </c>
      <c r="E100" s="210">
        <v>6520000.0</v>
      </c>
      <c r="F100" s="210"/>
      <c r="G100" s="210"/>
      <c r="H100" s="210"/>
      <c r="I100" s="210"/>
      <c r="J100" s="210"/>
      <c r="K100" s="210"/>
      <c r="L100" s="210"/>
      <c r="M100" s="211"/>
      <c r="N100" s="211"/>
      <c r="O100" s="211"/>
      <c r="P100" s="211"/>
      <c r="Q100" s="211"/>
      <c r="R100" s="210"/>
      <c r="S100" s="211"/>
      <c r="T100" s="211"/>
      <c r="U100" s="211"/>
      <c r="V100" s="211"/>
      <c r="W100" s="210">
        <v>0.0</v>
      </c>
      <c r="X100" s="199">
        <v>6520000.0</v>
      </c>
      <c r="Y100" s="199">
        <v>1.868E7</v>
      </c>
      <c r="Z100" s="199"/>
      <c r="AA100" s="199"/>
      <c r="AB100" s="199"/>
      <c r="AC100" s="199"/>
      <c r="AD100" s="212" t="s">
        <v>683</v>
      </c>
      <c r="AE100" s="212" t="s">
        <v>683</v>
      </c>
      <c r="AF100" s="213" t="str">
        <f>Table1[[#This Row],[2019 Scope 1 (MeT Co2)]]</f>
        <v>#ERROR!</v>
      </c>
      <c r="AG100" s="214" t="str">
        <f t="shared" si="1"/>
        <v>#ERROR!</v>
      </c>
      <c r="AH100" s="215" t="str">
        <f t="shared" si="2"/>
        <v>#ERROR!</v>
      </c>
      <c r="AI100" s="209"/>
      <c r="AJ100" s="209"/>
      <c r="AK100" s="212" t="s">
        <v>683</v>
      </c>
      <c r="AL100" s="212" t="s">
        <v>683</v>
      </c>
      <c r="AM100" s="213" t="str">
        <f>Table1[[#This Row],[2019 Scope 2 ]]</f>
        <v>#ERROR!</v>
      </c>
      <c r="AN100" s="214" t="str">
        <f t="shared" si="3"/>
        <v>#ERROR!</v>
      </c>
      <c r="AO100" s="215" t="str">
        <f t="shared" si="4"/>
        <v>#ERROR!</v>
      </c>
      <c r="AP100" s="214" t="str">
        <f t="shared" si="5"/>
        <v>#ERROR!</v>
      </c>
      <c r="AQ100" s="215" t="str">
        <f t="shared" si="6"/>
        <v>#ERROR!</v>
      </c>
      <c r="AR100" s="216" t="str">
        <f>Table1[[#This Row],[2019 Scope 3 ]]</f>
        <v>#ERROR!</v>
      </c>
      <c r="AS100" s="217" t="str">
        <f t="shared" si="7"/>
        <v>#ERROR!</v>
      </c>
      <c r="AT100" s="218" t="str">
        <f t="shared" si="8"/>
        <v>#ERROR!</v>
      </c>
      <c r="BI100" s="4">
        <v>20402.0</v>
      </c>
    </row>
    <row r="101" ht="12.75" customHeight="1">
      <c r="A101" s="5">
        <f>companies!A101</f>
        <v>100</v>
      </c>
      <c r="B101" s="199" t="s">
        <v>1254</v>
      </c>
      <c r="C101" s="210">
        <v>85830.0</v>
      </c>
      <c r="D101" s="210">
        <v>848520.0</v>
      </c>
      <c r="E101" s="210">
        <v>848520.0</v>
      </c>
      <c r="F101" s="210"/>
      <c r="G101" s="210"/>
      <c r="H101" s="210"/>
      <c r="I101" s="210"/>
      <c r="J101" s="210"/>
      <c r="K101" s="210"/>
      <c r="L101" s="210"/>
      <c r="M101" s="211"/>
      <c r="N101" s="211"/>
      <c r="O101" s="211"/>
      <c r="P101" s="211"/>
      <c r="Q101" s="211"/>
      <c r="R101" s="210"/>
      <c r="S101" s="211"/>
      <c r="T101" s="211"/>
      <c r="U101" s="211"/>
      <c r="V101" s="211"/>
      <c r="W101" s="210" t="s">
        <v>536</v>
      </c>
      <c r="X101" s="199">
        <v>848520.0</v>
      </c>
      <c r="Y101" s="199"/>
      <c r="Z101" s="199"/>
      <c r="AA101" s="199"/>
      <c r="AB101" s="199"/>
      <c r="AC101" s="199"/>
      <c r="AD101" s="212" t="s">
        <v>683</v>
      </c>
      <c r="AE101" s="212" t="s">
        <v>683</v>
      </c>
      <c r="AF101" s="213" t="str">
        <f>Table1[[#This Row],[2019 Scope 1 (MeT Co2)]]</f>
        <v>#ERROR!</v>
      </c>
      <c r="AG101" s="214" t="str">
        <f t="shared" si="1"/>
        <v>#ERROR!</v>
      </c>
      <c r="AH101" s="215" t="str">
        <f t="shared" si="2"/>
        <v>#ERROR!</v>
      </c>
      <c r="AI101" s="209"/>
      <c r="AJ101" s="209"/>
      <c r="AK101" s="212" t="s">
        <v>683</v>
      </c>
      <c r="AL101" s="212" t="s">
        <v>683</v>
      </c>
      <c r="AM101" s="213" t="str">
        <f>Table1[[#This Row],[2019 Scope 2 ]]</f>
        <v>#ERROR!</v>
      </c>
      <c r="AN101" s="214" t="str">
        <f t="shared" si="3"/>
        <v>#ERROR!</v>
      </c>
      <c r="AO101" s="215" t="str">
        <f t="shared" si="4"/>
        <v>#ERROR!</v>
      </c>
      <c r="AP101" s="214" t="str">
        <f t="shared" si="5"/>
        <v>#ERROR!</v>
      </c>
      <c r="AQ101" s="215" t="str">
        <f t="shared" si="6"/>
        <v>#ERROR!</v>
      </c>
      <c r="AR101" s="216" t="str">
        <f>Table1[[#This Row],[2019 Scope 3 ]]</f>
        <v>#ERROR!</v>
      </c>
      <c r="AS101" s="217" t="str">
        <f t="shared" si="7"/>
        <v>#ERROR!</v>
      </c>
      <c r="AT101" s="218" t="str">
        <f t="shared" si="8"/>
        <v>#ERROR!</v>
      </c>
      <c r="BI101" s="4">
        <v>20575.0</v>
      </c>
    </row>
    <row r="102" ht="12.75" customHeight="1">
      <c r="A102" s="4"/>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I102" s="209"/>
      <c r="AJ102" s="209"/>
    </row>
    <row r="103" ht="12.75" customHeight="1">
      <c r="A103" s="4"/>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I103" s="209"/>
      <c r="AJ103" s="209"/>
    </row>
    <row r="104" ht="12.75" customHeight="1">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I104" s="209"/>
      <c r="AJ104" s="209"/>
    </row>
    <row r="105" ht="12.75" customHeight="1">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I105" s="209"/>
      <c r="AJ105" s="209"/>
    </row>
    <row r="106" ht="12.75" customHeight="1">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I106" s="209"/>
      <c r="AJ106" s="209"/>
    </row>
    <row r="107" ht="12.75" customHeight="1">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I107" s="209"/>
      <c r="AJ107" s="209"/>
    </row>
    <row r="108" ht="12.75" customHeight="1">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I108" s="209"/>
      <c r="AJ108" s="209"/>
    </row>
    <row r="109" ht="12.75" customHeight="1">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I109" s="209"/>
      <c r="AJ109" s="209"/>
    </row>
    <row r="110" ht="12.75" customHeight="1">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I110" s="209"/>
      <c r="AJ110" s="209"/>
    </row>
    <row r="111" ht="12.75" customHeight="1">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I111" s="209"/>
      <c r="AJ111" s="209"/>
    </row>
    <row r="112" ht="12.75" customHeight="1">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I112" s="209"/>
      <c r="AJ112" s="209"/>
    </row>
    <row r="113" ht="12.75" customHeight="1">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I113" s="209"/>
      <c r="AJ113" s="209"/>
    </row>
    <row r="114" ht="12.75" customHeight="1">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I114" s="209"/>
      <c r="AJ114" s="209"/>
    </row>
    <row r="115" ht="12.75" customHeight="1">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I115" s="209"/>
      <c r="AJ115" s="209"/>
    </row>
    <row r="116" ht="12.75" customHeight="1">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I116" s="209"/>
      <c r="AJ116" s="209"/>
    </row>
    <row r="117" ht="12.75" customHeight="1">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I117" s="209"/>
      <c r="AJ117" s="209"/>
    </row>
    <row r="118" ht="12.75" customHeight="1">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I118" s="209"/>
      <c r="AJ118" s="209"/>
    </row>
    <row r="119" ht="12.75" customHeight="1">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I119" s="209"/>
      <c r="AJ119" s="209"/>
    </row>
    <row r="120" ht="12.75" customHeight="1">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I120" s="209"/>
      <c r="AJ120" s="209"/>
    </row>
    <row r="121" ht="12.75" customHeight="1">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I121" s="209"/>
      <c r="AJ121" s="209"/>
    </row>
    <row r="122" ht="12.75" customHeight="1">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I122" s="209"/>
      <c r="AJ122" s="209"/>
    </row>
    <row r="123" ht="12.75" customHeight="1">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I123" s="209"/>
      <c r="AJ123" s="209"/>
    </row>
    <row r="124" ht="12.75" customHeight="1">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I124" s="209"/>
      <c r="AJ124" s="209"/>
    </row>
    <row r="125" ht="12.75" customHeight="1">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I125" s="209"/>
      <c r="AJ125" s="209"/>
    </row>
    <row r="126" ht="12.75" customHeight="1">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I126" s="209"/>
      <c r="AJ126" s="209"/>
    </row>
    <row r="127" ht="12.75" customHeight="1">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I127" s="209"/>
      <c r="AJ127" s="209"/>
    </row>
    <row r="128" ht="12.75" customHeight="1">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I128" s="209"/>
      <c r="AJ128" s="209"/>
    </row>
    <row r="129" ht="12.75" customHeight="1">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I129" s="209"/>
      <c r="AJ129" s="209"/>
    </row>
    <row r="130" ht="12.75" customHeight="1">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I130" s="209"/>
      <c r="AJ130" s="209"/>
    </row>
    <row r="131" ht="12.75" customHeight="1">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I131" s="209"/>
      <c r="AJ131" s="209"/>
    </row>
    <row r="132" ht="12.75" customHeight="1">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I132" s="209"/>
      <c r="AJ132" s="209"/>
    </row>
    <row r="133" ht="12.75" customHeight="1">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I133" s="209"/>
      <c r="AJ133" s="209"/>
    </row>
    <row r="134" ht="12.75" customHeight="1">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I134" s="209"/>
      <c r="AJ134" s="209"/>
    </row>
    <row r="135" ht="12.75" customHeight="1">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I135" s="209"/>
      <c r="AJ135" s="209"/>
    </row>
    <row r="136" ht="12.75" customHeight="1">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I136" s="209"/>
      <c r="AJ136" s="209"/>
    </row>
    <row r="137" ht="12.75" customHeight="1">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I137" s="209"/>
      <c r="AJ137" s="209"/>
    </row>
    <row r="138" ht="12.75" customHeight="1">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I138" s="209"/>
      <c r="AJ138" s="209"/>
    </row>
    <row r="139" ht="12.75" customHeight="1">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I139" s="209"/>
      <c r="AJ139" s="209"/>
    </row>
    <row r="140" ht="12.75" customHeight="1">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I140" s="209"/>
      <c r="AJ140" s="209"/>
    </row>
    <row r="141" ht="12.75" customHeight="1">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I141" s="209"/>
      <c r="AJ141" s="209"/>
    </row>
    <row r="142" ht="12.75" customHeight="1">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I142" s="209"/>
      <c r="AJ142" s="209"/>
    </row>
    <row r="143" ht="12.75" customHeight="1">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I143" s="209"/>
      <c r="AJ143" s="209"/>
    </row>
    <row r="144" ht="12.75" customHeight="1">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I144" s="209"/>
      <c r="AJ144" s="209"/>
    </row>
    <row r="145" ht="12.75" customHeight="1">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I145" s="209"/>
      <c r="AJ145" s="209"/>
    </row>
    <row r="146" ht="12.75" customHeight="1">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I146" s="209"/>
      <c r="AJ146" s="209"/>
    </row>
    <row r="147" ht="12.75" customHeight="1">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I147" s="209"/>
      <c r="AJ147" s="209"/>
    </row>
    <row r="148" ht="12.75" customHeight="1">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I148" s="209"/>
      <c r="AJ148" s="209"/>
    </row>
    <row r="149" ht="12.75" customHeight="1">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I149" s="209"/>
      <c r="AJ149" s="209"/>
    </row>
    <row r="150" ht="12.75" customHeight="1">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I150" s="209"/>
      <c r="AJ150" s="209"/>
    </row>
    <row r="151" ht="12.75" customHeight="1">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I151" s="209"/>
      <c r="AJ151" s="209"/>
    </row>
    <row r="152" ht="12.75" customHeight="1">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I152" s="209"/>
      <c r="AJ152" s="209"/>
    </row>
    <row r="153" ht="12.75" customHeight="1">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I153" s="209"/>
      <c r="AJ153" s="209"/>
    </row>
    <row r="154" ht="12.75" customHeight="1">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I154" s="209"/>
      <c r="AJ154" s="209"/>
    </row>
    <row r="155" ht="12.75" customHeight="1">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I155" s="209"/>
      <c r="AJ155" s="209"/>
    </row>
    <row r="156" ht="12.75" customHeight="1">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I156" s="209"/>
      <c r="AJ156" s="209"/>
    </row>
    <row r="157" ht="12.75" customHeight="1">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I157" s="209"/>
      <c r="AJ157" s="209"/>
    </row>
    <row r="158" ht="12.75" customHeight="1">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I158" s="209"/>
      <c r="AJ158" s="209"/>
    </row>
    <row r="159" ht="12.75" customHeight="1">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I159" s="209"/>
      <c r="AJ159" s="209"/>
    </row>
    <row r="160" ht="12.75" customHeight="1">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I160" s="209"/>
      <c r="AJ160" s="209"/>
    </row>
    <row r="161" ht="12.75" customHeight="1">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I161" s="209"/>
      <c r="AJ161" s="209"/>
    </row>
    <row r="162" ht="12.75" customHeight="1">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I162" s="209"/>
      <c r="AJ162" s="209"/>
    </row>
    <row r="163" ht="12.75" customHeight="1">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I163" s="209"/>
      <c r="AJ163" s="209"/>
    </row>
    <row r="164" ht="12.75" customHeight="1">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I164" s="209"/>
      <c r="AJ164" s="209"/>
    </row>
    <row r="165" ht="12.75" customHeight="1">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I165" s="209"/>
      <c r="AJ165" s="209"/>
    </row>
    <row r="166" ht="12.75" customHeight="1">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I166" s="209"/>
      <c r="AJ166" s="209"/>
    </row>
    <row r="167" ht="12.75" customHeight="1">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I167" s="209"/>
      <c r="AJ167" s="209"/>
    </row>
    <row r="168" ht="12.75" customHeight="1">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I168" s="209"/>
      <c r="AJ168" s="209"/>
    </row>
    <row r="169" ht="12.75" customHeight="1">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I169" s="209"/>
      <c r="AJ169" s="209"/>
    </row>
    <row r="170" ht="12.75" customHeight="1">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I170" s="209"/>
      <c r="AJ170" s="209"/>
    </row>
    <row r="171" ht="12.75" customHeight="1">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I171" s="209"/>
      <c r="AJ171" s="209"/>
    </row>
    <row r="172" ht="12.75" customHeight="1">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I172" s="209"/>
      <c r="AJ172" s="209"/>
    </row>
    <row r="173" ht="12.75" customHeight="1">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I173" s="209"/>
      <c r="AJ173" s="209"/>
    </row>
    <row r="174" ht="12.75" customHeight="1">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I174" s="209"/>
      <c r="AJ174" s="209"/>
    </row>
    <row r="175" ht="12.75" customHeight="1">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I175" s="209"/>
      <c r="AJ175" s="209"/>
    </row>
    <row r="176" ht="12.75" customHeight="1">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I176" s="209"/>
      <c r="AJ176" s="209"/>
    </row>
    <row r="177" ht="12.75" customHeight="1">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I177" s="209"/>
      <c r="AJ177" s="209"/>
    </row>
    <row r="178" ht="12.75" customHeight="1">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I178" s="209"/>
      <c r="AJ178" s="209"/>
    </row>
    <row r="179" ht="12.75" customHeight="1">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I179" s="209"/>
      <c r="AJ179" s="209"/>
    </row>
    <row r="180" ht="12.75" customHeight="1">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I180" s="209"/>
      <c r="AJ180" s="209"/>
    </row>
    <row r="181" ht="12.75" customHeight="1">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I181" s="209"/>
      <c r="AJ181" s="209"/>
    </row>
    <row r="182" ht="12.75" customHeight="1">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I182" s="209"/>
      <c r="AJ182" s="209"/>
    </row>
    <row r="183" ht="12.75" customHeight="1">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I183" s="209"/>
      <c r="AJ183" s="209"/>
    </row>
    <row r="184" ht="12.75" customHeight="1">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I184" s="209"/>
      <c r="AJ184" s="209"/>
    </row>
    <row r="185" ht="12.75" customHeight="1">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I185" s="209"/>
      <c r="AJ185" s="209"/>
    </row>
    <row r="186" ht="12.75" customHeight="1">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I186" s="209"/>
      <c r="AJ186" s="209"/>
    </row>
    <row r="187" ht="12.75" customHeight="1">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I187" s="209"/>
      <c r="AJ187" s="209"/>
    </row>
    <row r="188" ht="12.75" customHeight="1">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I188" s="209"/>
      <c r="AJ188" s="209"/>
    </row>
    <row r="189" ht="12.75" customHeight="1">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I189" s="209"/>
      <c r="AJ189" s="209"/>
    </row>
    <row r="190" ht="12.75" customHeight="1">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I190" s="209"/>
      <c r="AJ190" s="209"/>
    </row>
    <row r="191" ht="12.75" customHeight="1">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I191" s="209"/>
      <c r="AJ191" s="209"/>
    </row>
    <row r="192" ht="12.75" customHeight="1">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I192" s="209"/>
      <c r="AJ192" s="209"/>
    </row>
    <row r="193" ht="12.75" customHeight="1">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I193" s="209"/>
      <c r="AJ193" s="209"/>
    </row>
    <row r="194" ht="12.75" customHeight="1">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I194" s="209"/>
      <c r="AJ194" s="209"/>
    </row>
    <row r="195" ht="12.75" customHeight="1">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I195" s="209"/>
      <c r="AJ195" s="209"/>
    </row>
    <row r="196" ht="12.75" customHeight="1">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I196" s="209"/>
      <c r="AJ196" s="209"/>
    </row>
    <row r="197" ht="12.75" customHeight="1">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I197" s="209"/>
      <c r="AJ197" s="209"/>
    </row>
    <row r="198" ht="12.75" customHeight="1">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I198" s="209"/>
      <c r="AJ198" s="209"/>
    </row>
    <row r="199" ht="12.75" customHeight="1">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I199" s="209"/>
      <c r="AJ199" s="209"/>
    </row>
    <row r="200" ht="12.75" customHeight="1">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I200" s="209"/>
      <c r="AJ200" s="209"/>
    </row>
    <row r="201" ht="12.75" customHeight="1">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I201" s="209"/>
      <c r="AJ201" s="209"/>
    </row>
    <row r="202" ht="12.75" customHeight="1">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I202" s="209"/>
      <c r="AJ202" s="209"/>
    </row>
    <row r="203" ht="12.75" customHeight="1">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I203" s="209"/>
      <c r="AJ203" s="209"/>
    </row>
    <row r="204" ht="12.75" customHeight="1">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I204" s="209"/>
      <c r="AJ204" s="209"/>
    </row>
    <row r="205" ht="12.75" customHeight="1">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I205" s="209"/>
      <c r="AJ205" s="209"/>
    </row>
    <row r="206" ht="12.75" customHeight="1">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I206" s="209"/>
      <c r="AJ206" s="209"/>
    </row>
    <row r="207" ht="12.75" customHeight="1">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I207" s="209"/>
      <c r="AJ207" s="209"/>
    </row>
    <row r="208" ht="12.75" customHeight="1">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I208" s="209"/>
      <c r="AJ208" s="209"/>
    </row>
    <row r="209" ht="12.75" customHeight="1">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I209" s="209"/>
      <c r="AJ209" s="209"/>
    </row>
    <row r="210" ht="12.75" customHeight="1">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I210" s="209"/>
      <c r="AJ210" s="209"/>
    </row>
    <row r="211" ht="12.75" customHeight="1">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I211" s="209"/>
      <c r="AJ211" s="209"/>
    </row>
    <row r="212" ht="12.75" customHeight="1">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I212" s="209"/>
      <c r="AJ212" s="209"/>
    </row>
    <row r="213" ht="12.75" customHeight="1">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I213" s="209"/>
      <c r="AJ213" s="209"/>
    </row>
    <row r="214" ht="12.75" customHeight="1">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I214" s="209"/>
      <c r="AJ214" s="209"/>
    </row>
    <row r="215" ht="12.75" customHeight="1">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I215" s="209"/>
      <c r="AJ215" s="209"/>
    </row>
    <row r="216" ht="12.75" customHeight="1">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I216" s="209"/>
      <c r="AJ216" s="209"/>
    </row>
    <row r="217" ht="12.75" customHeight="1">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I217" s="209"/>
      <c r="AJ217" s="209"/>
    </row>
    <row r="218" ht="12.75" customHeight="1">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I218" s="209"/>
      <c r="AJ218" s="209"/>
    </row>
    <row r="219" ht="12.75" customHeight="1">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I219" s="209"/>
      <c r="AJ219" s="209"/>
    </row>
    <row r="220" ht="12.75" customHeight="1">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I220" s="209"/>
      <c r="AJ220" s="209"/>
    </row>
    <row r="221" ht="12.75" customHeight="1">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I221" s="209"/>
      <c r="AJ221" s="209"/>
    </row>
    <row r="222" ht="12.75" customHeight="1">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I222" s="209"/>
      <c r="AJ222" s="209"/>
    </row>
    <row r="223" ht="12.75" customHeight="1">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I223" s="209"/>
      <c r="AJ223" s="209"/>
    </row>
    <row r="224" ht="12.75" customHeight="1">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I224" s="209"/>
      <c r="AJ224" s="209"/>
    </row>
    <row r="225" ht="12.75" customHeight="1">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I225" s="209"/>
      <c r="AJ225" s="209"/>
    </row>
    <row r="226" ht="12.75" customHeight="1">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I226" s="209"/>
      <c r="AJ226" s="209"/>
    </row>
    <row r="227" ht="12.75" customHeight="1">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I227" s="209"/>
      <c r="AJ227" s="209"/>
    </row>
    <row r="228" ht="12.75" customHeight="1">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I228" s="209"/>
      <c r="AJ228" s="209"/>
    </row>
    <row r="229" ht="12.75" customHeight="1">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I229" s="209"/>
      <c r="AJ229" s="209"/>
    </row>
    <row r="230" ht="12.75" customHeight="1">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I230" s="209"/>
      <c r="AJ230" s="209"/>
    </row>
    <row r="231" ht="12.75" customHeight="1">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I231" s="209"/>
      <c r="AJ231" s="209"/>
    </row>
    <row r="232" ht="12.75" customHeight="1">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I232" s="209"/>
      <c r="AJ232" s="209"/>
    </row>
    <row r="233" ht="12.75" customHeight="1">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I233" s="209"/>
      <c r="AJ233" s="209"/>
    </row>
    <row r="234" ht="12.75" customHeight="1">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I234" s="209"/>
      <c r="AJ234" s="209"/>
    </row>
    <row r="235" ht="12.75" customHeight="1">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I235" s="209"/>
      <c r="AJ235" s="209"/>
    </row>
    <row r="236" ht="12.75" customHeight="1">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I236" s="209"/>
      <c r="AJ236" s="209"/>
    </row>
    <row r="237" ht="12.75" customHeight="1">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I237" s="209"/>
      <c r="AJ237" s="209"/>
    </row>
    <row r="238" ht="12.75" customHeight="1">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I238" s="209"/>
      <c r="AJ238" s="209"/>
    </row>
    <row r="239" ht="12.75" customHeight="1">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I239" s="209"/>
      <c r="AJ239" s="209"/>
    </row>
    <row r="240" ht="12.75" customHeight="1">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I240" s="209"/>
      <c r="AJ240" s="209"/>
    </row>
    <row r="241" ht="12.75" customHeight="1">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I241" s="209"/>
      <c r="AJ241" s="209"/>
    </row>
    <row r="242" ht="12.75" customHeight="1">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I242" s="209"/>
      <c r="AJ242" s="209"/>
    </row>
    <row r="243" ht="12.75" customHeight="1">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I243" s="209"/>
      <c r="AJ243" s="209"/>
    </row>
    <row r="244" ht="12.75" customHeight="1">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I244" s="209"/>
      <c r="AJ244" s="209"/>
    </row>
    <row r="245" ht="12.75" customHeight="1">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I245" s="209"/>
      <c r="AJ245" s="209"/>
    </row>
    <row r="246" ht="12.75" customHeight="1">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I246" s="209"/>
      <c r="AJ246" s="209"/>
    </row>
    <row r="247" ht="12.75" customHeight="1">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I247" s="209"/>
      <c r="AJ247" s="209"/>
    </row>
    <row r="248" ht="12.75" customHeight="1">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I248" s="209"/>
      <c r="AJ248" s="209"/>
    </row>
    <row r="249" ht="12.75" customHeight="1">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I249" s="209"/>
      <c r="AJ249" s="209"/>
    </row>
    <row r="250" ht="12.75" customHeight="1">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I250" s="209"/>
      <c r="AJ250" s="209"/>
    </row>
    <row r="251" ht="12.75" customHeight="1">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I251" s="209"/>
      <c r="AJ251" s="209"/>
    </row>
    <row r="252" ht="12.75" customHeight="1">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I252" s="209"/>
      <c r="AJ252" s="209"/>
    </row>
    <row r="253" ht="12.75" customHeight="1">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I253" s="209"/>
      <c r="AJ253" s="209"/>
    </row>
    <row r="254" ht="12.75" customHeight="1">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I254" s="209"/>
      <c r="AJ254" s="209"/>
    </row>
    <row r="255" ht="12.75" customHeight="1">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I255" s="209"/>
      <c r="AJ255" s="209"/>
    </row>
    <row r="256" ht="12.75" customHeight="1">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I256" s="209"/>
      <c r="AJ256" s="209"/>
    </row>
    <row r="257" ht="12.75" customHeight="1">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I257" s="209"/>
      <c r="AJ257" s="209"/>
    </row>
    <row r="258" ht="12.75" customHeight="1">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I258" s="209"/>
      <c r="AJ258" s="209"/>
    </row>
    <row r="259" ht="12.75" customHeight="1">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I259" s="209"/>
      <c r="AJ259" s="209"/>
    </row>
    <row r="260" ht="12.75" customHeight="1">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I260" s="209"/>
      <c r="AJ260" s="209"/>
    </row>
    <row r="261" ht="12.75" customHeight="1">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I261" s="209"/>
      <c r="AJ261" s="209"/>
    </row>
    <row r="262" ht="12.75" customHeight="1">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I262" s="209"/>
      <c r="AJ262" s="209"/>
    </row>
    <row r="263" ht="12.75" customHeight="1">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I263" s="209"/>
      <c r="AJ263" s="209"/>
    </row>
    <row r="264" ht="12.75" customHeight="1">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I264" s="209"/>
      <c r="AJ264" s="209"/>
    </row>
    <row r="265" ht="12.75" customHeight="1">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I265" s="209"/>
      <c r="AJ265" s="209"/>
    </row>
    <row r="266" ht="12.75" customHeight="1">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I266" s="209"/>
      <c r="AJ266" s="209"/>
    </row>
    <row r="267" ht="12.75" customHeight="1">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I267" s="209"/>
      <c r="AJ267" s="209"/>
    </row>
    <row r="268" ht="12.75" customHeight="1">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I268" s="209"/>
      <c r="AJ268" s="209"/>
    </row>
    <row r="269" ht="12.75" customHeight="1">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I269" s="209"/>
      <c r="AJ269" s="209"/>
    </row>
    <row r="270" ht="12.75" customHeight="1">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I270" s="209"/>
      <c r="AJ270" s="209"/>
    </row>
    <row r="271" ht="12.75" customHeight="1">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I271" s="209"/>
      <c r="AJ271" s="209"/>
    </row>
    <row r="272" ht="12.75" customHeight="1">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I272" s="209"/>
      <c r="AJ272" s="209"/>
    </row>
    <row r="273" ht="12.75" customHeight="1">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I273" s="209"/>
      <c r="AJ273" s="209"/>
    </row>
    <row r="274" ht="12.75" customHeight="1">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I274" s="209"/>
      <c r="AJ274" s="209"/>
    </row>
    <row r="275" ht="12.75" customHeight="1">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I275" s="209"/>
      <c r="AJ275" s="209"/>
    </row>
    <row r="276" ht="12.75" customHeight="1">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I276" s="209"/>
      <c r="AJ276" s="209"/>
    </row>
    <row r="277" ht="12.75" customHeight="1">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I277" s="209"/>
      <c r="AJ277" s="209"/>
    </row>
    <row r="278" ht="12.75" customHeight="1">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I278" s="209"/>
      <c r="AJ278" s="209"/>
    </row>
    <row r="279" ht="12.75" customHeight="1">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I279" s="209"/>
      <c r="AJ279" s="209"/>
    </row>
    <row r="280" ht="12.75" customHeight="1">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I280" s="209"/>
      <c r="AJ280" s="209"/>
    </row>
    <row r="281" ht="12.75" customHeight="1">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I281" s="209"/>
      <c r="AJ281" s="209"/>
    </row>
    <row r="282" ht="12.75" customHeight="1">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I282" s="209"/>
      <c r="AJ282" s="209"/>
    </row>
    <row r="283" ht="12.75" customHeight="1">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I283" s="209"/>
      <c r="AJ283" s="209"/>
    </row>
    <row r="284" ht="12.75" customHeight="1">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I284" s="209"/>
      <c r="AJ284" s="209"/>
    </row>
    <row r="285" ht="12.75" customHeight="1">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I285" s="209"/>
      <c r="AJ285" s="209"/>
    </row>
    <row r="286" ht="12.75" customHeight="1">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I286" s="209"/>
      <c r="AJ286" s="209"/>
    </row>
    <row r="287" ht="12.75" customHeight="1">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I287" s="209"/>
      <c r="AJ287" s="209"/>
    </row>
    <row r="288" ht="12.75" customHeight="1">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I288" s="209"/>
      <c r="AJ288" s="209"/>
    </row>
    <row r="289" ht="12.75" customHeight="1">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I289" s="209"/>
      <c r="AJ289" s="209"/>
    </row>
    <row r="290" ht="12.75" customHeight="1">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I290" s="209"/>
      <c r="AJ290" s="209"/>
    </row>
    <row r="291" ht="12.75" customHeight="1">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I291" s="209"/>
      <c r="AJ291" s="209"/>
    </row>
    <row r="292" ht="12.75" customHeight="1">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I292" s="209"/>
      <c r="AJ292" s="209"/>
    </row>
    <row r="293" ht="12.75" customHeight="1">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I293" s="209"/>
      <c r="AJ293" s="209"/>
    </row>
    <row r="294" ht="12.75" customHeight="1">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I294" s="209"/>
      <c r="AJ294" s="209"/>
    </row>
    <row r="295" ht="12.75" customHeight="1">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I295" s="209"/>
      <c r="AJ295" s="209"/>
    </row>
    <row r="296" ht="12.75" customHeight="1">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I296" s="209"/>
      <c r="AJ296" s="209"/>
    </row>
    <row r="297" ht="12.75" customHeight="1">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I297" s="209"/>
      <c r="AJ297" s="209"/>
    </row>
    <row r="298" ht="12.75" customHeight="1">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I298" s="209"/>
      <c r="AJ298" s="209"/>
    </row>
    <row r="299" ht="12.75" customHeight="1">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I299" s="209"/>
      <c r="AJ299" s="209"/>
    </row>
    <row r="300" ht="12.75" customHeight="1">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I300" s="209"/>
      <c r="AJ300" s="209"/>
    </row>
    <row r="301" ht="12.75" customHeight="1">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I301" s="209"/>
      <c r="AJ301" s="209"/>
    </row>
    <row r="302" ht="12.75" customHeight="1">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I302" s="209"/>
      <c r="AJ302" s="209"/>
    </row>
    <row r="303" ht="12.75" customHeight="1">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I303" s="209"/>
      <c r="AJ303" s="209"/>
    </row>
    <row r="304" ht="12.75" customHeight="1">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I304" s="209"/>
      <c r="AJ304" s="209"/>
    </row>
    <row r="305" ht="12.75" customHeight="1">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I305" s="209"/>
      <c r="AJ305" s="209"/>
    </row>
    <row r="306" ht="12.75" customHeight="1">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I306" s="209"/>
      <c r="AJ306" s="209"/>
    </row>
    <row r="307" ht="12.75" customHeight="1">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I307" s="209"/>
      <c r="AJ307" s="209"/>
    </row>
    <row r="308" ht="12.75" customHeight="1">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I308" s="209"/>
      <c r="AJ308" s="209"/>
    </row>
    <row r="309" ht="12.75" customHeight="1">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I309" s="209"/>
      <c r="AJ309" s="209"/>
    </row>
    <row r="310" ht="12.75" customHeight="1">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I310" s="209"/>
      <c r="AJ310" s="209"/>
    </row>
    <row r="311" ht="12.75" customHeight="1">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I311" s="209"/>
      <c r="AJ311" s="209"/>
    </row>
    <row r="312" ht="12.75" customHeight="1">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I312" s="209"/>
      <c r="AJ312" s="209"/>
    </row>
    <row r="313" ht="12.75" customHeight="1">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I313" s="209"/>
      <c r="AJ313" s="209"/>
    </row>
    <row r="314" ht="12.75" customHeight="1">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I314" s="209"/>
      <c r="AJ314" s="209"/>
    </row>
    <row r="315" ht="12.75" customHeight="1">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I315" s="209"/>
      <c r="AJ315" s="209"/>
    </row>
    <row r="316" ht="12.75" customHeight="1">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I316" s="209"/>
      <c r="AJ316" s="209"/>
    </row>
    <row r="317" ht="12.75" customHeight="1">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I317" s="209"/>
      <c r="AJ317" s="209"/>
    </row>
    <row r="318" ht="12.75" customHeight="1">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I318" s="209"/>
      <c r="AJ318" s="209"/>
    </row>
    <row r="319" ht="12.75" customHeight="1">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I319" s="209"/>
      <c r="AJ319" s="209"/>
    </row>
    <row r="320" ht="12.75" customHeight="1">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I320" s="209"/>
      <c r="AJ320" s="209"/>
    </row>
    <row r="321" ht="12.75" customHeight="1">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I321" s="209"/>
      <c r="AJ321" s="209"/>
    </row>
    <row r="322" ht="12.75" customHeight="1">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I322" s="209"/>
      <c r="AJ322" s="209"/>
    </row>
    <row r="323" ht="12.75" customHeight="1">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I323" s="209"/>
      <c r="AJ323" s="209"/>
    </row>
    <row r="324" ht="12.75" customHeight="1">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I324" s="209"/>
      <c r="AJ324" s="209"/>
    </row>
    <row r="325" ht="12.75" customHeight="1">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I325" s="209"/>
      <c r="AJ325" s="209"/>
    </row>
    <row r="326" ht="12.75" customHeight="1">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I326" s="209"/>
      <c r="AJ326" s="209"/>
    </row>
    <row r="327" ht="12.75" customHeight="1">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I327" s="209"/>
      <c r="AJ327" s="209"/>
    </row>
    <row r="328" ht="12.75" customHeight="1">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I328" s="209"/>
      <c r="AJ328" s="209"/>
    </row>
    <row r="329" ht="12.75" customHeight="1">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I329" s="209"/>
      <c r="AJ329" s="209"/>
    </row>
    <row r="330" ht="12.75" customHeight="1">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I330" s="209"/>
      <c r="AJ330" s="209"/>
    </row>
    <row r="331" ht="12.75" customHeight="1">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I331" s="209"/>
      <c r="AJ331" s="209"/>
    </row>
    <row r="332" ht="12.75" customHeight="1">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I332" s="209"/>
      <c r="AJ332" s="209"/>
    </row>
    <row r="333" ht="12.75" customHeight="1">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I333" s="209"/>
      <c r="AJ333" s="209"/>
    </row>
    <row r="334" ht="12.75" customHeight="1">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I334" s="209"/>
      <c r="AJ334" s="209"/>
    </row>
    <row r="335" ht="12.75" customHeight="1">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I335" s="209"/>
      <c r="AJ335" s="209"/>
    </row>
    <row r="336" ht="12.75" customHeight="1">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I336" s="209"/>
      <c r="AJ336" s="209"/>
    </row>
    <row r="337" ht="12.75" customHeight="1">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I337" s="209"/>
      <c r="AJ337" s="209"/>
    </row>
    <row r="338" ht="12.75" customHeight="1">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I338" s="209"/>
      <c r="AJ338" s="209"/>
    </row>
    <row r="339" ht="12.75" customHeight="1">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I339" s="209"/>
      <c r="AJ339" s="209"/>
    </row>
    <row r="340" ht="12.75" customHeight="1">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I340" s="209"/>
      <c r="AJ340" s="209"/>
    </row>
    <row r="341" ht="12.75" customHeight="1">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I341" s="209"/>
      <c r="AJ341" s="209"/>
    </row>
    <row r="342" ht="12.75" customHeight="1">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I342" s="209"/>
      <c r="AJ342" s="209"/>
    </row>
    <row r="343" ht="12.75" customHeight="1">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I343" s="209"/>
      <c r="AJ343" s="209"/>
    </row>
    <row r="344" ht="12.75" customHeight="1">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I344" s="209"/>
      <c r="AJ344" s="209"/>
    </row>
    <row r="345" ht="12.75" customHeight="1">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I345" s="209"/>
      <c r="AJ345" s="209"/>
    </row>
    <row r="346" ht="12.75" customHeight="1">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I346" s="209"/>
      <c r="AJ346" s="209"/>
    </row>
    <row r="347" ht="12.75" customHeight="1">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I347" s="209"/>
      <c r="AJ347" s="209"/>
    </row>
    <row r="348" ht="12.75" customHeight="1">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I348" s="209"/>
      <c r="AJ348" s="209"/>
    </row>
    <row r="349" ht="12.75" customHeight="1">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I349" s="209"/>
      <c r="AJ349" s="209"/>
    </row>
    <row r="350" ht="12.75" customHeight="1">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I350" s="209"/>
      <c r="AJ350" s="209"/>
    </row>
    <row r="351" ht="12.75" customHeight="1">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I351" s="209"/>
      <c r="AJ351" s="209"/>
    </row>
    <row r="352" ht="12.75" customHeight="1">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I352" s="209"/>
      <c r="AJ352" s="209"/>
    </row>
    <row r="353" ht="12.75" customHeight="1">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I353" s="209"/>
      <c r="AJ353" s="209"/>
    </row>
    <row r="354" ht="12.75" customHeight="1">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I354" s="209"/>
      <c r="AJ354" s="209"/>
    </row>
    <row r="355" ht="12.75" customHeight="1">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I355" s="209"/>
      <c r="AJ355" s="209"/>
    </row>
    <row r="356" ht="12.75" customHeight="1">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I356" s="209"/>
      <c r="AJ356" s="209"/>
    </row>
    <row r="357" ht="12.75" customHeight="1">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I357" s="209"/>
      <c r="AJ357" s="209"/>
    </row>
    <row r="358" ht="12.75" customHeight="1">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I358" s="209"/>
      <c r="AJ358" s="209"/>
    </row>
    <row r="359" ht="12.75" customHeight="1">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I359" s="209"/>
      <c r="AJ359" s="209"/>
    </row>
    <row r="360" ht="12.75" customHeight="1">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I360" s="209"/>
      <c r="AJ360" s="209"/>
    </row>
    <row r="361" ht="12.75" customHeight="1">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I361" s="209"/>
      <c r="AJ361" s="209"/>
    </row>
    <row r="362" ht="12.75" customHeight="1">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I362" s="209"/>
      <c r="AJ362" s="209"/>
    </row>
    <row r="363" ht="12.75" customHeight="1">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I363" s="209"/>
      <c r="AJ363" s="209"/>
    </row>
    <row r="364" ht="12.75" customHeight="1">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I364" s="209"/>
      <c r="AJ364" s="209"/>
    </row>
    <row r="365" ht="12.75" customHeight="1">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I365" s="209"/>
      <c r="AJ365" s="209"/>
    </row>
    <row r="366" ht="12.75" customHeight="1">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I366" s="209"/>
      <c r="AJ366" s="209"/>
    </row>
    <row r="367" ht="12.75" customHeight="1">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I367" s="209"/>
      <c r="AJ367" s="209"/>
    </row>
    <row r="368" ht="12.75" customHeight="1">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I368" s="209"/>
      <c r="AJ368" s="209"/>
    </row>
    <row r="369" ht="12.75" customHeight="1">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I369" s="209"/>
      <c r="AJ369" s="209"/>
    </row>
    <row r="370" ht="12.75" customHeight="1">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I370" s="209"/>
      <c r="AJ370" s="209"/>
    </row>
    <row r="371" ht="12.75" customHeight="1">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I371" s="209"/>
      <c r="AJ371" s="209"/>
    </row>
    <row r="372" ht="12.75" customHeight="1">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I372" s="209"/>
      <c r="AJ372" s="209"/>
    </row>
    <row r="373" ht="12.75" customHeight="1">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I373" s="209"/>
      <c r="AJ373" s="209"/>
    </row>
    <row r="374" ht="12.75" customHeight="1">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I374" s="209"/>
      <c r="AJ374" s="209"/>
    </row>
    <row r="375" ht="12.75" customHeight="1">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I375" s="209"/>
      <c r="AJ375" s="209"/>
    </row>
    <row r="376" ht="12.75" customHeight="1">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I376" s="209"/>
      <c r="AJ376" s="209"/>
    </row>
    <row r="377" ht="12.75" customHeight="1">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I377" s="209"/>
      <c r="AJ377" s="209"/>
    </row>
    <row r="378" ht="12.75" customHeight="1">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I378" s="209"/>
      <c r="AJ378" s="209"/>
    </row>
    <row r="379" ht="12.75" customHeight="1">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I379" s="209"/>
      <c r="AJ379" s="209"/>
    </row>
    <row r="380" ht="12.75" customHeight="1">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I380" s="209"/>
      <c r="AJ380" s="209"/>
    </row>
    <row r="381" ht="12.75" customHeight="1">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I381" s="209"/>
      <c r="AJ381" s="209"/>
    </row>
    <row r="382" ht="12.75" customHeight="1">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I382" s="209"/>
      <c r="AJ382" s="209"/>
    </row>
    <row r="383" ht="12.75" customHeight="1">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I383" s="209"/>
      <c r="AJ383" s="209"/>
    </row>
    <row r="384" ht="12.75" customHeight="1">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I384" s="209"/>
      <c r="AJ384" s="209"/>
    </row>
    <row r="385" ht="12.75" customHeight="1">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I385" s="209"/>
      <c r="AJ385" s="209"/>
    </row>
    <row r="386" ht="12.75" customHeight="1">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I386" s="209"/>
      <c r="AJ386" s="209"/>
    </row>
    <row r="387" ht="12.75" customHeight="1">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I387" s="209"/>
      <c r="AJ387" s="209"/>
    </row>
    <row r="388" ht="12.75" customHeight="1">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I388" s="209"/>
      <c r="AJ388" s="209"/>
    </row>
    <row r="389" ht="12.75" customHeight="1">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I389" s="209"/>
      <c r="AJ389" s="209"/>
    </row>
    <row r="390" ht="12.75" customHeight="1">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I390" s="209"/>
      <c r="AJ390" s="209"/>
    </row>
    <row r="391" ht="12.75" customHeight="1">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I391" s="209"/>
      <c r="AJ391" s="209"/>
    </row>
    <row r="392" ht="12.75" customHeight="1">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I392" s="209"/>
      <c r="AJ392" s="209"/>
    </row>
    <row r="393" ht="12.75" customHeight="1">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I393" s="209"/>
      <c r="AJ393" s="209"/>
    </row>
    <row r="394" ht="12.75" customHeight="1">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I394" s="209"/>
      <c r="AJ394" s="209"/>
    </row>
    <row r="395" ht="12.75" customHeight="1">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I395" s="209"/>
      <c r="AJ395" s="209"/>
    </row>
    <row r="396" ht="12.75" customHeight="1">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I396" s="209"/>
      <c r="AJ396" s="209"/>
    </row>
    <row r="397" ht="12.75" customHeight="1">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I397" s="209"/>
      <c r="AJ397" s="209"/>
    </row>
    <row r="398" ht="12.75" customHeight="1">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I398" s="209"/>
      <c r="AJ398" s="209"/>
    </row>
    <row r="399" ht="12.75" customHeight="1">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I399" s="209"/>
      <c r="AJ399" s="209"/>
    </row>
    <row r="400" ht="12.75" customHeight="1">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I400" s="209"/>
      <c r="AJ400" s="209"/>
    </row>
    <row r="401" ht="12.75" customHeight="1">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I401" s="209"/>
      <c r="AJ401" s="209"/>
    </row>
    <row r="402" ht="12.75" customHeight="1">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I402" s="209"/>
      <c r="AJ402" s="209"/>
    </row>
    <row r="403" ht="12.75" customHeight="1">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I403" s="209"/>
      <c r="AJ403" s="209"/>
    </row>
    <row r="404" ht="12.75" customHeight="1">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I404" s="209"/>
      <c r="AJ404" s="209"/>
    </row>
    <row r="405" ht="12.75" customHeight="1">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I405" s="209"/>
      <c r="AJ405" s="209"/>
    </row>
    <row r="406" ht="12.75" customHeight="1">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I406" s="209"/>
      <c r="AJ406" s="209"/>
    </row>
    <row r="407" ht="12.75" customHeight="1">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I407" s="209"/>
      <c r="AJ407" s="209"/>
    </row>
    <row r="408" ht="12.75" customHeight="1">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I408" s="209"/>
      <c r="AJ408" s="209"/>
    </row>
    <row r="409" ht="12.75" customHeight="1">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I409" s="209"/>
      <c r="AJ409" s="209"/>
    </row>
    <row r="410" ht="12.75" customHeight="1">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I410" s="209"/>
      <c r="AJ410" s="209"/>
    </row>
    <row r="411" ht="12.75" customHeight="1">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I411" s="209"/>
      <c r="AJ411" s="209"/>
    </row>
    <row r="412" ht="12.75" customHeight="1">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I412" s="209"/>
      <c r="AJ412" s="209"/>
    </row>
    <row r="413" ht="12.75" customHeight="1">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I413" s="209"/>
      <c r="AJ413" s="209"/>
    </row>
    <row r="414" ht="12.75" customHeight="1">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I414" s="209"/>
      <c r="AJ414" s="209"/>
    </row>
    <row r="415" ht="12.75" customHeight="1">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I415" s="209"/>
      <c r="AJ415" s="209"/>
    </row>
    <row r="416" ht="12.75" customHeight="1">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I416" s="209"/>
      <c r="AJ416" s="209"/>
    </row>
    <row r="417" ht="12.75" customHeight="1">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I417" s="209"/>
      <c r="AJ417" s="209"/>
    </row>
    <row r="418" ht="12.75" customHeight="1">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I418" s="209"/>
      <c r="AJ418" s="209"/>
    </row>
    <row r="419" ht="12.75" customHeight="1">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I419" s="209"/>
      <c r="AJ419" s="209"/>
    </row>
    <row r="420" ht="12.75" customHeight="1">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I420" s="209"/>
      <c r="AJ420" s="209"/>
    </row>
    <row r="421" ht="12.75" customHeight="1">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I421" s="209"/>
      <c r="AJ421" s="209"/>
    </row>
    <row r="422" ht="12.75" customHeight="1">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I422" s="209"/>
      <c r="AJ422" s="209"/>
    </row>
    <row r="423" ht="12.75" customHeight="1">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I423" s="209"/>
      <c r="AJ423" s="209"/>
    </row>
    <row r="424" ht="12.75" customHeight="1">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I424" s="209"/>
      <c r="AJ424" s="209"/>
    </row>
    <row r="425" ht="12.75" customHeight="1">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I425" s="209"/>
      <c r="AJ425" s="209"/>
    </row>
    <row r="426" ht="12.75" customHeight="1">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I426" s="209"/>
      <c r="AJ426" s="209"/>
    </row>
    <row r="427" ht="12.75" customHeight="1">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I427" s="209"/>
      <c r="AJ427" s="209"/>
    </row>
    <row r="428" ht="12.75" customHeight="1">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I428" s="209"/>
      <c r="AJ428" s="209"/>
    </row>
    <row r="429" ht="12.75" customHeight="1">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I429" s="209"/>
      <c r="AJ429" s="209"/>
    </row>
    <row r="430" ht="12.75" customHeight="1">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I430" s="209"/>
      <c r="AJ430" s="209"/>
    </row>
    <row r="431" ht="12.75" customHeight="1">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I431" s="209"/>
      <c r="AJ431" s="209"/>
    </row>
    <row r="432" ht="12.75" customHeight="1">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I432" s="209"/>
      <c r="AJ432" s="209"/>
    </row>
    <row r="433" ht="12.75" customHeight="1">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I433" s="209"/>
      <c r="AJ433" s="209"/>
    </row>
    <row r="434" ht="12.75" customHeight="1">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I434" s="209"/>
      <c r="AJ434" s="209"/>
    </row>
    <row r="435" ht="12.75" customHeight="1">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I435" s="209"/>
      <c r="AJ435" s="209"/>
    </row>
    <row r="436" ht="12.75" customHeight="1">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I436" s="209"/>
      <c r="AJ436" s="209"/>
    </row>
    <row r="437" ht="12.75" customHeight="1">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I437" s="209"/>
      <c r="AJ437" s="209"/>
    </row>
    <row r="438" ht="12.75" customHeight="1">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I438" s="209"/>
      <c r="AJ438" s="209"/>
    </row>
    <row r="439" ht="12.75" customHeight="1">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I439" s="209"/>
      <c r="AJ439" s="209"/>
    </row>
    <row r="440" ht="12.75" customHeight="1">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I440" s="209"/>
      <c r="AJ440" s="209"/>
    </row>
    <row r="441" ht="12.75" customHeight="1">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I441" s="209"/>
      <c r="AJ441" s="209"/>
    </row>
    <row r="442" ht="12.75" customHeight="1">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I442" s="209"/>
      <c r="AJ442" s="209"/>
    </row>
    <row r="443" ht="12.75" customHeight="1">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I443" s="209"/>
      <c r="AJ443" s="209"/>
    </row>
    <row r="444" ht="12.75" customHeight="1">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I444" s="209"/>
      <c r="AJ444" s="209"/>
    </row>
    <row r="445" ht="12.75" customHeight="1">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I445" s="209"/>
      <c r="AJ445" s="209"/>
    </row>
    <row r="446" ht="12.75" customHeight="1">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I446" s="209"/>
      <c r="AJ446" s="209"/>
    </row>
    <row r="447" ht="12.75" customHeight="1">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I447" s="209"/>
      <c r="AJ447" s="209"/>
    </row>
    <row r="448" ht="12.75" customHeight="1">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I448" s="209"/>
      <c r="AJ448" s="209"/>
    </row>
    <row r="449" ht="12.75" customHeight="1">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I449" s="209"/>
      <c r="AJ449" s="209"/>
    </row>
    <row r="450" ht="12.75" customHeight="1">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I450" s="209"/>
      <c r="AJ450" s="209"/>
    </row>
    <row r="451" ht="12.75" customHeight="1">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I451" s="209"/>
      <c r="AJ451" s="209"/>
    </row>
    <row r="452" ht="12.75" customHeight="1">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I452" s="209"/>
      <c r="AJ452" s="209"/>
    </row>
    <row r="453" ht="12.75" customHeight="1">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I453" s="209"/>
      <c r="AJ453" s="209"/>
    </row>
    <row r="454" ht="12.75" customHeight="1">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I454" s="209"/>
      <c r="AJ454" s="209"/>
    </row>
    <row r="455" ht="12.75" customHeight="1">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I455" s="209"/>
      <c r="AJ455" s="209"/>
    </row>
    <row r="456" ht="12.75" customHeight="1">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I456" s="209"/>
      <c r="AJ456" s="209"/>
    </row>
    <row r="457" ht="12.75" customHeight="1">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I457" s="209"/>
      <c r="AJ457" s="209"/>
    </row>
    <row r="458" ht="12.75" customHeight="1">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I458" s="209"/>
      <c r="AJ458" s="209"/>
    </row>
    <row r="459" ht="12.75" customHeight="1">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I459" s="209"/>
      <c r="AJ459" s="209"/>
    </row>
    <row r="460" ht="12.75" customHeight="1">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I460" s="209"/>
      <c r="AJ460" s="209"/>
    </row>
    <row r="461" ht="12.75" customHeight="1">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I461" s="209"/>
      <c r="AJ461" s="209"/>
    </row>
    <row r="462" ht="12.75" customHeight="1">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I462" s="209"/>
      <c r="AJ462" s="209"/>
    </row>
    <row r="463" ht="12.75" customHeight="1">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I463" s="209"/>
      <c r="AJ463" s="209"/>
    </row>
    <row r="464" ht="12.75" customHeight="1">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I464" s="209"/>
      <c r="AJ464" s="209"/>
    </row>
    <row r="465" ht="12.75" customHeight="1">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I465" s="209"/>
      <c r="AJ465" s="209"/>
    </row>
    <row r="466" ht="12.75" customHeight="1">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I466" s="209"/>
      <c r="AJ466" s="209"/>
    </row>
    <row r="467" ht="12.75" customHeight="1">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I467" s="209"/>
      <c r="AJ467" s="209"/>
    </row>
    <row r="468" ht="12.75" customHeight="1">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I468" s="209"/>
      <c r="AJ468" s="209"/>
    </row>
    <row r="469" ht="12.75" customHeight="1">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I469" s="209"/>
      <c r="AJ469" s="209"/>
    </row>
    <row r="470" ht="12.75" customHeight="1">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I470" s="209"/>
      <c r="AJ470" s="209"/>
    </row>
    <row r="471" ht="12.75" customHeight="1">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I471" s="209"/>
      <c r="AJ471" s="209"/>
    </row>
    <row r="472" ht="12.75" customHeight="1">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I472" s="209"/>
      <c r="AJ472" s="209"/>
    </row>
    <row r="473" ht="12.75" customHeight="1">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I473" s="209"/>
      <c r="AJ473" s="209"/>
    </row>
    <row r="474" ht="12.75" customHeight="1">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I474" s="209"/>
      <c r="AJ474" s="209"/>
    </row>
    <row r="475" ht="12.75" customHeight="1">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I475" s="209"/>
      <c r="AJ475" s="209"/>
    </row>
    <row r="476" ht="12.75" customHeight="1">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I476" s="209"/>
      <c r="AJ476" s="209"/>
    </row>
    <row r="477" ht="12.75" customHeight="1">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I477" s="209"/>
      <c r="AJ477" s="209"/>
    </row>
    <row r="478" ht="12.75" customHeight="1">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I478" s="209"/>
      <c r="AJ478" s="209"/>
    </row>
    <row r="479" ht="12.75" customHeight="1">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I479" s="209"/>
      <c r="AJ479" s="209"/>
    </row>
    <row r="480" ht="12.75" customHeight="1">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I480" s="209"/>
      <c r="AJ480" s="209"/>
    </row>
    <row r="481" ht="12.75" customHeight="1">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I481" s="209"/>
      <c r="AJ481" s="209"/>
    </row>
    <row r="482" ht="12.75" customHeight="1">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I482" s="209"/>
      <c r="AJ482" s="209"/>
    </row>
    <row r="483" ht="12.75" customHeight="1">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I483" s="209"/>
      <c r="AJ483" s="209"/>
    </row>
    <row r="484" ht="12.75" customHeight="1">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I484" s="209"/>
      <c r="AJ484" s="209"/>
    </row>
    <row r="485" ht="12.75" customHeight="1">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I485" s="209"/>
      <c r="AJ485" s="209"/>
    </row>
    <row r="486" ht="12.75" customHeight="1">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I486" s="209"/>
      <c r="AJ486" s="209"/>
    </row>
    <row r="487" ht="12.75" customHeight="1">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I487" s="209"/>
      <c r="AJ487" s="209"/>
    </row>
    <row r="488" ht="12.75" customHeight="1">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I488" s="209"/>
      <c r="AJ488" s="209"/>
    </row>
    <row r="489" ht="12.75" customHeight="1">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I489" s="209"/>
      <c r="AJ489" s="209"/>
    </row>
    <row r="490" ht="12.75" customHeight="1">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I490" s="209"/>
      <c r="AJ490" s="209"/>
    </row>
    <row r="491" ht="12.75" customHeight="1">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I491" s="209"/>
      <c r="AJ491" s="209"/>
    </row>
    <row r="492" ht="12.75" customHeight="1">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I492" s="209"/>
      <c r="AJ492" s="209"/>
    </row>
    <row r="493" ht="12.75" customHeight="1">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I493" s="209"/>
      <c r="AJ493" s="209"/>
    </row>
    <row r="494" ht="12.75" customHeight="1">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I494" s="209"/>
      <c r="AJ494" s="209"/>
    </row>
    <row r="495" ht="12.75" customHeight="1">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I495" s="209"/>
      <c r="AJ495" s="209"/>
    </row>
    <row r="496" ht="12.75" customHeight="1">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I496" s="209"/>
      <c r="AJ496" s="209"/>
    </row>
    <row r="497" ht="12.75" customHeight="1">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I497" s="209"/>
      <c r="AJ497" s="209"/>
    </row>
    <row r="498" ht="12.75" customHeight="1">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I498" s="209"/>
      <c r="AJ498" s="209"/>
    </row>
    <row r="499" ht="12.75" customHeight="1">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I499" s="209"/>
      <c r="AJ499" s="209"/>
    </row>
    <row r="500" ht="12.75" customHeight="1">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I500" s="209"/>
      <c r="AJ500" s="209"/>
    </row>
    <row r="501" ht="12.75" customHeight="1">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I501" s="209"/>
      <c r="AJ501" s="209"/>
    </row>
    <row r="502" ht="12.75" customHeight="1">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I502" s="209"/>
      <c r="AJ502" s="209"/>
    </row>
    <row r="503" ht="12.75" customHeight="1">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I503" s="209"/>
      <c r="AJ503" s="209"/>
    </row>
    <row r="504" ht="12.75" customHeight="1">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I504" s="209"/>
      <c r="AJ504" s="209"/>
    </row>
    <row r="505" ht="12.75" customHeight="1">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I505" s="209"/>
      <c r="AJ505" s="209"/>
    </row>
    <row r="506" ht="12.75" customHeight="1">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I506" s="209"/>
      <c r="AJ506" s="209"/>
    </row>
    <row r="507" ht="12.75" customHeight="1">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I507" s="209"/>
      <c r="AJ507" s="209"/>
    </row>
    <row r="508" ht="12.75" customHeight="1">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I508" s="209"/>
      <c r="AJ508" s="209"/>
    </row>
    <row r="509" ht="12.75" customHeight="1">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I509" s="209"/>
      <c r="AJ509" s="209"/>
    </row>
    <row r="510" ht="12.75" customHeight="1">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I510" s="209"/>
      <c r="AJ510" s="209"/>
    </row>
    <row r="511" ht="12.75" customHeight="1">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I511" s="209"/>
      <c r="AJ511" s="209"/>
    </row>
    <row r="512" ht="12.75" customHeight="1">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I512" s="209"/>
      <c r="AJ512" s="209"/>
    </row>
    <row r="513" ht="12.75" customHeight="1">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I513" s="209"/>
      <c r="AJ513" s="209"/>
    </row>
    <row r="514" ht="12.75" customHeight="1">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I514" s="209"/>
      <c r="AJ514" s="209"/>
    </row>
    <row r="515" ht="12.75" customHeight="1">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I515" s="209"/>
      <c r="AJ515" s="209"/>
    </row>
    <row r="516" ht="12.75" customHeight="1">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I516" s="209"/>
      <c r="AJ516" s="209"/>
    </row>
    <row r="517" ht="12.75" customHeight="1">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I517" s="209"/>
      <c r="AJ517" s="209"/>
    </row>
    <row r="518" ht="12.75" customHeight="1">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I518" s="209"/>
      <c r="AJ518" s="209"/>
    </row>
    <row r="519" ht="12.75" customHeight="1">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I519" s="209"/>
      <c r="AJ519" s="209"/>
    </row>
    <row r="520" ht="12.75" customHeight="1">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I520" s="209"/>
      <c r="AJ520" s="209"/>
    </row>
    <row r="521" ht="12.75" customHeight="1">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I521" s="209"/>
      <c r="AJ521" s="209"/>
    </row>
    <row r="522" ht="12.75" customHeight="1">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I522" s="209"/>
      <c r="AJ522" s="209"/>
    </row>
    <row r="523" ht="12.75" customHeight="1">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I523" s="209"/>
      <c r="AJ523" s="209"/>
    </row>
    <row r="524" ht="12.75" customHeight="1">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I524" s="209"/>
      <c r="AJ524" s="209"/>
    </row>
    <row r="525" ht="12.75" customHeight="1">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I525" s="209"/>
      <c r="AJ525" s="209"/>
    </row>
    <row r="526" ht="12.75" customHeight="1">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I526" s="209"/>
      <c r="AJ526" s="209"/>
    </row>
    <row r="527" ht="12.75" customHeight="1">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I527" s="209"/>
      <c r="AJ527" s="209"/>
    </row>
    <row r="528" ht="12.75" customHeight="1">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I528" s="209"/>
      <c r="AJ528" s="209"/>
    </row>
    <row r="529" ht="12.75" customHeight="1">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I529" s="209"/>
      <c r="AJ529" s="209"/>
    </row>
    <row r="530" ht="12.75" customHeight="1">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I530" s="209"/>
      <c r="AJ530" s="209"/>
    </row>
    <row r="531" ht="12.75" customHeight="1">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I531" s="209"/>
      <c r="AJ531" s="209"/>
    </row>
    <row r="532" ht="12.75" customHeight="1">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I532" s="209"/>
      <c r="AJ532" s="209"/>
    </row>
    <row r="533" ht="12.75" customHeight="1">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I533" s="209"/>
      <c r="AJ533" s="209"/>
    </row>
    <row r="534" ht="12.75" customHeight="1">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I534" s="209"/>
      <c r="AJ534" s="209"/>
    </row>
    <row r="535" ht="12.75" customHeight="1">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I535" s="209"/>
      <c r="AJ535" s="209"/>
    </row>
    <row r="536" ht="12.75" customHeight="1">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I536" s="209"/>
      <c r="AJ536" s="209"/>
    </row>
    <row r="537" ht="12.75" customHeight="1">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I537" s="209"/>
      <c r="AJ537" s="209"/>
    </row>
    <row r="538" ht="12.75" customHeight="1">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I538" s="209"/>
      <c r="AJ538" s="209"/>
    </row>
    <row r="539" ht="12.75" customHeight="1">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I539" s="209"/>
      <c r="AJ539" s="209"/>
    </row>
    <row r="540" ht="12.75" customHeight="1">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I540" s="209"/>
      <c r="AJ540" s="209"/>
    </row>
    <row r="541" ht="12.75" customHeight="1">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I541" s="209"/>
      <c r="AJ541" s="209"/>
    </row>
    <row r="542" ht="12.75" customHeight="1">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I542" s="209"/>
      <c r="AJ542" s="209"/>
    </row>
    <row r="543" ht="12.75" customHeight="1">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I543" s="209"/>
      <c r="AJ543" s="209"/>
    </row>
    <row r="544" ht="12.75" customHeight="1">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I544" s="209"/>
      <c r="AJ544" s="209"/>
    </row>
    <row r="545" ht="12.75" customHeight="1">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I545" s="209"/>
      <c r="AJ545" s="209"/>
    </row>
    <row r="546" ht="12.75" customHeight="1">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I546" s="209"/>
      <c r="AJ546" s="209"/>
    </row>
    <row r="547" ht="12.75" customHeight="1">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I547" s="209"/>
      <c r="AJ547" s="209"/>
    </row>
    <row r="548" ht="12.75" customHeight="1">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I548" s="209"/>
      <c r="AJ548" s="209"/>
    </row>
    <row r="549" ht="12.75" customHeight="1">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I549" s="209"/>
      <c r="AJ549" s="209"/>
    </row>
    <row r="550" ht="12.75" customHeight="1">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I550" s="209"/>
      <c r="AJ550" s="209"/>
    </row>
    <row r="551" ht="12.75" customHeight="1">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I551" s="209"/>
      <c r="AJ551" s="209"/>
    </row>
    <row r="552" ht="12.75" customHeight="1">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I552" s="209"/>
      <c r="AJ552" s="209"/>
    </row>
    <row r="553" ht="12.75" customHeight="1">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I553" s="209"/>
      <c r="AJ553" s="209"/>
    </row>
    <row r="554" ht="12.75" customHeight="1">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I554" s="209"/>
      <c r="AJ554" s="209"/>
    </row>
    <row r="555" ht="12.75" customHeight="1">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I555" s="209"/>
      <c r="AJ555" s="209"/>
    </row>
    <row r="556" ht="12.75" customHeight="1">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I556" s="209"/>
      <c r="AJ556" s="209"/>
    </row>
    <row r="557" ht="12.75" customHeight="1">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I557" s="209"/>
      <c r="AJ557" s="209"/>
    </row>
    <row r="558" ht="12.75" customHeight="1">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I558" s="209"/>
      <c r="AJ558" s="209"/>
    </row>
    <row r="559" ht="12.75" customHeight="1">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I559" s="209"/>
      <c r="AJ559" s="209"/>
    </row>
    <row r="560" ht="12.75" customHeight="1">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I560" s="209"/>
      <c r="AJ5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I561" s="209"/>
      <c r="AJ561" s="209"/>
    </row>
    <row r="562" ht="12.75" customHeight="1">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I562" s="209"/>
      <c r="AJ562" s="209"/>
    </row>
    <row r="563" ht="12.75" customHeight="1">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I563" s="209"/>
      <c r="AJ563" s="209"/>
    </row>
    <row r="564" ht="12.75" customHeight="1">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I564" s="209"/>
      <c r="AJ564" s="209"/>
    </row>
    <row r="565" ht="12.75" customHeight="1">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I565" s="209"/>
      <c r="AJ565" s="209"/>
    </row>
    <row r="566" ht="12.75" customHeight="1">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I566" s="209"/>
      <c r="AJ566" s="209"/>
    </row>
    <row r="567" ht="12.75" customHeight="1">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I567" s="209"/>
      <c r="AJ567" s="209"/>
    </row>
    <row r="568" ht="12.75" customHeight="1">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I568" s="209"/>
      <c r="AJ568" s="209"/>
    </row>
    <row r="569" ht="12.75" customHeight="1">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I569" s="209"/>
      <c r="AJ569" s="209"/>
    </row>
    <row r="570" ht="12.75" customHeight="1">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I570" s="209"/>
      <c r="AJ570" s="209"/>
    </row>
    <row r="571" ht="12.75" customHeight="1">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I571" s="209"/>
      <c r="AJ571" s="209"/>
    </row>
    <row r="572" ht="12.75" customHeight="1">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I572" s="209"/>
      <c r="AJ572" s="209"/>
    </row>
    <row r="573" ht="12.75" customHeight="1">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I573" s="209"/>
      <c r="AJ573" s="209"/>
    </row>
    <row r="574" ht="12.75" customHeight="1">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I574" s="209"/>
      <c r="AJ574" s="209"/>
    </row>
    <row r="575" ht="12.75" customHeight="1">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I575" s="209"/>
      <c r="AJ575" s="209"/>
    </row>
    <row r="576" ht="12.75" customHeight="1">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I576" s="209"/>
      <c r="AJ576" s="209"/>
    </row>
    <row r="577" ht="12.75" customHeight="1">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I577" s="209"/>
      <c r="AJ577" s="209"/>
    </row>
    <row r="578" ht="12.75" customHeight="1">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I578" s="209"/>
      <c r="AJ578" s="209"/>
    </row>
    <row r="579" ht="12.75" customHeight="1">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I579" s="209"/>
      <c r="AJ579" s="209"/>
    </row>
    <row r="580" ht="12.75" customHeight="1">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I580" s="209"/>
      <c r="AJ580" s="209"/>
    </row>
    <row r="581" ht="12.75" customHeight="1">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I581" s="209"/>
      <c r="AJ581" s="209"/>
    </row>
    <row r="582" ht="12.75" customHeight="1">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I582" s="209"/>
      <c r="AJ582" s="209"/>
    </row>
    <row r="583" ht="12.75" customHeight="1">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I583" s="209"/>
      <c r="AJ583" s="209"/>
    </row>
    <row r="584" ht="12.75" customHeight="1">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I584" s="209"/>
      <c r="AJ584" s="209"/>
    </row>
    <row r="585" ht="12.75" customHeight="1">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I585" s="209"/>
      <c r="AJ585" s="209"/>
    </row>
    <row r="586" ht="12.75" customHeight="1">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I586" s="209"/>
      <c r="AJ586" s="209"/>
    </row>
    <row r="587" ht="12.75" customHeight="1">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I587" s="209"/>
      <c r="AJ587" s="209"/>
    </row>
    <row r="588" ht="12.75" customHeight="1">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I588" s="209"/>
      <c r="AJ588" s="209"/>
    </row>
    <row r="589" ht="12.75" customHeight="1">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I589" s="209"/>
      <c r="AJ589" s="209"/>
    </row>
    <row r="590" ht="12.75" customHeight="1">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I590" s="209"/>
      <c r="AJ590" s="209"/>
    </row>
    <row r="591" ht="12.75" customHeight="1">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I591" s="209"/>
      <c r="AJ591" s="209"/>
    </row>
    <row r="592" ht="12.75" customHeight="1">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I592" s="209"/>
      <c r="AJ592" s="209"/>
    </row>
    <row r="593" ht="12.75" customHeight="1">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I593" s="209"/>
      <c r="AJ593" s="209"/>
    </row>
    <row r="594" ht="12.75" customHeight="1">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I594" s="209"/>
      <c r="AJ594" s="209"/>
    </row>
    <row r="595" ht="12.75" customHeight="1">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I595" s="209"/>
      <c r="AJ595" s="209"/>
    </row>
    <row r="596" ht="12.75" customHeight="1">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I596" s="209"/>
      <c r="AJ596" s="209"/>
    </row>
    <row r="597" ht="12.75" customHeight="1">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I597" s="209"/>
      <c r="AJ597" s="209"/>
    </row>
    <row r="598" ht="12.75" customHeight="1">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I598" s="209"/>
      <c r="AJ598" s="209"/>
    </row>
    <row r="599" ht="12.75" customHeight="1">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I599" s="209"/>
      <c r="AJ599" s="209"/>
    </row>
    <row r="600" ht="12.75" customHeight="1">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I600" s="209"/>
      <c r="AJ600" s="209"/>
    </row>
    <row r="601" ht="12.75" customHeight="1">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I601" s="209"/>
      <c r="AJ601" s="209"/>
    </row>
    <row r="602" ht="12.75" customHeight="1">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I602" s="209"/>
      <c r="AJ602" s="209"/>
    </row>
    <row r="603" ht="12.75" customHeight="1">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I603" s="209"/>
      <c r="AJ603" s="209"/>
    </row>
    <row r="604" ht="12.75" customHeight="1">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I604" s="209"/>
      <c r="AJ604" s="209"/>
    </row>
    <row r="605" ht="12.75" customHeight="1">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I605" s="209"/>
      <c r="AJ605" s="209"/>
    </row>
    <row r="606" ht="12.75" customHeight="1">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I606" s="209"/>
      <c r="AJ606" s="209"/>
    </row>
    <row r="607" ht="12.75" customHeight="1">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I607" s="209"/>
      <c r="AJ607" s="209"/>
    </row>
    <row r="608" ht="12.75" customHeight="1">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I608" s="209"/>
      <c r="AJ608" s="209"/>
    </row>
    <row r="609" ht="12.75" customHeight="1">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I609" s="209"/>
      <c r="AJ609" s="209"/>
    </row>
    <row r="610" ht="12.75" customHeight="1">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I610" s="209"/>
      <c r="AJ610" s="209"/>
    </row>
    <row r="611" ht="12.75" customHeight="1">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I611" s="209"/>
      <c r="AJ611" s="209"/>
    </row>
    <row r="612" ht="12.75" customHeight="1">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I612" s="209"/>
      <c r="AJ612" s="209"/>
    </row>
    <row r="613" ht="12.75" customHeight="1">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I613" s="209"/>
      <c r="AJ613" s="209"/>
    </row>
    <row r="614" ht="12.75" customHeight="1">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I614" s="209"/>
      <c r="AJ614" s="209"/>
    </row>
    <row r="615" ht="12.75" customHeight="1">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I615" s="209"/>
      <c r="AJ615" s="209"/>
    </row>
    <row r="616" ht="12.75" customHeight="1">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I616" s="209"/>
      <c r="AJ616" s="209"/>
    </row>
    <row r="617" ht="12.75" customHeight="1">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I617" s="209"/>
      <c r="AJ617" s="209"/>
    </row>
    <row r="618" ht="12.75" customHeight="1">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I618" s="209"/>
      <c r="AJ618" s="209"/>
    </row>
    <row r="619" ht="12.75" customHeight="1">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I619" s="209"/>
      <c r="AJ619" s="209"/>
    </row>
    <row r="620" ht="12.75" customHeight="1">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I620" s="209"/>
      <c r="AJ620" s="209"/>
    </row>
    <row r="621" ht="12.75" customHeight="1">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I621" s="209"/>
      <c r="AJ621" s="209"/>
    </row>
    <row r="622" ht="12.75" customHeight="1">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I622" s="209"/>
      <c r="AJ622" s="209"/>
    </row>
    <row r="623" ht="12.75" customHeight="1">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I623" s="209"/>
      <c r="AJ623" s="209"/>
    </row>
    <row r="624" ht="12.75" customHeight="1">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I624" s="209"/>
      <c r="AJ624" s="209"/>
    </row>
    <row r="625" ht="12.75" customHeight="1">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I625" s="209"/>
      <c r="AJ625" s="209"/>
    </row>
    <row r="626" ht="12.75" customHeight="1">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I626" s="209"/>
      <c r="AJ626" s="209"/>
    </row>
    <row r="627" ht="12.75" customHeight="1">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I627" s="209"/>
      <c r="AJ627" s="209"/>
    </row>
    <row r="628" ht="12.75" customHeight="1">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I628" s="209"/>
      <c r="AJ628" s="209"/>
    </row>
    <row r="629" ht="12.75" customHeight="1">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I629" s="209"/>
      <c r="AJ629" s="209"/>
    </row>
    <row r="630" ht="12.75" customHeight="1">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I630" s="209"/>
      <c r="AJ630" s="209"/>
    </row>
    <row r="631" ht="12.75" customHeight="1">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I631" s="209"/>
      <c r="AJ631" s="209"/>
    </row>
    <row r="632" ht="12.75" customHeight="1">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I632" s="209"/>
      <c r="AJ632" s="209"/>
    </row>
    <row r="633" ht="12.75" customHeight="1">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I633" s="209"/>
      <c r="AJ633" s="209"/>
    </row>
    <row r="634" ht="12.75" customHeight="1">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I634" s="209"/>
      <c r="AJ634" s="209"/>
    </row>
    <row r="635" ht="12.75" customHeight="1">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I635" s="209"/>
      <c r="AJ635" s="209"/>
    </row>
    <row r="636" ht="12.75" customHeight="1">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I636" s="209"/>
      <c r="AJ636" s="209"/>
    </row>
    <row r="637" ht="12.75" customHeight="1">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I637" s="209"/>
      <c r="AJ637" s="209"/>
    </row>
    <row r="638" ht="12.75" customHeight="1">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I638" s="209"/>
      <c r="AJ638" s="209"/>
    </row>
    <row r="639" ht="12.75" customHeight="1">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I639" s="209"/>
      <c r="AJ639" s="209"/>
    </row>
    <row r="640" ht="12.75" customHeight="1">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I640" s="209"/>
      <c r="AJ640" s="209"/>
    </row>
    <row r="641" ht="12.75" customHeight="1">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I641" s="209"/>
      <c r="AJ641" s="209"/>
    </row>
    <row r="642" ht="12.75" customHeight="1">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I642" s="209"/>
      <c r="AJ642" s="209"/>
    </row>
    <row r="643" ht="12.75" customHeight="1">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I643" s="209"/>
      <c r="AJ643" s="209"/>
    </row>
    <row r="644" ht="12.75" customHeight="1">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I644" s="209"/>
      <c r="AJ644" s="209"/>
    </row>
    <row r="645" ht="12.75" customHeight="1">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I645" s="209"/>
      <c r="AJ645" s="209"/>
    </row>
    <row r="646" ht="12.75" customHeight="1">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I646" s="209"/>
      <c r="AJ646" s="209"/>
    </row>
    <row r="647" ht="12.75" customHeight="1">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I647" s="209"/>
      <c r="AJ647" s="209"/>
    </row>
    <row r="648" ht="12.75" customHeight="1">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I648" s="209"/>
      <c r="AJ648" s="209"/>
    </row>
    <row r="649" ht="12.75" customHeight="1">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I649" s="209"/>
      <c r="AJ649" s="209"/>
    </row>
    <row r="650" ht="12.75" customHeight="1">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I650" s="209"/>
      <c r="AJ650" s="209"/>
    </row>
    <row r="651" ht="12.75" customHeight="1">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I651" s="209"/>
      <c r="AJ651" s="209"/>
    </row>
    <row r="652" ht="12.75" customHeight="1">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I652" s="209"/>
      <c r="AJ652" s="209"/>
    </row>
    <row r="653" ht="12.75" customHeight="1">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I653" s="209"/>
      <c r="AJ653" s="209"/>
    </row>
    <row r="654" ht="12.75" customHeight="1">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I654" s="209"/>
      <c r="AJ654" s="209"/>
    </row>
    <row r="655" ht="12.75" customHeight="1">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I655" s="209"/>
      <c r="AJ655" s="209"/>
    </row>
    <row r="656" ht="12.75" customHeight="1">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I656" s="209"/>
      <c r="AJ656" s="209"/>
    </row>
    <row r="657" ht="12.75" customHeight="1">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I657" s="209"/>
      <c r="AJ657" s="209"/>
    </row>
    <row r="658" ht="12.75" customHeight="1">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I658" s="209"/>
      <c r="AJ658" s="209"/>
    </row>
    <row r="659" ht="12.75" customHeight="1">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I659" s="209"/>
      <c r="AJ659" s="209"/>
    </row>
    <row r="660" ht="12.75" customHeight="1">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I660" s="209"/>
      <c r="AJ660" s="209"/>
    </row>
    <row r="661" ht="12.75" customHeight="1">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I661" s="209"/>
      <c r="AJ661" s="209"/>
    </row>
    <row r="662" ht="12.75" customHeight="1">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I662" s="209"/>
      <c r="AJ662" s="209"/>
    </row>
    <row r="663" ht="12.75" customHeight="1">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I663" s="209"/>
      <c r="AJ663" s="209"/>
    </row>
    <row r="664" ht="12.75" customHeight="1">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I664" s="209"/>
      <c r="AJ664" s="209"/>
    </row>
    <row r="665" ht="12.75" customHeight="1">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I665" s="209"/>
      <c r="AJ665" s="209"/>
    </row>
    <row r="666" ht="12.75" customHeight="1">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I666" s="209"/>
      <c r="AJ666" s="209"/>
    </row>
    <row r="667" ht="12.75" customHeight="1">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I667" s="209"/>
      <c r="AJ667" s="209"/>
    </row>
    <row r="668" ht="12.75" customHeight="1">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I668" s="209"/>
      <c r="AJ668" s="209"/>
    </row>
    <row r="669" ht="12.75" customHeight="1">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I669" s="209"/>
      <c r="AJ669" s="209"/>
    </row>
    <row r="670" ht="12.75" customHeight="1">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I670" s="209"/>
      <c r="AJ670" s="209"/>
    </row>
    <row r="671" ht="12.75" customHeight="1">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I671" s="209"/>
      <c r="AJ671" s="209"/>
    </row>
    <row r="672" ht="12.75" customHeight="1">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I672" s="209"/>
      <c r="AJ672" s="209"/>
    </row>
    <row r="673" ht="12.75" customHeight="1">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I673" s="209"/>
      <c r="AJ673" s="209"/>
    </row>
    <row r="674" ht="12.75" customHeight="1">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I674" s="209"/>
      <c r="AJ674" s="209"/>
    </row>
    <row r="675" ht="12.75" customHeight="1">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I675" s="209"/>
      <c r="AJ675" s="209"/>
    </row>
    <row r="676" ht="12.75" customHeight="1">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I676" s="209"/>
      <c r="AJ676" s="209"/>
    </row>
    <row r="677" ht="12.75" customHeight="1">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I677" s="209"/>
      <c r="AJ677" s="209"/>
    </row>
    <row r="678" ht="12.75" customHeight="1">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I678" s="209"/>
      <c r="AJ678" s="209"/>
    </row>
    <row r="679" ht="12.75" customHeight="1">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I679" s="209"/>
      <c r="AJ679" s="209"/>
    </row>
    <row r="680" ht="12.75" customHeight="1">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I680" s="209"/>
      <c r="AJ680" s="209"/>
    </row>
    <row r="681" ht="12.75" customHeight="1">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I681" s="209"/>
      <c r="AJ681" s="209"/>
    </row>
    <row r="682" ht="12.75" customHeight="1">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I682" s="209"/>
      <c r="AJ682" s="209"/>
    </row>
    <row r="683" ht="12.75" customHeight="1">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I683" s="209"/>
      <c r="AJ683" s="209"/>
    </row>
    <row r="684" ht="12.75" customHeight="1">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I684" s="209"/>
      <c r="AJ684" s="209"/>
    </row>
    <row r="685" ht="12.75" customHeight="1">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I685" s="209"/>
      <c r="AJ685" s="209"/>
    </row>
    <row r="686" ht="12.75" customHeight="1">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I686" s="209"/>
      <c r="AJ686" s="209"/>
    </row>
    <row r="687" ht="12.75" customHeight="1">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I687" s="209"/>
      <c r="AJ687" s="209"/>
    </row>
    <row r="688" ht="12.75" customHeight="1">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I688" s="209"/>
      <c r="AJ688" s="209"/>
    </row>
    <row r="689" ht="12.75" customHeight="1">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I689" s="209"/>
      <c r="AJ689" s="209"/>
    </row>
    <row r="690" ht="12.75" customHeight="1">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I690" s="209"/>
      <c r="AJ690" s="209"/>
    </row>
    <row r="691" ht="12.75" customHeight="1">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I691" s="209"/>
      <c r="AJ691" s="209"/>
    </row>
    <row r="692" ht="12.75" customHeight="1">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I692" s="209"/>
      <c r="AJ692" s="209"/>
    </row>
    <row r="693" ht="12.75" customHeight="1">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I693" s="209"/>
      <c r="AJ693" s="209"/>
    </row>
    <row r="694" ht="12.75" customHeight="1">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I694" s="209"/>
      <c r="AJ694" s="209"/>
    </row>
    <row r="695" ht="12.75" customHeight="1">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I695" s="209"/>
      <c r="AJ695" s="209"/>
    </row>
    <row r="696" ht="12.75" customHeight="1">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I696" s="209"/>
      <c r="AJ696" s="209"/>
    </row>
    <row r="697" ht="12.75" customHeight="1">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I697" s="209"/>
      <c r="AJ697" s="209"/>
    </row>
    <row r="698" ht="12.75" customHeight="1">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I698" s="209"/>
      <c r="AJ698" s="209"/>
    </row>
    <row r="699" ht="12.75" customHeight="1">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I699" s="209"/>
      <c r="AJ699" s="209"/>
    </row>
    <row r="700" ht="12.75" customHeight="1">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I700" s="209"/>
      <c r="AJ700" s="209"/>
    </row>
    <row r="701" ht="12.75" customHeight="1">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I701" s="209"/>
      <c r="AJ701" s="209"/>
    </row>
    <row r="702" ht="12.75" customHeight="1">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I702" s="209"/>
      <c r="AJ702" s="209"/>
    </row>
    <row r="703" ht="12.75" customHeight="1">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I703" s="209"/>
      <c r="AJ703" s="209"/>
    </row>
    <row r="704" ht="12.75" customHeight="1">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I704" s="209"/>
      <c r="AJ704" s="209"/>
    </row>
    <row r="705" ht="12.75" customHeight="1">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I705" s="209"/>
      <c r="AJ705" s="209"/>
    </row>
    <row r="706" ht="12.75" customHeight="1">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I706" s="209"/>
      <c r="AJ706" s="209"/>
    </row>
    <row r="707" ht="12.75" customHeight="1">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I707" s="209"/>
      <c r="AJ707" s="209"/>
    </row>
    <row r="708" ht="12.75" customHeight="1">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I708" s="209"/>
      <c r="AJ708" s="209"/>
    </row>
    <row r="709" ht="12.75" customHeight="1">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I709" s="209"/>
      <c r="AJ709" s="209"/>
    </row>
    <row r="710" ht="12.75" customHeight="1">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I710" s="209"/>
      <c r="AJ710" s="209"/>
    </row>
    <row r="711" ht="12.75" customHeight="1">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I711" s="209"/>
      <c r="AJ711" s="209"/>
    </row>
    <row r="712" ht="12.75" customHeight="1">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I712" s="209"/>
      <c r="AJ712" s="209"/>
    </row>
    <row r="713" ht="12.75" customHeight="1">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I713" s="209"/>
      <c r="AJ713" s="209"/>
    </row>
    <row r="714" ht="12.75" customHeight="1">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I714" s="209"/>
      <c r="AJ714" s="209"/>
    </row>
    <row r="715" ht="12.75" customHeight="1">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I715" s="209"/>
      <c r="AJ715" s="209"/>
    </row>
    <row r="716" ht="12.75" customHeight="1">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I716" s="209"/>
      <c r="AJ716" s="209"/>
    </row>
    <row r="717" ht="12.75" customHeight="1">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I717" s="209"/>
      <c r="AJ717" s="209"/>
    </row>
    <row r="718" ht="12.75" customHeight="1">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I718" s="209"/>
      <c r="AJ718" s="209"/>
    </row>
    <row r="719" ht="12.75" customHeight="1">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I719" s="209"/>
      <c r="AJ719" s="209"/>
    </row>
    <row r="720" ht="12.75" customHeight="1">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I720" s="209"/>
      <c r="AJ720" s="209"/>
    </row>
    <row r="721" ht="12.75" customHeight="1">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I721" s="209"/>
      <c r="AJ721" s="209"/>
    </row>
    <row r="722" ht="12.75" customHeight="1">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I722" s="209"/>
      <c r="AJ722" s="209"/>
    </row>
    <row r="723" ht="12.75" customHeight="1">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I723" s="209"/>
      <c r="AJ723" s="209"/>
    </row>
    <row r="724" ht="12.75" customHeight="1">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I724" s="209"/>
      <c r="AJ724" s="209"/>
    </row>
    <row r="725" ht="12.75" customHeight="1">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I725" s="209"/>
      <c r="AJ725" s="209"/>
    </row>
    <row r="726" ht="12.75" customHeight="1">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I726" s="209"/>
      <c r="AJ726" s="209"/>
    </row>
    <row r="727" ht="12.75" customHeight="1">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I727" s="209"/>
      <c r="AJ727" s="209"/>
    </row>
    <row r="728" ht="12.75" customHeight="1">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I728" s="209"/>
      <c r="AJ728" s="209"/>
    </row>
    <row r="729" ht="12.75" customHeight="1">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I729" s="209"/>
      <c r="AJ729" s="209"/>
    </row>
    <row r="730" ht="12.75" customHeight="1">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I730" s="209"/>
      <c r="AJ730" s="209"/>
    </row>
    <row r="731" ht="12.75" customHeight="1">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I731" s="209"/>
      <c r="AJ731" s="209"/>
    </row>
    <row r="732" ht="12.75" customHeight="1">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I732" s="209"/>
      <c r="AJ732" s="209"/>
    </row>
    <row r="733" ht="12.75" customHeight="1">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I733" s="209"/>
      <c r="AJ733" s="209"/>
    </row>
    <row r="734" ht="12.75" customHeight="1">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I734" s="209"/>
      <c r="AJ734" s="209"/>
    </row>
    <row r="735" ht="12.75" customHeight="1">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I735" s="209"/>
      <c r="AJ735" s="209"/>
    </row>
    <row r="736" ht="12.75" customHeight="1">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I736" s="209"/>
      <c r="AJ736" s="209"/>
    </row>
    <row r="737" ht="12.75" customHeight="1">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I737" s="209"/>
      <c r="AJ737" s="209"/>
    </row>
    <row r="738" ht="12.75" customHeight="1">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I738" s="209"/>
      <c r="AJ738" s="209"/>
    </row>
    <row r="739" ht="12.75" customHeight="1">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I739" s="209"/>
      <c r="AJ739" s="209"/>
    </row>
    <row r="740" ht="12.75" customHeight="1">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I740" s="209"/>
      <c r="AJ740" s="209"/>
    </row>
    <row r="741" ht="12.75" customHeight="1">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I741" s="209"/>
      <c r="AJ741" s="209"/>
    </row>
    <row r="742" ht="12.75" customHeight="1">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I742" s="209"/>
      <c r="AJ742" s="209"/>
    </row>
    <row r="743" ht="12.75" customHeight="1">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I743" s="209"/>
      <c r="AJ743" s="209"/>
    </row>
    <row r="744" ht="12.75" customHeight="1">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I744" s="209"/>
      <c r="AJ744" s="209"/>
    </row>
    <row r="745" ht="12.75" customHeight="1">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I745" s="209"/>
      <c r="AJ745" s="209"/>
    </row>
    <row r="746" ht="12.75" customHeight="1">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I746" s="209"/>
      <c r="AJ746" s="209"/>
    </row>
    <row r="747" ht="12.75" customHeight="1">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I747" s="209"/>
      <c r="AJ747" s="209"/>
    </row>
    <row r="748" ht="12.75" customHeight="1">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I748" s="209"/>
      <c r="AJ748" s="209"/>
    </row>
    <row r="749" ht="12.75" customHeight="1">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I749" s="209"/>
      <c r="AJ749" s="209"/>
    </row>
    <row r="750" ht="12.75" customHeight="1">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I750" s="209"/>
      <c r="AJ750" s="209"/>
    </row>
    <row r="751" ht="12.75" customHeight="1">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I751" s="209"/>
      <c r="AJ751" s="209"/>
    </row>
    <row r="752" ht="12.75" customHeight="1">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I752" s="209"/>
      <c r="AJ752" s="209"/>
    </row>
    <row r="753" ht="12.75" customHeight="1">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I753" s="209"/>
      <c r="AJ753" s="209"/>
    </row>
    <row r="754" ht="12.75" customHeight="1">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I754" s="209"/>
      <c r="AJ754" s="209"/>
    </row>
    <row r="755" ht="12.75" customHeight="1">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I755" s="209"/>
      <c r="AJ755" s="209"/>
    </row>
    <row r="756" ht="12.75" customHeight="1">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I756" s="209"/>
      <c r="AJ756" s="209"/>
    </row>
    <row r="757" ht="12.75" customHeight="1">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I757" s="209"/>
      <c r="AJ757" s="209"/>
    </row>
    <row r="758" ht="12.75" customHeight="1">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I758" s="209"/>
      <c r="AJ758" s="209"/>
    </row>
    <row r="759" ht="12.75" customHeight="1">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I759" s="209"/>
      <c r="AJ759" s="209"/>
    </row>
    <row r="760" ht="12.75" customHeight="1">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I760" s="209"/>
      <c r="AJ760" s="209"/>
    </row>
    <row r="761" ht="12.75" customHeight="1">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I761" s="209"/>
      <c r="AJ761" s="209"/>
    </row>
    <row r="762" ht="12.75" customHeight="1">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I762" s="209"/>
      <c r="AJ762" s="209"/>
    </row>
    <row r="763" ht="12.75" customHeight="1">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I763" s="209"/>
      <c r="AJ763" s="209"/>
    </row>
    <row r="764" ht="12.75" customHeight="1">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I764" s="209"/>
      <c r="AJ764" s="209"/>
    </row>
    <row r="765" ht="12.75" customHeight="1">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I765" s="209"/>
      <c r="AJ765" s="209"/>
    </row>
    <row r="766" ht="12.75" customHeight="1">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I766" s="209"/>
      <c r="AJ766" s="209"/>
    </row>
    <row r="767" ht="12.75" customHeight="1">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I767" s="209"/>
      <c r="AJ767" s="209"/>
    </row>
    <row r="768" ht="12.75" customHeight="1">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I768" s="209"/>
      <c r="AJ768" s="209"/>
    </row>
    <row r="769" ht="12.75" customHeight="1">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I769" s="209"/>
      <c r="AJ769" s="209"/>
    </row>
    <row r="770" ht="12.75" customHeight="1">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I770" s="209"/>
      <c r="AJ770" s="209"/>
    </row>
    <row r="771" ht="12.75" customHeight="1">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I771" s="209"/>
      <c r="AJ771" s="209"/>
    </row>
    <row r="772" ht="12.75" customHeight="1">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I772" s="209"/>
      <c r="AJ772" s="209"/>
    </row>
    <row r="773" ht="12.75" customHeight="1">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I773" s="209"/>
      <c r="AJ773" s="209"/>
    </row>
    <row r="774" ht="12.75" customHeight="1">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I774" s="209"/>
      <c r="AJ774" s="209"/>
    </row>
    <row r="775" ht="12.75" customHeight="1">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I775" s="209"/>
      <c r="AJ775" s="209"/>
    </row>
    <row r="776" ht="12.75" customHeight="1">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I776" s="209"/>
      <c r="AJ776" s="209"/>
    </row>
    <row r="777" ht="12.75" customHeight="1">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I777" s="209"/>
      <c r="AJ777" s="209"/>
    </row>
    <row r="778" ht="12.75" customHeight="1">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I778" s="209"/>
      <c r="AJ778" s="209"/>
    </row>
    <row r="779" ht="12.75" customHeight="1">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I779" s="209"/>
      <c r="AJ779" s="209"/>
    </row>
    <row r="780" ht="12.75" customHeight="1">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I780" s="209"/>
      <c r="AJ780" s="209"/>
    </row>
    <row r="781" ht="12.75" customHeight="1">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I781" s="209"/>
      <c r="AJ781" s="209"/>
    </row>
    <row r="782" ht="12.75" customHeight="1">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I782" s="209"/>
      <c r="AJ782" s="209"/>
    </row>
    <row r="783" ht="12.75" customHeight="1">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I783" s="209"/>
      <c r="AJ783" s="209"/>
    </row>
    <row r="784" ht="12.75" customHeight="1">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I784" s="209"/>
      <c r="AJ784" s="209"/>
    </row>
    <row r="785" ht="12.75" customHeight="1">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I785" s="209"/>
      <c r="AJ785" s="209"/>
    </row>
    <row r="786" ht="12.75" customHeight="1">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I786" s="209"/>
      <c r="AJ786" s="209"/>
    </row>
    <row r="787" ht="12.75" customHeight="1">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I787" s="209"/>
      <c r="AJ787" s="209"/>
    </row>
    <row r="788" ht="12.75" customHeight="1">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I788" s="209"/>
      <c r="AJ788" s="209"/>
    </row>
    <row r="789" ht="12.75" customHeight="1">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I789" s="209"/>
      <c r="AJ789" s="209"/>
    </row>
    <row r="790" ht="12.75" customHeight="1">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I790" s="209"/>
      <c r="AJ790" s="209"/>
    </row>
    <row r="791" ht="12.75" customHeight="1">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I791" s="209"/>
      <c r="AJ791" s="209"/>
    </row>
    <row r="792" ht="12.75" customHeight="1">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I792" s="209"/>
      <c r="AJ792" s="209"/>
    </row>
    <row r="793" ht="12.75" customHeight="1">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I793" s="209"/>
      <c r="AJ793" s="209"/>
    </row>
    <row r="794" ht="12.75" customHeight="1">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I794" s="209"/>
      <c r="AJ794" s="209"/>
    </row>
    <row r="795" ht="12.75" customHeight="1">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I795" s="209"/>
      <c r="AJ795" s="209"/>
    </row>
    <row r="796" ht="12.75" customHeight="1">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I796" s="209"/>
      <c r="AJ796" s="209"/>
    </row>
    <row r="797" ht="12.75" customHeight="1">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I797" s="209"/>
      <c r="AJ797" s="209"/>
    </row>
    <row r="798" ht="12.75" customHeight="1">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I798" s="209"/>
      <c r="AJ798" s="209"/>
    </row>
    <row r="799" ht="12.75" customHeight="1">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I799" s="209"/>
      <c r="AJ799" s="209"/>
    </row>
    <row r="800" ht="12.75" customHeight="1">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I800" s="209"/>
      <c r="AJ800" s="209"/>
    </row>
    <row r="801" ht="12.75" customHeight="1">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I801" s="209"/>
      <c r="AJ801" s="209"/>
    </row>
    <row r="802" ht="12.75" customHeight="1">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I802" s="209"/>
      <c r="AJ802" s="209"/>
    </row>
    <row r="803" ht="12.75" customHeight="1">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I803" s="209"/>
      <c r="AJ803" s="209"/>
    </row>
    <row r="804" ht="12.75" customHeight="1">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I804" s="209"/>
      <c r="AJ804" s="209"/>
    </row>
    <row r="805" ht="12.75" customHeight="1">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I805" s="209"/>
      <c r="AJ805" s="209"/>
    </row>
    <row r="806" ht="12.75" customHeight="1">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I806" s="209"/>
      <c r="AJ806" s="209"/>
    </row>
    <row r="807" ht="12.75" customHeight="1">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I807" s="209"/>
      <c r="AJ807" s="209"/>
    </row>
    <row r="808" ht="12.75" customHeight="1">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I808" s="209"/>
      <c r="AJ808" s="209"/>
    </row>
    <row r="809" ht="12.75" customHeight="1">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I809" s="209"/>
      <c r="AJ809" s="209"/>
    </row>
    <row r="810" ht="12.75" customHeight="1">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I810" s="209"/>
      <c r="AJ810" s="209"/>
    </row>
    <row r="811" ht="12.75" customHeight="1">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I811" s="209"/>
      <c r="AJ811" s="209"/>
    </row>
    <row r="812" ht="12.75" customHeight="1">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I812" s="209"/>
      <c r="AJ812" s="209"/>
    </row>
    <row r="813" ht="12.75" customHeight="1">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I813" s="209"/>
      <c r="AJ813" s="209"/>
    </row>
    <row r="814" ht="12.75" customHeight="1">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I814" s="209"/>
      <c r="AJ814" s="209"/>
    </row>
    <row r="815" ht="12.75" customHeight="1">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I815" s="209"/>
      <c r="AJ815" s="209"/>
    </row>
    <row r="816" ht="12.75" customHeight="1">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I816" s="209"/>
      <c r="AJ816" s="209"/>
    </row>
    <row r="817" ht="12.75" customHeight="1">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I817" s="209"/>
      <c r="AJ817" s="209"/>
    </row>
    <row r="818" ht="12.75" customHeight="1">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I818" s="209"/>
      <c r="AJ818" s="209"/>
    </row>
    <row r="819" ht="12.75" customHeight="1">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I819" s="209"/>
      <c r="AJ819" s="209"/>
    </row>
    <row r="820" ht="12.75" customHeight="1">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I820" s="209"/>
      <c r="AJ820" s="209"/>
    </row>
    <row r="821" ht="12.75" customHeight="1">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I821" s="209"/>
      <c r="AJ821" s="209"/>
    </row>
    <row r="822" ht="12.75" customHeight="1">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I822" s="209"/>
      <c r="AJ822" s="209"/>
    </row>
    <row r="823" ht="12.75" customHeight="1">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I823" s="209"/>
      <c r="AJ823" s="209"/>
    </row>
    <row r="824" ht="12.75" customHeight="1">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I824" s="209"/>
      <c r="AJ824" s="209"/>
    </row>
    <row r="825" ht="12.75" customHeight="1">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I825" s="209"/>
      <c r="AJ825" s="209"/>
    </row>
    <row r="826" ht="12.75" customHeight="1">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I826" s="209"/>
      <c r="AJ826" s="209"/>
    </row>
    <row r="827" ht="12.75" customHeight="1">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I827" s="209"/>
      <c r="AJ827" s="209"/>
    </row>
    <row r="828" ht="12.75" customHeight="1">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I828" s="209"/>
      <c r="AJ828" s="209"/>
    </row>
    <row r="829" ht="12.75" customHeight="1">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I829" s="209"/>
      <c r="AJ829" s="209"/>
    </row>
    <row r="830" ht="12.75" customHeight="1">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I830" s="209"/>
      <c r="AJ830" s="209"/>
    </row>
    <row r="831" ht="12.75" customHeight="1">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I831" s="209"/>
      <c r="AJ831" s="209"/>
    </row>
    <row r="832" ht="12.75" customHeight="1">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I832" s="209"/>
      <c r="AJ832" s="209"/>
    </row>
    <row r="833" ht="12.75" customHeight="1">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I833" s="209"/>
      <c r="AJ833" s="209"/>
    </row>
    <row r="834" ht="12.75" customHeight="1">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I834" s="209"/>
      <c r="AJ834" s="209"/>
    </row>
    <row r="835" ht="12.75" customHeight="1">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I835" s="209"/>
      <c r="AJ835" s="209"/>
    </row>
    <row r="836" ht="12.75" customHeight="1">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I836" s="209"/>
      <c r="AJ836" s="209"/>
    </row>
    <row r="837" ht="12.75" customHeight="1">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I837" s="209"/>
      <c r="AJ837" s="209"/>
    </row>
    <row r="838" ht="12.75" customHeight="1">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I838" s="209"/>
      <c r="AJ838" s="209"/>
    </row>
    <row r="839" ht="12.75" customHeight="1">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I839" s="209"/>
      <c r="AJ839" s="209"/>
    </row>
    <row r="840" ht="12.75" customHeight="1">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I840" s="209"/>
      <c r="AJ840" s="209"/>
    </row>
    <row r="841" ht="12.75" customHeight="1">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I841" s="209"/>
      <c r="AJ841" s="209"/>
    </row>
    <row r="842" ht="12.75" customHeight="1">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I842" s="209"/>
      <c r="AJ842" s="209"/>
    </row>
    <row r="843" ht="12.75" customHeight="1">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I843" s="209"/>
      <c r="AJ843" s="209"/>
    </row>
    <row r="844" ht="12.75" customHeight="1">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I844" s="209"/>
      <c r="AJ844" s="209"/>
    </row>
    <row r="845" ht="12.75" customHeight="1">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I845" s="209"/>
      <c r="AJ845" s="209"/>
    </row>
    <row r="846" ht="12.75" customHeight="1">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I846" s="209"/>
      <c r="AJ846" s="209"/>
    </row>
    <row r="847" ht="12.75" customHeight="1">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I847" s="209"/>
      <c r="AJ847" s="209"/>
    </row>
    <row r="848" ht="12.75" customHeight="1">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I848" s="209"/>
      <c r="AJ848" s="209"/>
    </row>
    <row r="849" ht="12.75" customHeight="1">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I849" s="209"/>
      <c r="AJ849" s="209"/>
    </row>
    <row r="850" ht="12.75" customHeight="1">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I850" s="209"/>
      <c r="AJ850" s="209"/>
    </row>
    <row r="851" ht="12.75" customHeight="1">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I851" s="209"/>
      <c r="AJ851" s="209"/>
    </row>
    <row r="852" ht="12.75" customHeight="1">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I852" s="209"/>
      <c r="AJ852" s="209"/>
    </row>
    <row r="853" ht="12.75" customHeight="1">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I853" s="209"/>
      <c r="AJ853" s="209"/>
    </row>
    <row r="854" ht="12.75" customHeight="1">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I854" s="209"/>
      <c r="AJ854" s="209"/>
    </row>
    <row r="855" ht="12.75" customHeight="1">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I855" s="209"/>
      <c r="AJ855" s="209"/>
    </row>
    <row r="856" ht="12.75" customHeight="1">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I856" s="209"/>
      <c r="AJ856" s="209"/>
    </row>
    <row r="857" ht="12.75" customHeight="1">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I857" s="209"/>
      <c r="AJ857" s="209"/>
    </row>
    <row r="858" ht="12.75" customHeight="1">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I858" s="209"/>
      <c r="AJ858" s="209"/>
    </row>
    <row r="859" ht="12.75" customHeight="1">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I859" s="209"/>
      <c r="AJ859" s="209"/>
    </row>
    <row r="860" ht="12.75" customHeight="1">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I860" s="209"/>
      <c r="AJ860" s="209"/>
    </row>
    <row r="861" ht="12.75" customHeight="1">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I861" s="209"/>
      <c r="AJ861" s="209"/>
    </row>
    <row r="862" ht="12.75" customHeight="1">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I862" s="209"/>
      <c r="AJ862" s="209"/>
    </row>
    <row r="863" ht="12.75" customHeight="1">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I863" s="209"/>
      <c r="AJ863" s="209"/>
    </row>
    <row r="864" ht="12.75" customHeight="1">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I864" s="209"/>
      <c r="AJ864" s="209"/>
    </row>
    <row r="865" ht="12.75" customHeight="1">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I865" s="209"/>
      <c r="AJ865" s="209"/>
    </row>
    <row r="866" ht="12.75" customHeight="1">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I866" s="209"/>
      <c r="AJ866" s="209"/>
    </row>
    <row r="867" ht="12.75" customHeight="1">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I867" s="209"/>
      <c r="AJ867" s="209"/>
    </row>
    <row r="868" ht="12.75" customHeight="1">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I868" s="209"/>
      <c r="AJ868" s="209"/>
    </row>
    <row r="869" ht="12.75" customHeight="1">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I869" s="209"/>
      <c r="AJ869" s="209"/>
    </row>
    <row r="870" ht="12.75" customHeight="1">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I870" s="209"/>
      <c r="AJ870" s="209"/>
    </row>
    <row r="871" ht="12.75" customHeight="1">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I871" s="209"/>
      <c r="AJ871" s="209"/>
    </row>
    <row r="872" ht="12.75" customHeight="1">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I872" s="209"/>
      <c r="AJ872" s="209"/>
    </row>
    <row r="873" ht="12.75" customHeight="1">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I873" s="209"/>
      <c r="AJ873" s="209"/>
    </row>
    <row r="874" ht="12.75" customHeight="1">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I874" s="209"/>
      <c r="AJ874" s="209"/>
    </row>
    <row r="875" ht="12.75" customHeight="1">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I875" s="209"/>
      <c r="AJ875" s="209"/>
    </row>
    <row r="876" ht="12.75" customHeight="1">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I876" s="209"/>
      <c r="AJ876" s="209"/>
    </row>
    <row r="877" ht="12.75" customHeight="1">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I877" s="209"/>
      <c r="AJ877" s="209"/>
    </row>
    <row r="878" ht="12.75" customHeight="1">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I878" s="209"/>
      <c r="AJ878" s="209"/>
    </row>
    <row r="879" ht="12.75" customHeight="1">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I879" s="209"/>
      <c r="AJ879" s="209"/>
    </row>
    <row r="880" ht="12.75" customHeight="1">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I880" s="209"/>
      <c r="AJ880" s="209"/>
    </row>
    <row r="881" ht="12.75" customHeight="1">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I881" s="209"/>
      <c r="AJ881" s="209"/>
    </row>
    <row r="882" ht="12.75" customHeight="1">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I882" s="209"/>
      <c r="AJ882" s="209"/>
    </row>
    <row r="883" ht="12.75" customHeight="1">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I883" s="209"/>
      <c r="AJ883" s="209"/>
    </row>
    <row r="884" ht="12.75" customHeight="1">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I884" s="209"/>
      <c r="AJ884" s="209"/>
    </row>
    <row r="885" ht="12.75" customHeight="1">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I885" s="209"/>
      <c r="AJ885" s="209"/>
    </row>
    <row r="886" ht="12.75" customHeight="1">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I886" s="209"/>
      <c r="AJ886" s="209"/>
    </row>
    <row r="887" ht="12.75" customHeight="1">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I887" s="209"/>
      <c r="AJ887" s="209"/>
    </row>
    <row r="888" ht="12.75" customHeight="1">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I888" s="209"/>
      <c r="AJ888" s="209"/>
    </row>
    <row r="889" ht="12.75" customHeight="1">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I889" s="209"/>
      <c r="AJ889" s="209"/>
    </row>
    <row r="890" ht="12.75" customHeight="1">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I890" s="209"/>
      <c r="AJ890" s="209"/>
    </row>
    <row r="891" ht="12.75" customHeight="1">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I891" s="209"/>
      <c r="AJ891" s="209"/>
    </row>
    <row r="892" ht="12.75" customHeight="1">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I892" s="209"/>
      <c r="AJ892" s="209"/>
    </row>
    <row r="893" ht="12.75" customHeight="1">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I893" s="209"/>
      <c r="AJ893" s="209"/>
    </row>
    <row r="894" ht="12.75" customHeight="1">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I894" s="209"/>
      <c r="AJ894" s="209"/>
    </row>
    <row r="895" ht="12.75" customHeight="1">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I895" s="209"/>
      <c r="AJ895" s="209"/>
    </row>
    <row r="896" ht="12.75" customHeight="1">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I896" s="209"/>
      <c r="AJ896" s="209"/>
    </row>
    <row r="897" ht="12.75" customHeight="1">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I897" s="209"/>
      <c r="AJ897" s="209"/>
    </row>
    <row r="898" ht="12.75" customHeight="1">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I898" s="209"/>
      <c r="AJ898" s="209"/>
    </row>
    <row r="899" ht="12.75" customHeight="1">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I899" s="209"/>
      <c r="AJ899" s="209"/>
    </row>
    <row r="900" ht="12.75" customHeight="1">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I900" s="209"/>
      <c r="AJ900" s="209"/>
    </row>
    <row r="901" ht="12.75" customHeight="1">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I901" s="209"/>
      <c r="AJ901" s="209"/>
    </row>
    <row r="902" ht="12.75" customHeight="1">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I902" s="209"/>
      <c r="AJ902" s="209"/>
    </row>
    <row r="903" ht="12.75" customHeight="1">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I903" s="209"/>
      <c r="AJ903" s="209"/>
    </row>
    <row r="904" ht="12.75" customHeight="1">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I904" s="209"/>
      <c r="AJ904" s="209"/>
    </row>
    <row r="905" ht="12.75" customHeight="1">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I905" s="209"/>
      <c r="AJ905" s="209"/>
    </row>
    <row r="906" ht="12.75" customHeight="1">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I906" s="209"/>
      <c r="AJ906" s="209"/>
    </row>
    <row r="907" ht="12.75" customHeight="1">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I907" s="209"/>
      <c r="AJ907" s="209"/>
    </row>
    <row r="908" ht="12.75" customHeight="1">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I908" s="209"/>
      <c r="AJ908" s="209"/>
    </row>
    <row r="909" ht="12.75" customHeight="1">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I909" s="209"/>
      <c r="AJ909" s="209"/>
    </row>
    <row r="910" ht="12.75" customHeight="1">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I910" s="209"/>
      <c r="AJ910" s="209"/>
    </row>
    <row r="911" ht="12.75" customHeight="1">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I911" s="209"/>
      <c r="AJ911" s="209"/>
    </row>
    <row r="912" ht="12.75" customHeight="1">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I912" s="209"/>
      <c r="AJ912" s="209"/>
    </row>
    <row r="913" ht="12.75" customHeight="1">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I913" s="209"/>
      <c r="AJ913" s="209"/>
    </row>
    <row r="914" ht="12.75" customHeight="1">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I914" s="209"/>
      <c r="AJ914" s="209"/>
    </row>
    <row r="915" ht="12.75" customHeight="1">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I915" s="209"/>
      <c r="AJ915" s="209"/>
    </row>
    <row r="916" ht="12.75" customHeight="1">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I916" s="209"/>
      <c r="AJ916" s="209"/>
    </row>
    <row r="917" ht="12.75" customHeight="1">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I917" s="209"/>
      <c r="AJ917" s="209"/>
    </row>
    <row r="918" ht="12.75" customHeight="1">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I918" s="209"/>
      <c r="AJ918" s="209"/>
    </row>
    <row r="919" ht="12.75" customHeight="1">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I919" s="209"/>
      <c r="AJ919" s="209"/>
    </row>
    <row r="920" ht="12.75" customHeight="1">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I920" s="209"/>
      <c r="AJ920" s="209"/>
    </row>
    <row r="921" ht="12.75" customHeight="1">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I921" s="209"/>
      <c r="AJ921" s="209"/>
    </row>
    <row r="922" ht="12.75" customHeight="1">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I922" s="209"/>
      <c r="AJ922" s="209"/>
    </row>
    <row r="923" ht="12.75" customHeight="1">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I923" s="209"/>
      <c r="AJ923" s="209"/>
    </row>
    <row r="924" ht="12.75" customHeight="1">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I924" s="209"/>
      <c r="AJ924" s="209"/>
    </row>
    <row r="925" ht="12.75" customHeight="1">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I925" s="209"/>
      <c r="AJ925" s="209"/>
    </row>
    <row r="926" ht="12.75" customHeight="1">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I926" s="209"/>
      <c r="AJ926" s="209"/>
    </row>
    <row r="927" ht="12.75" customHeight="1">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I927" s="209"/>
      <c r="AJ927" s="209"/>
    </row>
    <row r="928" ht="12.75" customHeight="1">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I928" s="209"/>
      <c r="AJ928" s="209"/>
    </row>
    <row r="929" ht="12.75" customHeight="1">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I929" s="209"/>
      <c r="AJ929" s="209"/>
    </row>
    <row r="930" ht="12.75" customHeight="1">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I930" s="209"/>
      <c r="AJ930" s="209"/>
    </row>
    <row r="931" ht="12.75" customHeight="1">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I931" s="209"/>
      <c r="AJ931" s="209"/>
    </row>
    <row r="932" ht="12.75" customHeight="1">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I932" s="209"/>
      <c r="AJ932" s="209"/>
    </row>
    <row r="933" ht="12.75" customHeight="1">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I933" s="209"/>
      <c r="AJ933" s="209"/>
    </row>
    <row r="934" ht="12.75" customHeight="1">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I934" s="209"/>
      <c r="AJ934" s="209"/>
    </row>
    <row r="935" ht="12.75" customHeight="1">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I935" s="209"/>
      <c r="AJ935" s="209"/>
    </row>
    <row r="936" ht="12.75" customHeight="1">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I936" s="209"/>
      <c r="AJ936" s="209"/>
    </row>
    <row r="937" ht="12.75" customHeight="1">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I937" s="209"/>
      <c r="AJ937" s="209"/>
    </row>
    <row r="938" ht="12.75" customHeight="1">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I938" s="209"/>
      <c r="AJ938" s="209"/>
    </row>
    <row r="939" ht="12.75" customHeight="1">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I939" s="209"/>
      <c r="AJ939" s="209"/>
    </row>
    <row r="940" ht="12.75" customHeight="1">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I940" s="209"/>
      <c r="AJ940" s="209"/>
    </row>
    <row r="941" ht="12.75" customHeight="1">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I941" s="209"/>
      <c r="AJ941" s="209"/>
    </row>
    <row r="942" ht="12.75" customHeight="1">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I942" s="209"/>
      <c r="AJ942" s="209"/>
    </row>
    <row r="943" ht="12.75" customHeight="1">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I943" s="209"/>
      <c r="AJ943" s="209"/>
    </row>
    <row r="944" ht="12.75" customHeight="1">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I944" s="209"/>
      <c r="AJ944" s="209"/>
    </row>
    <row r="945" ht="12.75" customHeight="1">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I945" s="209"/>
      <c r="AJ945" s="209"/>
    </row>
    <row r="946" ht="12.75" customHeight="1">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I946" s="209"/>
      <c r="AJ946" s="209"/>
    </row>
    <row r="947" ht="12.75" customHeight="1">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I947" s="209"/>
      <c r="AJ947" s="209"/>
    </row>
    <row r="948" ht="12.75" customHeight="1">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I948" s="209"/>
      <c r="AJ948" s="209"/>
    </row>
    <row r="949" ht="12.75" customHeight="1">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I949" s="209"/>
      <c r="AJ949" s="209"/>
    </row>
    <row r="950" ht="12.75" customHeight="1">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I950" s="209"/>
      <c r="AJ950" s="209"/>
    </row>
    <row r="951" ht="12.75" customHeight="1">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I951" s="209"/>
      <c r="AJ951" s="209"/>
    </row>
    <row r="952" ht="12.75" customHeight="1">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I952" s="209"/>
      <c r="AJ952" s="209"/>
    </row>
    <row r="953" ht="12.75" customHeight="1">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I953" s="209"/>
      <c r="AJ953" s="209"/>
    </row>
    <row r="954" ht="12.75" customHeight="1">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I954" s="209"/>
      <c r="AJ954" s="209"/>
    </row>
    <row r="955" ht="12.75" customHeight="1">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I955" s="209"/>
      <c r="AJ955" s="209"/>
    </row>
    <row r="956" ht="12.75" customHeight="1">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I956" s="209"/>
      <c r="AJ956" s="209"/>
    </row>
    <row r="957" ht="12.75" customHeight="1">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I957" s="209"/>
      <c r="AJ957" s="209"/>
    </row>
    <row r="958" ht="12.75" customHeight="1">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I958" s="209"/>
      <c r="AJ958" s="209"/>
    </row>
    <row r="959" ht="12.75" customHeight="1">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I959" s="209"/>
      <c r="AJ959" s="209"/>
    </row>
    <row r="960" ht="12.75" customHeight="1">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I960" s="209"/>
      <c r="AJ960" s="209"/>
    </row>
    <row r="961" ht="12.75" customHeight="1">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I961" s="209"/>
      <c r="AJ961" s="209"/>
    </row>
    <row r="962" ht="12.75" customHeight="1">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I962" s="209"/>
      <c r="AJ962" s="209"/>
    </row>
    <row r="963" ht="12.75" customHeight="1">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I963" s="209"/>
      <c r="AJ963" s="209"/>
    </row>
    <row r="964" ht="12.75" customHeight="1">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I964" s="209"/>
      <c r="AJ964" s="209"/>
    </row>
    <row r="965" ht="12.75" customHeight="1">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I965" s="209"/>
      <c r="AJ965" s="209"/>
    </row>
    <row r="966" ht="12.75" customHeight="1">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I966" s="209"/>
      <c r="AJ966" s="209"/>
    </row>
    <row r="967" ht="12.75" customHeight="1">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I967" s="209"/>
      <c r="AJ967" s="209"/>
    </row>
    <row r="968" ht="12.75" customHeight="1">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I968" s="209"/>
      <c r="AJ968" s="209"/>
    </row>
    <row r="969" ht="12.75" customHeight="1">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I969" s="209"/>
      <c r="AJ969" s="209"/>
    </row>
    <row r="970" ht="12.75" customHeight="1">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I970" s="209"/>
      <c r="AJ970" s="209"/>
    </row>
    <row r="971" ht="12.75" customHeight="1">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I971" s="209"/>
      <c r="AJ971" s="209"/>
    </row>
    <row r="972" ht="12.75" customHeight="1">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I972" s="209"/>
      <c r="AJ972" s="209"/>
    </row>
    <row r="973" ht="12.75" customHeight="1">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I973" s="209"/>
      <c r="AJ973" s="209"/>
    </row>
    <row r="974" ht="12.75" customHeight="1">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I974" s="209"/>
      <c r="AJ974" s="209"/>
    </row>
    <row r="975" ht="12.75" customHeight="1">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I975" s="209"/>
      <c r="AJ975" s="209"/>
    </row>
    <row r="976" ht="12.75" customHeight="1">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I976" s="209"/>
      <c r="AJ976" s="209"/>
    </row>
    <row r="977" ht="12.75" customHeight="1">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I977" s="209"/>
      <c r="AJ977" s="209"/>
    </row>
    <row r="978" ht="12.75" customHeight="1">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I978" s="209"/>
      <c r="AJ978" s="209"/>
    </row>
    <row r="979" ht="12.75" customHeight="1">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I979" s="209"/>
      <c r="AJ979" s="209"/>
    </row>
    <row r="980" ht="12.75" customHeight="1">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I980" s="209"/>
      <c r="AJ980" s="209"/>
    </row>
    <row r="981" ht="12.75" customHeight="1">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I981" s="209"/>
      <c r="AJ981" s="209"/>
    </row>
    <row r="982" ht="12.75" customHeight="1">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I982" s="209"/>
      <c r="AJ982" s="209"/>
    </row>
    <row r="983" ht="12.75" customHeight="1">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I983" s="209"/>
      <c r="AJ983" s="209"/>
    </row>
    <row r="984" ht="12.75" customHeight="1">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I984" s="209"/>
      <c r="AJ984" s="209"/>
    </row>
    <row r="985" ht="12.75" customHeight="1">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I985" s="209"/>
      <c r="AJ985" s="209"/>
    </row>
    <row r="986" ht="12.75" customHeight="1">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I986" s="209"/>
      <c r="AJ986" s="209"/>
    </row>
    <row r="987" ht="12.75" customHeight="1">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I987" s="209"/>
      <c r="AJ987" s="209"/>
    </row>
    <row r="988" ht="12.75" customHeight="1">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c r="AB988" s="209"/>
      <c r="AC988" s="209"/>
      <c r="AI988" s="209"/>
      <c r="AJ988" s="209"/>
    </row>
    <row r="989" ht="12.75" customHeight="1">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c r="AB989" s="209"/>
      <c r="AC989" s="209"/>
      <c r="AI989" s="209"/>
      <c r="AJ989" s="209"/>
    </row>
    <row r="990" ht="12.75" customHeight="1">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c r="AB990" s="209"/>
      <c r="AC990" s="209"/>
      <c r="AI990" s="209"/>
      <c r="AJ990" s="209"/>
    </row>
    <row r="991" ht="12.75" customHeight="1">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c r="AB991" s="209"/>
      <c r="AC991" s="209"/>
      <c r="AI991" s="209"/>
      <c r="AJ991" s="209"/>
    </row>
    <row r="992" ht="12.75" customHeight="1">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c r="AB992" s="209"/>
      <c r="AC992" s="209"/>
      <c r="AI992" s="209"/>
      <c r="AJ992" s="209"/>
    </row>
    <row r="993" ht="12.75" customHeight="1">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c r="AB993" s="209"/>
      <c r="AC993" s="209"/>
      <c r="AI993" s="209"/>
      <c r="AJ993" s="209"/>
    </row>
    <row r="994" ht="12.75" customHeight="1">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c r="AB994" s="209"/>
      <c r="AC994" s="209"/>
      <c r="AI994" s="209"/>
      <c r="AJ994" s="209"/>
    </row>
    <row r="995" ht="12.75" customHeight="1">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c r="AB995" s="209"/>
      <c r="AC995" s="209"/>
      <c r="AI995" s="209"/>
      <c r="AJ995" s="209"/>
    </row>
    <row r="996" ht="12.75" customHeight="1">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c r="AB996" s="209"/>
      <c r="AC996" s="209"/>
      <c r="AI996" s="209"/>
      <c r="AJ996" s="209"/>
    </row>
    <row r="997" ht="12.75" customHeight="1">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c r="AB997" s="209"/>
      <c r="AC997" s="209"/>
      <c r="AI997" s="209"/>
      <c r="AJ997" s="209"/>
    </row>
    <row r="998" ht="12.75" customHeight="1">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c r="AB998" s="209"/>
      <c r="AC998" s="209"/>
      <c r="AI998" s="209"/>
      <c r="AJ998" s="209"/>
    </row>
    <row r="999" ht="12.75" customHeight="1">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c r="AB999" s="209"/>
      <c r="AC999" s="209"/>
      <c r="AI999" s="209"/>
      <c r="AJ999" s="209"/>
    </row>
    <row r="1000" ht="12.75" customHeight="1">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c r="AB1000" s="209"/>
      <c r="AC1000" s="209"/>
      <c r="AI1000" s="209"/>
      <c r="AJ1000" s="209"/>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6" t="s">
        <v>2</v>
      </c>
      <c r="B1" s="206" t="s">
        <v>1217</v>
      </c>
      <c r="C1" s="207" t="s">
        <v>1219</v>
      </c>
      <c r="D1" s="207" t="s">
        <v>1220</v>
      </c>
      <c r="E1" s="207" t="s">
        <v>1221</v>
      </c>
      <c r="F1" s="207" t="s">
        <v>1222</v>
      </c>
      <c r="G1" s="207" t="s">
        <v>1223</v>
      </c>
      <c r="H1" s="207" t="s">
        <v>1224</v>
      </c>
      <c r="I1" s="207" t="s">
        <v>1225</v>
      </c>
      <c r="J1" s="207" t="s">
        <v>1226</v>
      </c>
      <c r="K1" s="207" t="s">
        <v>1227</v>
      </c>
      <c r="L1" s="207" t="s">
        <v>1228</v>
      </c>
      <c r="M1" s="207" t="s">
        <v>1229</v>
      </c>
      <c r="N1" s="207" t="s">
        <v>1230</v>
      </c>
      <c r="O1" s="207" t="s">
        <v>1231</v>
      </c>
      <c r="P1" s="207" t="s">
        <v>1232</v>
      </c>
      <c r="Q1" s="207" t="s">
        <v>1233</v>
      </c>
      <c r="R1" s="207" t="s">
        <v>1234</v>
      </c>
      <c r="S1" s="207" t="s">
        <v>1235</v>
      </c>
      <c r="T1" s="207" t="s">
        <v>1236</v>
      </c>
      <c r="U1" s="207" t="s">
        <v>1237</v>
      </c>
      <c r="V1" s="207" t="s">
        <v>1238</v>
      </c>
      <c r="W1" s="207" t="s">
        <v>1239</v>
      </c>
      <c r="X1" s="207" t="s">
        <v>1240</v>
      </c>
      <c r="Y1" s="207" t="s">
        <v>1241</v>
      </c>
      <c r="Z1" s="208"/>
      <c r="AA1" s="208"/>
      <c r="AB1" s="208"/>
      <c r="AC1" s="208"/>
      <c r="AD1" s="204" t="s">
        <v>1242</v>
      </c>
      <c r="AE1" s="204" t="s">
        <v>1243</v>
      </c>
      <c r="AF1" s="208" t="s">
        <v>1244</v>
      </c>
      <c r="AG1" s="204" t="s">
        <v>1245</v>
      </c>
      <c r="AH1" s="204" t="s">
        <v>1246</v>
      </c>
      <c r="AI1" s="209"/>
      <c r="AJ1" s="209"/>
      <c r="AK1" s="204" t="s">
        <v>1247</v>
      </c>
      <c r="AL1" s="204" t="s">
        <v>1248</v>
      </c>
      <c r="AM1" s="208" t="s">
        <v>1249</v>
      </c>
      <c r="AN1" s="204" t="s">
        <v>1250</v>
      </c>
      <c r="AO1" s="204" t="s">
        <v>1251</v>
      </c>
      <c r="AP1" s="204" t="s">
        <v>1250</v>
      </c>
      <c r="AQ1" s="204" t="s">
        <v>1251</v>
      </c>
      <c r="AR1" s="208" t="s">
        <v>1252</v>
      </c>
      <c r="AS1" s="204" t="s">
        <v>1250</v>
      </c>
      <c r="AT1" s="204" t="s">
        <v>1251</v>
      </c>
      <c r="BI1" s="198" t="s">
        <v>1253</v>
      </c>
    </row>
    <row r="2" ht="12.75" customHeight="1">
      <c r="A2" s="5">
        <f>companies!A2</f>
        <v>1</v>
      </c>
      <c r="B2" s="199" t="s">
        <v>1254</v>
      </c>
      <c r="C2" s="210">
        <v>4790000.0</v>
      </c>
      <c r="D2" s="210">
        <v>1480000.0</v>
      </c>
      <c r="E2" s="210">
        <v>1480000.0</v>
      </c>
      <c r="F2" s="210"/>
      <c r="G2" s="210"/>
      <c r="H2" s="210"/>
      <c r="I2" s="210"/>
      <c r="J2" s="210"/>
      <c r="K2" s="210"/>
      <c r="L2" s="210"/>
      <c r="M2" s="211"/>
      <c r="N2" s="211"/>
      <c r="O2" s="211"/>
      <c r="P2" s="211"/>
      <c r="Q2" s="211"/>
      <c r="R2" s="210"/>
      <c r="S2" s="211"/>
      <c r="T2" s="211"/>
      <c r="U2" s="211"/>
      <c r="V2" s="211"/>
      <c r="W2" s="210">
        <v>9530000.0</v>
      </c>
      <c r="X2" s="199">
        <v>1480000.0</v>
      </c>
      <c r="Y2" s="199">
        <v>1.58E7</v>
      </c>
      <c r="Z2" s="199"/>
      <c r="AA2" s="199"/>
      <c r="AB2" s="199"/>
      <c r="AC2" s="199"/>
      <c r="AD2" s="212" t="s">
        <v>683</v>
      </c>
      <c r="AE2" s="212" t="s">
        <v>683</v>
      </c>
      <c r="AF2" s="213" t="str">
        <f>Table1[[#This Row],[2019 Scope 1 (MeT Co2)]]</f>
        <v>#ERROR!</v>
      </c>
      <c r="AG2" s="214" t="str">
        <f t="shared" ref="AG2:AG101" si="1">C2-AF2</f>
        <v>#ERROR!</v>
      </c>
      <c r="AH2" s="215" t="str">
        <f t="shared" ref="AH2:AH101" si="2">AG2/C2</f>
        <v>#ERROR!</v>
      </c>
      <c r="AI2" s="209"/>
      <c r="AJ2" s="209"/>
      <c r="AK2" s="212" t="s">
        <v>683</v>
      </c>
      <c r="AL2" s="212" t="s">
        <v>683</v>
      </c>
      <c r="AM2" s="213" t="str">
        <f>Table1[[#This Row],[2019 Scope 2 ]]</f>
        <v>#ERROR!</v>
      </c>
      <c r="AN2" s="214" t="str">
        <f t="shared" ref="AN2:AN101" si="3">D2-AM2</f>
        <v>#ERROR!</v>
      </c>
      <c r="AO2" s="215" t="str">
        <f t="shared" ref="AO2:AO101" si="4">AN2/D2</f>
        <v>#ERROR!</v>
      </c>
      <c r="AP2" s="214" t="str">
        <f t="shared" ref="AP2:AP101" si="5">AM2-E2</f>
        <v>#ERROR!</v>
      </c>
      <c r="AQ2" s="215" t="str">
        <f t="shared" ref="AQ2:AQ101" si="6">AP2/E2</f>
        <v>#ERROR!</v>
      </c>
      <c r="AR2" s="216" t="str">
        <f>Table1[[#This Row],[2019 Scope 3 ]]</f>
        <v>#ERROR!</v>
      </c>
      <c r="AS2" s="217" t="str">
        <f t="shared" ref="AS2:AS101" si="7">W2-AR2</f>
        <v>#ERROR!</v>
      </c>
      <c r="AT2" s="218" t="str">
        <f t="shared" ref="AT2:AT101" si="8">AS2/W2</f>
        <v>#ERROR!</v>
      </c>
      <c r="BI2" s="4">
        <v>285.0</v>
      </c>
    </row>
    <row r="3" ht="12.75" customHeight="1">
      <c r="A3" s="5">
        <f>companies!A3</f>
        <v>2</v>
      </c>
      <c r="B3" s="199" t="s">
        <v>1254</v>
      </c>
      <c r="C3" s="210">
        <v>525000.0</v>
      </c>
      <c r="D3" s="210">
        <v>506000.0</v>
      </c>
      <c r="E3" s="210">
        <v>506000.0</v>
      </c>
      <c r="F3" s="210"/>
      <c r="G3" s="210"/>
      <c r="H3" s="210"/>
      <c r="I3" s="210"/>
      <c r="J3" s="210"/>
      <c r="K3" s="210"/>
      <c r="L3" s="210"/>
      <c r="M3" s="211"/>
      <c r="N3" s="211"/>
      <c r="O3" s="211"/>
      <c r="P3" s="211"/>
      <c r="Q3" s="211"/>
      <c r="R3" s="210"/>
      <c r="S3" s="211"/>
      <c r="T3" s="211"/>
      <c r="U3" s="211"/>
      <c r="V3" s="211"/>
      <c r="W3" s="210">
        <v>1.3678E7</v>
      </c>
      <c r="X3" s="199">
        <v>506000.0</v>
      </c>
      <c r="Y3" s="199">
        <v>1.4709E7</v>
      </c>
      <c r="Z3" s="199"/>
      <c r="AA3" s="199"/>
      <c r="AB3" s="199"/>
      <c r="AC3" s="199"/>
      <c r="AD3" s="212" t="s">
        <v>1255</v>
      </c>
      <c r="AE3" s="212" t="s">
        <v>1256</v>
      </c>
      <c r="AF3" s="213" t="str">
        <f>Table1[[#This Row],[2019 Scope 1 (MeT Co2)]]</f>
        <v>#ERROR!</v>
      </c>
      <c r="AG3" s="214" t="str">
        <f t="shared" si="1"/>
        <v>#ERROR!</v>
      </c>
      <c r="AH3" s="215" t="str">
        <f t="shared" si="2"/>
        <v>#ERROR!</v>
      </c>
      <c r="AI3" s="209"/>
      <c r="AJ3" s="209"/>
      <c r="AK3" s="212" t="s">
        <v>1255</v>
      </c>
      <c r="AL3" s="212" t="s">
        <v>1256</v>
      </c>
      <c r="AM3" s="213" t="str">
        <f>Table1[[#This Row],[2019 Scope 2 ]]</f>
        <v>#ERROR!</v>
      </c>
      <c r="AN3" s="214" t="str">
        <f t="shared" si="3"/>
        <v>#ERROR!</v>
      </c>
      <c r="AO3" s="215" t="str">
        <f t="shared" si="4"/>
        <v>#ERROR!</v>
      </c>
      <c r="AP3" s="214" t="str">
        <f t="shared" si="5"/>
        <v>#ERROR!</v>
      </c>
      <c r="AQ3" s="215" t="str">
        <f t="shared" si="6"/>
        <v>#ERROR!</v>
      </c>
      <c r="AR3" s="216" t="str">
        <f>Table1[[#This Row],[2019 Scope 3 ]]</f>
        <v>#ERROR!</v>
      </c>
      <c r="AS3" s="217" t="str">
        <f t="shared" si="7"/>
        <v>#ERROR!</v>
      </c>
      <c r="AT3" s="218" t="str">
        <f t="shared" si="8"/>
        <v>#ERROR!</v>
      </c>
      <c r="BI3" s="4">
        <v>64.0</v>
      </c>
    </row>
    <row r="4" ht="12.75" customHeight="1">
      <c r="A4" s="5">
        <f>companies!A4</f>
        <v>3</v>
      </c>
      <c r="B4" s="199" t="s">
        <v>1254</v>
      </c>
      <c r="C4" s="210">
        <v>311000.0</v>
      </c>
      <c r="D4" s="210">
        <v>271000.0</v>
      </c>
      <c r="E4" s="210">
        <v>271000.0</v>
      </c>
      <c r="F4" s="210"/>
      <c r="G4" s="210"/>
      <c r="H4" s="210"/>
      <c r="I4" s="210"/>
      <c r="J4" s="210"/>
      <c r="K4" s="210"/>
      <c r="L4" s="210"/>
      <c r="M4" s="211"/>
      <c r="N4" s="211"/>
      <c r="O4" s="211"/>
      <c r="P4" s="211"/>
      <c r="Q4" s="211"/>
      <c r="R4" s="210"/>
      <c r="S4" s="211"/>
      <c r="T4" s="211"/>
      <c r="U4" s="211"/>
      <c r="V4" s="211"/>
      <c r="W4" s="210">
        <v>1048565.0</v>
      </c>
      <c r="X4" s="199">
        <v>271000.0</v>
      </c>
      <c r="Y4" s="199">
        <v>1630565.0</v>
      </c>
      <c r="Z4" s="199"/>
      <c r="AA4" s="199"/>
      <c r="AB4" s="199"/>
      <c r="AC4" s="199"/>
      <c r="AD4" s="212" t="s">
        <v>683</v>
      </c>
      <c r="AE4" s="212" t="s">
        <v>683</v>
      </c>
      <c r="AF4" s="213" t="str">
        <f>Table1[[#This Row],[2019 Scope 1 (MeT Co2)]]</f>
        <v>#ERROR!</v>
      </c>
      <c r="AG4" s="214" t="str">
        <f t="shared" si="1"/>
        <v>#ERROR!</v>
      </c>
      <c r="AH4" s="215" t="str">
        <f t="shared" si="2"/>
        <v>#ERROR!</v>
      </c>
      <c r="AI4" s="209"/>
      <c r="AJ4" s="209"/>
      <c r="AK4" s="212" t="s">
        <v>683</v>
      </c>
      <c r="AL4" s="212" t="s">
        <v>683</v>
      </c>
      <c r="AM4" s="213" t="str">
        <f>Table1[[#This Row],[2019 Scope 2 ]]</f>
        <v>#ERROR!</v>
      </c>
      <c r="AN4" s="214" t="str">
        <f t="shared" si="3"/>
        <v>#ERROR!</v>
      </c>
      <c r="AO4" s="215" t="str">
        <f t="shared" si="4"/>
        <v>#ERROR!</v>
      </c>
      <c r="AP4" s="214" t="str">
        <f t="shared" si="5"/>
        <v>#ERROR!</v>
      </c>
      <c r="AQ4" s="215" t="str">
        <f t="shared" si="6"/>
        <v>#ERROR!</v>
      </c>
      <c r="AR4" s="216" t="str">
        <f>Table1[[#This Row],[2019 Scope 3 ]]</f>
        <v>#ERROR!</v>
      </c>
      <c r="AS4" s="217" t="str">
        <f t="shared" si="7"/>
        <v>#ERROR!</v>
      </c>
      <c r="AT4" s="218" t="str">
        <f t="shared" si="8"/>
        <v>#ERROR!</v>
      </c>
      <c r="BI4" s="4">
        <v>45103.0</v>
      </c>
    </row>
    <row r="5" ht="12.75" customHeight="1">
      <c r="A5" s="5">
        <f>companies!A5</f>
        <v>4</v>
      </c>
      <c r="B5" s="199" t="s">
        <v>1254</v>
      </c>
      <c r="C5" s="210">
        <v>22183.0</v>
      </c>
      <c r="D5" s="210">
        <v>218855.0</v>
      </c>
      <c r="E5" s="210">
        <v>218855.0</v>
      </c>
      <c r="F5" s="210"/>
      <c r="G5" s="210"/>
      <c r="H5" s="210"/>
      <c r="I5" s="210"/>
      <c r="J5" s="210"/>
      <c r="K5" s="210"/>
      <c r="L5" s="210"/>
      <c r="M5" s="211"/>
      <c r="N5" s="211"/>
      <c r="O5" s="211"/>
      <c r="P5" s="211"/>
      <c r="Q5" s="211"/>
      <c r="R5" s="210"/>
      <c r="S5" s="211"/>
      <c r="T5" s="211"/>
      <c r="U5" s="211"/>
      <c r="V5" s="211"/>
      <c r="W5" s="210">
        <v>948756.0</v>
      </c>
      <c r="X5" s="199">
        <v>218855.0</v>
      </c>
      <c r="Y5" s="199">
        <v>1189794.0</v>
      </c>
      <c r="Z5" s="199"/>
      <c r="AA5" s="199"/>
      <c r="AB5" s="199"/>
      <c r="AC5" s="199"/>
      <c r="AD5" s="212" t="s">
        <v>683</v>
      </c>
      <c r="AE5" s="212" t="s">
        <v>683</v>
      </c>
      <c r="AF5" s="213" t="str">
        <f>Table1[[#This Row],[2019 Scope 1 (MeT Co2)]]</f>
        <v>#ERROR!</v>
      </c>
      <c r="AG5" s="214" t="str">
        <f t="shared" si="1"/>
        <v>#ERROR!</v>
      </c>
      <c r="AH5" s="215" t="str">
        <f t="shared" si="2"/>
        <v>#ERROR!</v>
      </c>
      <c r="AI5" s="209"/>
      <c r="AJ5" s="209"/>
      <c r="AK5" s="212" t="s">
        <v>683</v>
      </c>
      <c r="AL5" s="212" t="s">
        <v>683</v>
      </c>
      <c r="AM5" s="213" t="str">
        <f>Table1[[#This Row],[2019 Scope 2 ]]</f>
        <v>#ERROR!</v>
      </c>
      <c r="AN5" s="214" t="str">
        <f t="shared" si="3"/>
        <v>#ERROR!</v>
      </c>
      <c r="AO5" s="215" t="str">
        <f t="shared" si="4"/>
        <v>#ERROR!</v>
      </c>
      <c r="AP5" s="214" t="str">
        <f t="shared" si="5"/>
        <v>#ERROR!</v>
      </c>
      <c r="AQ5" s="215" t="str">
        <f t="shared" si="6"/>
        <v>#ERROR!</v>
      </c>
      <c r="AR5" s="216" t="str">
        <f>Table1[[#This Row],[2019 Scope 3 ]]</f>
        <v>#ERROR!</v>
      </c>
      <c r="AS5" s="217" t="str">
        <f t="shared" si="7"/>
        <v>#ERROR!</v>
      </c>
      <c r="AT5" s="218" t="str">
        <f t="shared" si="8"/>
        <v>#ERROR!</v>
      </c>
      <c r="BI5" s="4">
        <v>21318.0</v>
      </c>
    </row>
    <row r="6" ht="12.75" customHeight="1">
      <c r="A6" s="5">
        <f>companies!A6</f>
        <v>5</v>
      </c>
      <c r="B6" s="199" t="s">
        <v>1254</v>
      </c>
      <c r="C6" s="210">
        <v>12119.0</v>
      </c>
      <c r="D6" s="210">
        <v>47871.0</v>
      </c>
      <c r="E6" s="210">
        <v>47871.0</v>
      </c>
      <c r="F6" s="210"/>
      <c r="G6" s="210"/>
      <c r="H6" s="210"/>
      <c r="I6" s="210"/>
      <c r="J6" s="210"/>
      <c r="K6" s="210"/>
      <c r="L6" s="210"/>
      <c r="M6" s="211"/>
      <c r="N6" s="211"/>
      <c r="O6" s="211"/>
      <c r="P6" s="211"/>
      <c r="Q6" s="211"/>
      <c r="R6" s="210"/>
      <c r="S6" s="211"/>
      <c r="T6" s="211"/>
      <c r="U6" s="211"/>
      <c r="V6" s="211"/>
      <c r="W6" s="210">
        <v>574034.0</v>
      </c>
      <c r="X6" s="199">
        <v>47871.0</v>
      </c>
      <c r="Y6" s="199">
        <v>634024.0</v>
      </c>
      <c r="Z6" s="199"/>
      <c r="AA6" s="199"/>
      <c r="AB6" s="199"/>
      <c r="AC6" s="199"/>
      <c r="AD6" s="212" t="s">
        <v>1257</v>
      </c>
      <c r="AE6" s="212" t="s">
        <v>1258</v>
      </c>
      <c r="AF6" s="213" t="str">
        <f>Table1[[#This Row],[2019 Scope 1 (MeT Co2)]]</f>
        <v>#ERROR!</v>
      </c>
      <c r="AG6" s="214" t="str">
        <f t="shared" si="1"/>
        <v>#ERROR!</v>
      </c>
      <c r="AH6" s="215" t="str">
        <f t="shared" si="2"/>
        <v>#ERROR!</v>
      </c>
      <c r="AI6" s="209"/>
      <c r="AJ6" s="209"/>
      <c r="AK6" s="212" t="s">
        <v>1257</v>
      </c>
      <c r="AL6" s="212" t="s">
        <v>1258</v>
      </c>
      <c r="AM6" s="213" t="str">
        <f>Table1[[#This Row],[2019 Scope 2 ]]</f>
        <v>#ERROR!</v>
      </c>
      <c r="AN6" s="214" t="str">
        <f t="shared" si="3"/>
        <v>#ERROR!</v>
      </c>
      <c r="AO6" s="215" t="str">
        <f t="shared" si="4"/>
        <v>#ERROR!</v>
      </c>
      <c r="AP6" s="214" t="str">
        <f t="shared" si="5"/>
        <v>#ERROR!</v>
      </c>
      <c r="AQ6" s="215" t="str">
        <f t="shared" si="6"/>
        <v>#ERROR!</v>
      </c>
      <c r="AR6" s="216" t="str">
        <f>Table1[[#This Row],[2019 Scope 3 ]]</f>
        <v>#ERROR!</v>
      </c>
      <c r="AS6" s="217" t="str">
        <f t="shared" si="7"/>
        <v>#ERROR!</v>
      </c>
      <c r="AT6" s="218" t="str">
        <f t="shared" si="8"/>
        <v>#ERROR!</v>
      </c>
      <c r="BI6" s="4">
        <v>333.0</v>
      </c>
    </row>
    <row r="7" ht="12.75" customHeight="1">
      <c r="A7" s="5">
        <f>companies!A7</f>
        <v>6</v>
      </c>
      <c r="B7" s="199" t="s">
        <v>1254</v>
      </c>
      <c r="C7" s="210">
        <v>45966.0</v>
      </c>
      <c r="D7" s="210">
        <v>83887.0</v>
      </c>
      <c r="E7" s="210">
        <v>83887.0</v>
      </c>
      <c r="F7" s="210"/>
      <c r="G7" s="210"/>
      <c r="H7" s="210"/>
      <c r="I7" s="210"/>
      <c r="J7" s="210"/>
      <c r="K7" s="210"/>
      <c r="L7" s="210"/>
      <c r="M7" s="211"/>
      <c r="N7" s="211"/>
      <c r="O7" s="211"/>
      <c r="P7" s="211"/>
      <c r="Q7" s="211"/>
      <c r="R7" s="210"/>
      <c r="S7" s="211"/>
      <c r="T7" s="211"/>
      <c r="U7" s="211"/>
      <c r="V7" s="211"/>
      <c r="W7" s="210">
        <v>13264.0</v>
      </c>
      <c r="X7" s="199">
        <v>83887.0</v>
      </c>
      <c r="Y7" s="199">
        <v>143117.0</v>
      </c>
      <c r="Z7" s="199"/>
      <c r="AA7" s="199"/>
      <c r="AB7" s="199"/>
      <c r="AC7" s="199"/>
      <c r="AD7" s="212" t="s">
        <v>683</v>
      </c>
      <c r="AE7" s="212" t="s">
        <v>683</v>
      </c>
      <c r="AF7" s="213" t="str">
        <f>Table1[[#This Row],[2019 Scope 1 (MeT Co2)]]</f>
        <v>#ERROR!</v>
      </c>
      <c r="AG7" s="214" t="str">
        <f t="shared" si="1"/>
        <v>#ERROR!</v>
      </c>
      <c r="AH7" s="215" t="str">
        <f t="shared" si="2"/>
        <v>#ERROR!</v>
      </c>
      <c r="AI7" s="209"/>
      <c r="AJ7" s="209"/>
      <c r="AK7" s="212" t="s">
        <v>683</v>
      </c>
      <c r="AL7" s="212" t="s">
        <v>683</v>
      </c>
      <c r="AM7" s="213" t="str">
        <f>Table1[[#This Row],[2019 Scope 2 ]]</f>
        <v>#ERROR!</v>
      </c>
      <c r="AN7" s="214" t="str">
        <f t="shared" si="3"/>
        <v>#ERROR!</v>
      </c>
      <c r="AO7" s="215" t="str">
        <f t="shared" si="4"/>
        <v>#ERROR!</v>
      </c>
      <c r="AP7" s="214" t="str">
        <f t="shared" si="5"/>
        <v>#ERROR!</v>
      </c>
      <c r="AQ7" s="215" t="str">
        <f t="shared" si="6"/>
        <v>#ERROR!</v>
      </c>
      <c r="AR7" s="216" t="str">
        <f>Table1[[#This Row],[2019 Scope 3 ]]</f>
        <v>#ERROR!</v>
      </c>
      <c r="AS7" s="217" t="str">
        <f t="shared" si="7"/>
        <v>#ERROR!</v>
      </c>
      <c r="AT7" s="218" t="str">
        <f t="shared" si="8"/>
        <v>#ERROR!</v>
      </c>
      <c r="BI7" s="4">
        <v>582.0</v>
      </c>
    </row>
    <row r="8" ht="12.75" customHeight="1">
      <c r="A8" s="5">
        <f>companies!A8</f>
        <v>7</v>
      </c>
      <c r="B8" s="199" t="s">
        <v>1254</v>
      </c>
      <c r="C8" s="210">
        <v>63521.0</v>
      </c>
      <c r="D8" s="210">
        <v>684236.0</v>
      </c>
      <c r="E8" s="210">
        <v>684236.0</v>
      </c>
      <c r="F8" s="210"/>
      <c r="G8" s="210"/>
      <c r="H8" s="210"/>
      <c r="I8" s="210"/>
      <c r="J8" s="210"/>
      <c r="K8" s="210"/>
      <c r="L8" s="210"/>
      <c r="M8" s="211"/>
      <c r="N8" s="211"/>
      <c r="O8" s="211"/>
      <c r="P8" s="211"/>
      <c r="Q8" s="211"/>
      <c r="R8" s="210"/>
      <c r="S8" s="211"/>
      <c r="T8" s="211"/>
      <c r="U8" s="211"/>
      <c r="V8" s="211"/>
      <c r="W8" s="210">
        <v>1.4279467E7</v>
      </c>
      <c r="X8" s="199">
        <v>684236.0</v>
      </c>
      <c r="Y8" s="199">
        <v>1.5027224E7</v>
      </c>
      <c r="Z8" s="199"/>
      <c r="AA8" s="199"/>
      <c r="AB8" s="199"/>
      <c r="AC8" s="199"/>
      <c r="AD8" s="212" t="s">
        <v>683</v>
      </c>
      <c r="AE8" s="212" t="s">
        <v>683</v>
      </c>
      <c r="AF8" s="213" t="str">
        <f>Table1[[#This Row],[2019 Scope 1 (MeT Co2)]]</f>
        <v>#ERROR!</v>
      </c>
      <c r="AG8" s="214" t="str">
        <f t="shared" si="1"/>
        <v>#ERROR!</v>
      </c>
      <c r="AH8" s="215" t="str">
        <f t="shared" si="2"/>
        <v>#ERROR!</v>
      </c>
      <c r="AI8" s="209"/>
      <c r="AJ8" s="209"/>
      <c r="AK8" s="212" t="s">
        <v>683</v>
      </c>
      <c r="AL8" s="212" t="s">
        <v>683</v>
      </c>
      <c r="AM8" s="213" t="str">
        <f>Table1[[#This Row],[2019 Scope 2 ]]</f>
        <v>#ERROR!</v>
      </c>
      <c r="AN8" s="214" t="str">
        <f t="shared" si="3"/>
        <v>#ERROR!</v>
      </c>
      <c r="AO8" s="215" t="str">
        <f t="shared" si="4"/>
        <v>#ERROR!</v>
      </c>
      <c r="AP8" s="214" t="str">
        <f t="shared" si="5"/>
        <v>#ERROR!</v>
      </c>
      <c r="AQ8" s="215" t="str">
        <f t="shared" si="6"/>
        <v>#ERROR!</v>
      </c>
      <c r="AR8" s="216" t="str">
        <f>Table1[[#This Row],[2019 Scope 3 ]]</f>
        <v>#ERROR!</v>
      </c>
      <c r="AS8" s="217" t="str">
        <f t="shared" si="7"/>
        <v>#ERROR!</v>
      </c>
      <c r="AT8" s="218" t="str">
        <f t="shared" si="8"/>
        <v>#ERROR!</v>
      </c>
      <c r="BI8" s="4">
        <v>7616.0</v>
      </c>
    </row>
    <row r="9" ht="12.75" customHeight="1">
      <c r="A9" s="5">
        <f>companies!A9</f>
        <v>8</v>
      </c>
      <c r="B9" s="199" t="s">
        <v>1254</v>
      </c>
      <c r="C9" s="210">
        <v>162139.0</v>
      </c>
      <c r="D9" s="210">
        <v>166706.0</v>
      </c>
      <c r="E9" s="210">
        <v>166706.0</v>
      </c>
      <c r="F9" s="210"/>
      <c r="G9" s="210"/>
      <c r="H9" s="210"/>
      <c r="I9" s="210"/>
      <c r="J9" s="210"/>
      <c r="K9" s="210"/>
      <c r="L9" s="210"/>
      <c r="M9" s="211"/>
      <c r="N9" s="211"/>
      <c r="O9" s="211"/>
      <c r="P9" s="211"/>
      <c r="Q9" s="211"/>
      <c r="R9" s="210"/>
      <c r="S9" s="211"/>
      <c r="T9" s="211"/>
      <c r="U9" s="211"/>
      <c r="V9" s="211"/>
      <c r="W9" s="210">
        <v>5078448.0</v>
      </c>
      <c r="X9" s="199">
        <v>166706.0</v>
      </c>
      <c r="Y9" s="199">
        <v>5407293.0</v>
      </c>
      <c r="Z9" s="199"/>
      <c r="AA9" s="199"/>
      <c r="AB9" s="199"/>
      <c r="AC9" s="199"/>
      <c r="AD9" s="212" t="s">
        <v>683</v>
      </c>
      <c r="AE9" s="212" t="s">
        <v>683</v>
      </c>
      <c r="AF9" s="213" t="str">
        <f>Table1[[#This Row],[2019 Scope 1 (MeT Co2)]]</f>
        <v>#ERROR!</v>
      </c>
      <c r="AG9" s="214" t="str">
        <f t="shared" si="1"/>
        <v>#ERROR!</v>
      </c>
      <c r="AH9" s="215" t="str">
        <f t="shared" si="2"/>
        <v>#ERROR!</v>
      </c>
      <c r="AI9" s="209"/>
      <c r="AJ9" s="209"/>
      <c r="AK9" s="212" t="s">
        <v>683</v>
      </c>
      <c r="AL9" s="212" t="s">
        <v>683</v>
      </c>
      <c r="AM9" s="213" t="str">
        <f>Table1[[#This Row],[2019 Scope 2 ]]</f>
        <v>#ERROR!</v>
      </c>
      <c r="AN9" s="214" t="str">
        <f t="shared" si="3"/>
        <v>#ERROR!</v>
      </c>
      <c r="AO9" s="215" t="str">
        <f t="shared" si="4"/>
        <v>#ERROR!</v>
      </c>
      <c r="AP9" s="214" t="str">
        <f t="shared" si="5"/>
        <v>#ERROR!</v>
      </c>
      <c r="AQ9" s="215" t="str">
        <f t="shared" si="6"/>
        <v>#ERROR!</v>
      </c>
      <c r="AR9" s="216" t="str">
        <f>Table1[[#This Row],[2019 Scope 3 ]]</f>
        <v>#ERROR!</v>
      </c>
      <c r="AS9" s="217" t="str">
        <f t="shared" si="7"/>
        <v>#ERROR!</v>
      </c>
      <c r="AT9" s="218" t="str">
        <f t="shared" si="8"/>
        <v>#ERROR!</v>
      </c>
      <c r="BI9" s="4">
        <v>628.0</v>
      </c>
    </row>
    <row r="10" ht="12.75" customHeight="1">
      <c r="A10" s="5">
        <f>companies!A10</f>
        <v>9</v>
      </c>
      <c r="B10" s="199" t="s">
        <v>1254</v>
      </c>
      <c r="C10" s="210">
        <v>4980000.0</v>
      </c>
      <c r="D10" s="210">
        <v>4710000.0</v>
      </c>
      <c r="E10" s="210">
        <v>4710000.0</v>
      </c>
      <c r="F10" s="210"/>
      <c r="G10" s="210"/>
      <c r="H10" s="210"/>
      <c r="I10" s="210"/>
      <c r="J10" s="210"/>
      <c r="K10" s="210"/>
      <c r="L10" s="210"/>
      <c r="M10" s="211"/>
      <c r="N10" s="211"/>
      <c r="O10" s="211"/>
      <c r="P10" s="211"/>
      <c r="Q10" s="211"/>
      <c r="R10" s="210"/>
      <c r="S10" s="211"/>
      <c r="T10" s="211"/>
      <c r="U10" s="211"/>
      <c r="V10" s="211"/>
      <c r="W10" s="210">
        <v>3.471E7</v>
      </c>
      <c r="X10" s="199">
        <v>4710000.0</v>
      </c>
      <c r="Y10" s="199">
        <v>4.44E7</v>
      </c>
      <c r="Z10" s="212"/>
      <c r="AA10" s="212"/>
      <c r="AB10" s="212"/>
      <c r="AC10" s="212"/>
      <c r="AD10" s="212" t="e">
        <v>#N/A</v>
      </c>
      <c r="AE10" s="212" t="e">
        <v>#N/A</v>
      </c>
      <c r="AF10" s="213" t="str">
        <f>Table1[[#This Row],[2019 Scope 1 (MeT Co2)]]</f>
        <v>#ERROR!</v>
      </c>
      <c r="AG10" s="214" t="str">
        <f t="shared" si="1"/>
        <v>#ERROR!</v>
      </c>
      <c r="AH10" s="215" t="str">
        <f t="shared" si="2"/>
        <v>#ERROR!</v>
      </c>
      <c r="AI10" s="209"/>
      <c r="AJ10" s="209"/>
      <c r="AK10" s="212" t="e">
        <v>#N/A</v>
      </c>
      <c r="AL10" s="212" t="e">
        <v>#N/A</v>
      </c>
      <c r="AM10" s="213" t="str">
        <f>Table1[[#This Row],[2019 Scope 2 ]]</f>
        <v>#ERROR!</v>
      </c>
      <c r="AN10" s="214" t="str">
        <f t="shared" si="3"/>
        <v>#ERROR!</v>
      </c>
      <c r="AO10" s="215" t="str">
        <f t="shared" si="4"/>
        <v>#ERROR!</v>
      </c>
      <c r="AP10" s="214" t="str">
        <f t="shared" si="5"/>
        <v>#ERROR!</v>
      </c>
      <c r="AQ10" s="215" t="str">
        <f t="shared" si="6"/>
        <v>#ERROR!</v>
      </c>
      <c r="AR10" s="216" t="str">
        <f>Table1[[#This Row],[2019 Scope 3 ]]</f>
        <v>#ERROR!</v>
      </c>
      <c r="AS10" s="217" t="str">
        <f t="shared" si="7"/>
        <v>#ERROR!</v>
      </c>
      <c r="AT10" s="218" t="str">
        <f t="shared" si="8"/>
        <v>#ERROR!</v>
      </c>
    </row>
    <row r="11" ht="12.75" customHeight="1">
      <c r="A11" s="5">
        <f>companies!A11</f>
        <v>10</v>
      </c>
      <c r="B11" s="199" t="s">
        <v>1254</v>
      </c>
      <c r="C11" s="210">
        <v>23981.0</v>
      </c>
      <c r="D11" s="210">
        <v>2994.0</v>
      </c>
      <c r="E11" s="210">
        <v>2994.0</v>
      </c>
      <c r="F11" s="210"/>
      <c r="G11" s="210"/>
      <c r="H11" s="210"/>
      <c r="I11" s="210"/>
      <c r="J11" s="210"/>
      <c r="K11" s="210"/>
      <c r="L11" s="210"/>
      <c r="M11" s="211"/>
      <c r="N11" s="211"/>
      <c r="O11" s="211"/>
      <c r="P11" s="211"/>
      <c r="Q11" s="211"/>
      <c r="R11" s="210"/>
      <c r="S11" s="211"/>
      <c r="T11" s="211"/>
      <c r="U11" s="211"/>
      <c r="V11" s="211"/>
      <c r="W11" s="210">
        <v>2341539.0</v>
      </c>
      <c r="X11" s="199">
        <v>2994.0</v>
      </c>
      <c r="Y11" s="199">
        <v>2368514.0</v>
      </c>
      <c r="Z11" s="199"/>
      <c r="AA11" s="199"/>
      <c r="AB11" s="199"/>
      <c r="AC11" s="199"/>
      <c r="AD11" s="212" t="s">
        <v>683</v>
      </c>
      <c r="AE11" s="212" t="s">
        <v>683</v>
      </c>
      <c r="AF11" s="213" t="str">
        <f>Table1[[#This Row],[2019 Scope 1 (MeT Co2)]]</f>
        <v>#ERROR!</v>
      </c>
      <c r="AG11" s="214" t="str">
        <f t="shared" si="1"/>
        <v>#ERROR!</v>
      </c>
      <c r="AH11" s="215" t="str">
        <f t="shared" si="2"/>
        <v>#ERROR!</v>
      </c>
      <c r="AI11" s="209"/>
      <c r="AJ11" s="209"/>
      <c r="AK11" s="212" t="s">
        <v>683</v>
      </c>
      <c r="AL11" s="212" t="s">
        <v>683</v>
      </c>
      <c r="AM11" s="213" t="str">
        <f>Table1[[#This Row],[2019 Scope 2 ]]</f>
        <v>#ERROR!</v>
      </c>
      <c r="AN11" s="214" t="str">
        <f t="shared" si="3"/>
        <v>#ERROR!</v>
      </c>
      <c r="AO11" s="215" t="str">
        <f t="shared" si="4"/>
        <v>#ERROR!</v>
      </c>
      <c r="AP11" s="214" t="str">
        <f t="shared" si="5"/>
        <v>#ERROR!</v>
      </c>
      <c r="AQ11" s="215" t="str">
        <f t="shared" si="6"/>
        <v>#ERROR!</v>
      </c>
      <c r="AR11" s="216" t="str">
        <f>Table1[[#This Row],[2019 Scope 3 ]]</f>
        <v>#ERROR!</v>
      </c>
      <c r="AS11" s="217" t="str">
        <f t="shared" si="7"/>
        <v>#ERROR!</v>
      </c>
      <c r="AT11" s="218" t="str">
        <f t="shared" si="8"/>
        <v>#ERROR!</v>
      </c>
      <c r="BI11" s="4">
        <v>692.0</v>
      </c>
    </row>
    <row r="12" ht="12.75" customHeight="1">
      <c r="A12" s="5">
        <f>companies!A12</f>
        <v>11</v>
      </c>
      <c r="B12" s="199" t="s">
        <v>1254</v>
      </c>
      <c r="C12" s="210" t="s">
        <v>536</v>
      </c>
      <c r="D12" s="210">
        <v>8824.0</v>
      </c>
      <c r="E12" s="210">
        <v>8824.0</v>
      </c>
      <c r="F12" s="210"/>
      <c r="G12" s="210"/>
      <c r="H12" s="210"/>
      <c r="I12" s="210"/>
      <c r="J12" s="210"/>
      <c r="K12" s="210"/>
      <c r="L12" s="210"/>
      <c r="M12" s="211"/>
      <c r="N12" s="211"/>
      <c r="O12" s="211"/>
      <c r="P12" s="211"/>
      <c r="Q12" s="211"/>
      <c r="R12" s="210"/>
      <c r="S12" s="211"/>
      <c r="T12" s="211"/>
      <c r="U12" s="211"/>
      <c r="V12" s="211"/>
      <c r="W12" s="210" t="s">
        <v>536</v>
      </c>
      <c r="X12" s="199">
        <v>8824.0</v>
      </c>
      <c r="Y12" s="199"/>
      <c r="Z12" s="212"/>
      <c r="AA12" s="212"/>
      <c r="AB12" s="212"/>
      <c r="AC12" s="212"/>
      <c r="AD12" s="212" t="s">
        <v>1255</v>
      </c>
      <c r="AE12" s="212" t="s">
        <v>1256</v>
      </c>
      <c r="AF12" s="213" t="str">
        <f>Table1[[#This Row],[2019 Scope 1 (MeT Co2)]]</f>
        <v>#ERROR!</v>
      </c>
      <c r="AG12" s="214" t="str">
        <f t="shared" si="1"/>
        <v>#ERROR!</v>
      </c>
      <c r="AH12" s="215" t="str">
        <f t="shared" si="2"/>
        <v>#ERROR!</v>
      </c>
      <c r="AI12" s="209"/>
      <c r="AJ12" s="209"/>
      <c r="AK12" s="212" t="s">
        <v>1255</v>
      </c>
      <c r="AL12" s="212" t="s">
        <v>1256</v>
      </c>
      <c r="AM12" s="213" t="str">
        <f>Table1[[#This Row],[2019 Scope 2 ]]</f>
        <v>#ERROR!</v>
      </c>
      <c r="AN12" s="214" t="str">
        <f t="shared" si="3"/>
        <v>#ERROR!</v>
      </c>
      <c r="AO12" s="215" t="str">
        <f t="shared" si="4"/>
        <v>#ERROR!</v>
      </c>
      <c r="AP12" s="214" t="str">
        <f t="shared" si="5"/>
        <v>#ERROR!</v>
      </c>
      <c r="AQ12" s="215" t="str">
        <f t="shared" si="6"/>
        <v>#ERROR!</v>
      </c>
      <c r="AR12" s="216" t="str">
        <f>Table1[[#This Row],[2019 Scope 3 ]]</f>
        <v>#ERROR!</v>
      </c>
      <c r="AS12" s="217" t="str">
        <f t="shared" si="7"/>
        <v>#ERROR!</v>
      </c>
      <c r="AT12" s="218" t="str">
        <f t="shared" si="8"/>
        <v>#ERROR!</v>
      </c>
      <c r="BI12" s="4">
        <v>699.0</v>
      </c>
    </row>
    <row r="13" ht="12.75" customHeight="1">
      <c r="A13" s="5">
        <f>companies!A13</f>
        <v>12</v>
      </c>
      <c r="B13" s="199" t="s">
        <v>1254</v>
      </c>
      <c r="C13" s="210">
        <v>615347.0</v>
      </c>
      <c r="D13" s="210">
        <v>1796960.0</v>
      </c>
      <c r="E13" s="210">
        <v>1796960.0</v>
      </c>
      <c r="F13" s="210"/>
      <c r="G13" s="210"/>
      <c r="H13" s="210"/>
      <c r="I13" s="210"/>
      <c r="J13" s="210"/>
      <c r="K13" s="210"/>
      <c r="L13" s="210"/>
      <c r="M13" s="211"/>
      <c r="N13" s="211"/>
      <c r="O13" s="211"/>
      <c r="P13" s="211"/>
      <c r="Q13" s="211"/>
      <c r="R13" s="210"/>
      <c r="S13" s="211"/>
      <c r="T13" s="211"/>
      <c r="U13" s="211"/>
      <c r="V13" s="211"/>
      <c r="W13" s="210" t="s">
        <v>536</v>
      </c>
      <c r="X13" s="199">
        <v>1796960.0</v>
      </c>
      <c r="Y13" s="199"/>
      <c r="Z13" s="212"/>
      <c r="AA13" s="212"/>
      <c r="AB13" s="212"/>
      <c r="AC13" s="212"/>
      <c r="AD13" s="212" t="s">
        <v>1255</v>
      </c>
      <c r="AE13" s="212" t="s">
        <v>1256</v>
      </c>
      <c r="AF13" s="213" t="str">
        <f>Table1[[#This Row],[2019 Scope 1 (MeT Co2)]]</f>
        <v>#ERROR!</v>
      </c>
      <c r="AG13" s="214" t="str">
        <f t="shared" si="1"/>
        <v>#ERROR!</v>
      </c>
      <c r="AH13" s="215" t="str">
        <f t="shared" si="2"/>
        <v>#ERROR!</v>
      </c>
      <c r="AI13" s="209"/>
      <c r="AJ13" s="209"/>
      <c r="AK13" s="212" t="s">
        <v>1255</v>
      </c>
      <c r="AL13" s="212" t="s">
        <v>1256</v>
      </c>
      <c r="AM13" s="213" t="str">
        <f>Table1[[#This Row],[2019 Scope 2 ]]</f>
        <v>#ERROR!</v>
      </c>
      <c r="AN13" s="214" t="str">
        <f t="shared" si="3"/>
        <v>#ERROR!</v>
      </c>
      <c r="AO13" s="215" t="str">
        <f t="shared" si="4"/>
        <v>#ERROR!</v>
      </c>
      <c r="AP13" s="214" t="str">
        <f t="shared" si="5"/>
        <v>#ERROR!</v>
      </c>
      <c r="AQ13" s="215" t="str">
        <f t="shared" si="6"/>
        <v>#ERROR!</v>
      </c>
      <c r="AR13" s="216" t="str">
        <f>Table1[[#This Row],[2019 Scope 3 ]]</f>
        <v>#ERROR!</v>
      </c>
      <c r="AS13" s="217" t="str">
        <f t="shared" si="7"/>
        <v>#ERROR!</v>
      </c>
      <c r="AT13" s="218" t="str">
        <f t="shared" si="8"/>
        <v>#ERROR!</v>
      </c>
      <c r="BI13" s="4">
        <v>706.0</v>
      </c>
    </row>
    <row r="14" ht="12.75" customHeight="1">
      <c r="A14" s="5">
        <f>companies!A14</f>
        <v>13</v>
      </c>
      <c r="B14" s="199" t="s">
        <v>1254</v>
      </c>
      <c r="C14" s="210">
        <v>160184.0</v>
      </c>
      <c r="D14" s="210">
        <v>159848.0</v>
      </c>
      <c r="E14" s="210">
        <v>159848.0</v>
      </c>
      <c r="F14" s="210"/>
      <c r="G14" s="210"/>
      <c r="H14" s="210"/>
      <c r="I14" s="210"/>
      <c r="J14" s="210"/>
      <c r="K14" s="210"/>
      <c r="L14" s="210"/>
      <c r="M14" s="211"/>
      <c r="N14" s="211"/>
      <c r="O14" s="211"/>
      <c r="P14" s="211"/>
      <c r="Q14" s="211"/>
      <c r="R14" s="210"/>
      <c r="S14" s="211"/>
      <c r="T14" s="211"/>
      <c r="U14" s="211"/>
      <c r="V14" s="211"/>
      <c r="W14" s="210">
        <v>2856502.0</v>
      </c>
      <c r="X14" s="199">
        <v>159848.0</v>
      </c>
      <c r="Y14" s="199">
        <v>3176534.0</v>
      </c>
      <c r="Z14" s="199"/>
      <c r="AA14" s="199"/>
      <c r="AB14" s="199"/>
      <c r="AC14" s="199"/>
      <c r="AD14" s="212" t="s">
        <v>683</v>
      </c>
      <c r="AE14" s="212" t="s">
        <v>683</v>
      </c>
      <c r="AF14" s="213" t="str">
        <f>Table1[[#This Row],[2019 Scope 1 (MeT Co2)]]</f>
        <v>#ERROR!</v>
      </c>
      <c r="AG14" s="214" t="str">
        <f t="shared" si="1"/>
        <v>#ERROR!</v>
      </c>
      <c r="AH14" s="215" t="str">
        <f t="shared" si="2"/>
        <v>#ERROR!</v>
      </c>
      <c r="AI14" s="209"/>
      <c r="AJ14" s="209"/>
      <c r="AK14" s="212" t="s">
        <v>683</v>
      </c>
      <c r="AL14" s="212" t="s">
        <v>683</v>
      </c>
      <c r="AM14" s="213" t="str">
        <f>Table1[[#This Row],[2019 Scope 2 ]]</f>
        <v>#ERROR!</v>
      </c>
      <c r="AN14" s="214" t="str">
        <f t="shared" si="3"/>
        <v>#ERROR!</v>
      </c>
      <c r="AO14" s="215" t="str">
        <f t="shared" si="4"/>
        <v>#ERROR!</v>
      </c>
      <c r="AP14" s="214" t="str">
        <f t="shared" si="5"/>
        <v>#ERROR!</v>
      </c>
      <c r="AQ14" s="215" t="str">
        <f t="shared" si="6"/>
        <v>#ERROR!</v>
      </c>
      <c r="AR14" s="216" t="str">
        <f>Table1[[#This Row],[2019 Scope 3 ]]</f>
        <v>#ERROR!</v>
      </c>
      <c r="AS14" s="217" t="str">
        <f t="shared" si="7"/>
        <v>#ERROR!</v>
      </c>
      <c r="AT14" s="218" t="str">
        <f t="shared" si="8"/>
        <v>#ERROR!</v>
      </c>
      <c r="BI14" s="4">
        <v>716.0</v>
      </c>
    </row>
    <row r="15" ht="12.75" customHeight="1">
      <c r="A15" s="5">
        <f>companies!A15</f>
        <v>14</v>
      </c>
      <c r="B15" s="199" t="s">
        <v>1254</v>
      </c>
      <c r="C15" s="210">
        <v>54590.0</v>
      </c>
      <c r="D15" s="210">
        <v>8730.0</v>
      </c>
      <c r="E15" s="210">
        <v>8730.0</v>
      </c>
      <c r="F15" s="210"/>
      <c r="G15" s="210"/>
      <c r="H15" s="210"/>
      <c r="I15" s="210"/>
      <c r="J15" s="210"/>
      <c r="K15" s="210"/>
      <c r="L15" s="210"/>
      <c r="M15" s="211"/>
      <c r="N15" s="211"/>
      <c r="O15" s="211"/>
      <c r="P15" s="211"/>
      <c r="Q15" s="211"/>
      <c r="R15" s="210"/>
      <c r="S15" s="211"/>
      <c r="T15" s="211"/>
      <c r="U15" s="211"/>
      <c r="V15" s="211"/>
      <c r="W15" s="210">
        <v>2.46E7</v>
      </c>
      <c r="X15" s="199">
        <v>8730.0</v>
      </c>
      <c r="Y15" s="199">
        <v>2.466332E7</v>
      </c>
      <c r="Z15" s="199"/>
      <c r="AA15" s="199"/>
      <c r="AB15" s="199"/>
      <c r="AC15" s="199"/>
      <c r="AD15" s="212" t="s">
        <v>683</v>
      </c>
      <c r="AE15" s="212" t="s">
        <v>683</v>
      </c>
      <c r="AF15" s="213" t="str">
        <f>Table1[[#This Row],[2019 Scope 1 (MeT Co2)]]</f>
        <v>#ERROR!</v>
      </c>
      <c r="AG15" s="214" t="str">
        <f t="shared" si="1"/>
        <v>#ERROR!</v>
      </c>
      <c r="AH15" s="215" t="str">
        <f t="shared" si="2"/>
        <v>#ERROR!</v>
      </c>
      <c r="AI15" s="209"/>
      <c r="AJ15" s="209"/>
      <c r="AK15" s="212" t="s">
        <v>683</v>
      </c>
      <c r="AL15" s="212" t="s">
        <v>683</v>
      </c>
      <c r="AM15" s="213" t="str">
        <f>Table1[[#This Row],[2019 Scope 2 ]]</f>
        <v>#ERROR!</v>
      </c>
      <c r="AN15" s="214" t="str">
        <f t="shared" si="3"/>
        <v>#ERROR!</v>
      </c>
      <c r="AO15" s="215" t="str">
        <f t="shared" si="4"/>
        <v>#ERROR!</v>
      </c>
      <c r="AP15" s="214" t="str">
        <f t="shared" si="5"/>
        <v>#ERROR!</v>
      </c>
      <c r="AQ15" s="215" t="str">
        <f t="shared" si="6"/>
        <v>#ERROR!</v>
      </c>
      <c r="AR15" s="216" t="str">
        <f>Table1[[#This Row],[2019 Scope 3 ]]</f>
        <v>#ERROR!</v>
      </c>
      <c r="AS15" s="217" t="str">
        <f t="shared" si="7"/>
        <v>#ERROR!</v>
      </c>
      <c r="AT15" s="218" t="str">
        <f t="shared" si="8"/>
        <v>#ERROR!</v>
      </c>
      <c r="BI15" s="4">
        <v>865.0</v>
      </c>
    </row>
    <row r="16" ht="12.75" customHeight="1">
      <c r="A16" s="5">
        <f>companies!A16</f>
        <v>15</v>
      </c>
      <c r="B16" s="199" t="s">
        <v>1254</v>
      </c>
      <c r="C16" s="210">
        <v>1020000.0</v>
      </c>
      <c r="D16" s="210">
        <v>6660000.0</v>
      </c>
      <c r="E16" s="210">
        <v>6660000.0</v>
      </c>
      <c r="F16" s="210"/>
      <c r="G16" s="210"/>
      <c r="H16" s="210"/>
      <c r="I16" s="210"/>
      <c r="J16" s="210"/>
      <c r="K16" s="210"/>
      <c r="L16" s="210"/>
      <c r="M16" s="211"/>
      <c r="N16" s="211"/>
      <c r="O16" s="211"/>
      <c r="P16" s="211"/>
      <c r="Q16" s="211"/>
      <c r="R16" s="210"/>
      <c r="S16" s="211"/>
      <c r="T16" s="211"/>
      <c r="U16" s="211"/>
      <c r="V16" s="211"/>
      <c r="W16" s="210">
        <v>4350000.0</v>
      </c>
      <c r="X16" s="199">
        <v>6660000.0</v>
      </c>
      <c r="Y16" s="199">
        <v>1.203E7</v>
      </c>
      <c r="Z16" s="199"/>
      <c r="AA16" s="199"/>
      <c r="AB16" s="199"/>
      <c r="AC16" s="199"/>
      <c r="AD16" s="212" t="s">
        <v>683</v>
      </c>
      <c r="AE16" s="212" t="s">
        <v>683</v>
      </c>
      <c r="AF16" s="213" t="str">
        <f>Table1[[#This Row],[2019 Scope 1 (MeT Co2)]]</f>
        <v>#ERROR!</v>
      </c>
      <c r="AG16" s="214" t="str">
        <f t="shared" si="1"/>
        <v>#ERROR!</v>
      </c>
      <c r="AH16" s="215" t="str">
        <f t="shared" si="2"/>
        <v>#ERROR!</v>
      </c>
      <c r="AI16" s="209"/>
      <c r="AJ16" s="209"/>
      <c r="AK16" s="212" t="s">
        <v>683</v>
      </c>
      <c r="AL16" s="212" t="s">
        <v>683</v>
      </c>
      <c r="AM16" s="213" t="str">
        <f>Table1[[#This Row],[2019 Scope 2 ]]</f>
        <v>#ERROR!</v>
      </c>
      <c r="AN16" s="214" t="str">
        <f t="shared" si="3"/>
        <v>#ERROR!</v>
      </c>
      <c r="AO16" s="215" t="str">
        <f t="shared" si="4"/>
        <v>#ERROR!</v>
      </c>
      <c r="AP16" s="214" t="str">
        <f t="shared" si="5"/>
        <v>#ERROR!</v>
      </c>
      <c r="AQ16" s="215" t="str">
        <f t="shared" si="6"/>
        <v>#ERROR!</v>
      </c>
      <c r="AR16" s="216" t="str">
        <f>Table1[[#This Row],[2019 Scope 3 ]]</f>
        <v>#ERROR!</v>
      </c>
      <c r="AS16" s="217" t="str">
        <f t="shared" si="7"/>
        <v>#ERROR!</v>
      </c>
      <c r="AT16" s="218" t="str">
        <f t="shared" si="8"/>
        <v>#ERROR!</v>
      </c>
      <c r="BI16" s="199">
        <v>1113.0</v>
      </c>
    </row>
    <row r="17" ht="12.75" customHeight="1">
      <c r="A17" s="5">
        <f>companies!A17</f>
        <v>16</v>
      </c>
      <c r="B17" s="199" t="s">
        <v>1254</v>
      </c>
      <c r="C17" s="210">
        <v>85145.0</v>
      </c>
      <c r="D17" s="210">
        <v>108614.0</v>
      </c>
      <c r="E17" s="210">
        <v>108614.0</v>
      </c>
      <c r="F17" s="210"/>
      <c r="G17" s="210"/>
      <c r="H17" s="210"/>
      <c r="I17" s="210"/>
      <c r="J17" s="210"/>
      <c r="K17" s="210"/>
      <c r="L17" s="210"/>
      <c r="M17" s="211"/>
      <c r="N17" s="211"/>
      <c r="O17" s="211"/>
      <c r="P17" s="211"/>
      <c r="Q17" s="211"/>
      <c r="R17" s="210"/>
      <c r="S17" s="211"/>
      <c r="T17" s="211"/>
      <c r="U17" s="211"/>
      <c r="V17" s="211"/>
      <c r="W17" s="210">
        <v>4819113.0</v>
      </c>
      <c r="X17" s="199">
        <v>108614.0</v>
      </c>
      <c r="Y17" s="199">
        <v>5012872.0</v>
      </c>
      <c r="Z17" s="199"/>
      <c r="AA17" s="199"/>
      <c r="AB17" s="199"/>
      <c r="AC17" s="199"/>
      <c r="AD17" s="212" t="s">
        <v>683</v>
      </c>
      <c r="AE17" s="212" t="s">
        <v>683</v>
      </c>
      <c r="AF17" s="213" t="str">
        <f>Table1[[#This Row],[2019 Scope 1 (MeT Co2)]]</f>
        <v>#ERROR!</v>
      </c>
      <c r="AG17" s="214" t="str">
        <f t="shared" si="1"/>
        <v>#ERROR!</v>
      </c>
      <c r="AH17" s="215" t="str">
        <f t="shared" si="2"/>
        <v>#ERROR!</v>
      </c>
      <c r="AI17" s="209"/>
      <c r="AJ17" s="209"/>
      <c r="AK17" s="212" t="s">
        <v>683</v>
      </c>
      <c r="AL17" s="212" t="s">
        <v>683</v>
      </c>
      <c r="AM17" s="213" t="str">
        <f>Table1[[#This Row],[2019 Scope 2 ]]</f>
        <v>#ERROR!</v>
      </c>
      <c r="AN17" s="214" t="str">
        <f t="shared" si="3"/>
        <v>#ERROR!</v>
      </c>
      <c r="AO17" s="215" t="str">
        <f t="shared" si="4"/>
        <v>#ERROR!</v>
      </c>
      <c r="AP17" s="214" t="str">
        <f t="shared" si="5"/>
        <v>#ERROR!</v>
      </c>
      <c r="AQ17" s="215" t="str">
        <f t="shared" si="6"/>
        <v>#ERROR!</v>
      </c>
      <c r="AR17" s="216" t="str">
        <f>Table1[[#This Row],[2019 Scope 3 ]]</f>
        <v>#ERROR!</v>
      </c>
      <c r="AS17" s="217" t="str">
        <f t="shared" si="7"/>
        <v>#ERROR!</v>
      </c>
      <c r="AT17" s="218" t="str">
        <f t="shared" si="8"/>
        <v>#ERROR!</v>
      </c>
      <c r="BI17" s="4">
        <v>1452.0</v>
      </c>
    </row>
    <row r="18" ht="12.75" customHeight="1">
      <c r="A18" s="5">
        <f>companies!A18</f>
        <v>17</v>
      </c>
      <c r="B18" s="199" t="s">
        <v>1254</v>
      </c>
      <c r="C18" s="210" t="s">
        <v>536</v>
      </c>
      <c r="D18" s="210" t="s">
        <v>536</v>
      </c>
      <c r="E18" s="210" t="s">
        <v>536</v>
      </c>
      <c r="F18" s="210"/>
      <c r="G18" s="210"/>
      <c r="H18" s="210"/>
      <c r="I18" s="210"/>
      <c r="J18" s="210"/>
      <c r="K18" s="210"/>
      <c r="L18" s="210"/>
      <c r="M18" s="211"/>
      <c r="N18" s="211"/>
      <c r="O18" s="211"/>
      <c r="P18" s="211"/>
      <c r="Q18" s="211"/>
      <c r="R18" s="210"/>
      <c r="S18" s="211"/>
      <c r="T18" s="211"/>
      <c r="U18" s="211"/>
      <c r="V18" s="211"/>
      <c r="W18" s="210" t="s">
        <v>536</v>
      </c>
      <c r="X18" s="199">
        <v>0.0</v>
      </c>
      <c r="Y18" s="199"/>
      <c r="Z18" s="212"/>
      <c r="AA18" s="212"/>
      <c r="AB18" s="212"/>
      <c r="AC18" s="212"/>
      <c r="AD18" s="212" t="e">
        <v>#N/A</v>
      </c>
      <c r="AE18" s="212" t="e">
        <v>#N/A</v>
      </c>
      <c r="AF18" s="213" t="str">
        <f>Table1[[#This Row],[2019 Scope 1 (MeT Co2)]]</f>
        <v>#ERROR!</v>
      </c>
      <c r="AG18" s="214" t="str">
        <f t="shared" si="1"/>
        <v>#ERROR!</v>
      </c>
      <c r="AH18" s="215" t="str">
        <f t="shared" si="2"/>
        <v>#ERROR!</v>
      </c>
      <c r="AI18" s="209"/>
      <c r="AJ18" s="209"/>
      <c r="AK18" s="212" t="e">
        <v>#N/A</v>
      </c>
      <c r="AL18" s="212" t="e">
        <v>#N/A</v>
      </c>
      <c r="AM18" s="213" t="str">
        <f>Table1[[#This Row],[2019 Scope 2 ]]</f>
        <v>#ERROR!</v>
      </c>
      <c r="AN18" s="214" t="str">
        <f t="shared" si="3"/>
        <v>#ERROR!</v>
      </c>
      <c r="AO18" s="215" t="str">
        <f t="shared" si="4"/>
        <v>#ERROR!</v>
      </c>
      <c r="AP18" s="214" t="str">
        <f t="shared" si="5"/>
        <v>#ERROR!</v>
      </c>
      <c r="AQ18" s="215" t="str">
        <f t="shared" si="6"/>
        <v>#ERROR!</v>
      </c>
      <c r="AR18" s="216" t="str">
        <f>Table1[[#This Row],[2019 Scope 3 ]]</f>
        <v>#ERROR!</v>
      </c>
      <c r="AS18" s="217" t="str">
        <f t="shared" si="7"/>
        <v>#ERROR!</v>
      </c>
      <c r="AT18" s="218" t="str">
        <f t="shared" si="8"/>
        <v>#ERROR!</v>
      </c>
    </row>
    <row r="19" ht="12.75" customHeight="1">
      <c r="A19" s="5">
        <f>companies!A19</f>
        <v>18</v>
      </c>
      <c r="B19" s="199" t="s">
        <v>1254</v>
      </c>
      <c r="C19" s="210">
        <v>68448.0</v>
      </c>
      <c r="D19" s="210">
        <v>40172.0</v>
      </c>
      <c r="E19" s="210">
        <v>40172.0</v>
      </c>
      <c r="F19" s="210"/>
      <c r="G19" s="210"/>
      <c r="H19" s="210"/>
      <c r="I19" s="210"/>
      <c r="J19" s="210"/>
      <c r="K19" s="210"/>
      <c r="L19" s="210"/>
      <c r="M19" s="211"/>
      <c r="N19" s="211"/>
      <c r="O19" s="211"/>
      <c r="P19" s="211"/>
      <c r="Q19" s="211"/>
      <c r="R19" s="210"/>
      <c r="S19" s="211"/>
      <c r="T19" s="211"/>
      <c r="U19" s="211"/>
      <c r="V19" s="211"/>
      <c r="W19" s="210">
        <v>436265.0</v>
      </c>
      <c r="X19" s="199">
        <v>40172.0</v>
      </c>
      <c r="Y19" s="199">
        <v>544885.0</v>
      </c>
      <c r="Z19" s="199"/>
      <c r="AA19" s="199"/>
      <c r="AB19" s="199"/>
      <c r="AC19" s="199"/>
      <c r="AD19" s="212" t="s">
        <v>683</v>
      </c>
      <c r="AE19" s="212" t="s">
        <v>683</v>
      </c>
      <c r="AF19" s="213" t="str">
        <f>Table1[[#This Row],[2019 Scope 1 (MeT Co2)]]</f>
        <v>#ERROR!</v>
      </c>
      <c r="AG19" s="214" t="str">
        <f t="shared" si="1"/>
        <v>#ERROR!</v>
      </c>
      <c r="AH19" s="215" t="str">
        <f t="shared" si="2"/>
        <v>#ERROR!</v>
      </c>
      <c r="AI19" s="209"/>
      <c r="AJ19" s="209"/>
      <c r="AK19" s="212" t="s">
        <v>683</v>
      </c>
      <c r="AL19" s="212" t="s">
        <v>683</v>
      </c>
      <c r="AM19" s="213" t="str">
        <f>Table1[[#This Row],[2019 Scope 2 ]]</f>
        <v>#ERROR!</v>
      </c>
      <c r="AN19" s="214" t="str">
        <f t="shared" si="3"/>
        <v>#ERROR!</v>
      </c>
      <c r="AO19" s="215" t="str">
        <f t="shared" si="4"/>
        <v>#ERROR!</v>
      </c>
      <c r="AP19" s="214" t="str">
        <f t="shared" si="5"/>
        <v>#ERROR!</v>
      </c>
      <c r="AQ19" s="215" t="str">
        <f t="shared" si="6"/>
        <v>#ERROR!</v>
      </c>
      <c r="AR19" s="216" t="str">
        <f>Table1[[#This Row],[2019 Scope 3 ]]</f>
        <v>#ERROR!</v>
      </c>
      <c r="AS19" s="217" t="str">
        <f t="shared" si="7"/>
        <v>#ERROR!</v>
      </c>
      <c r="AT19" s="218" t="str">
        <f t="shared" si="8"/>
        <v>#ERROR!</v>
      </c>
      <c r="BI19" s="4">
        <v>1857.0</v>
      </c>
    </row>
    <row r="20" ht="12.75" customHeight="1">
      <c r="A20" s="5">
        <f>companies!A20</f>
        <v>19</v>
      </c>
      <c r="B20" s="199" t="s">
        <v>1254</v>
      </c>
      <c r="C20" s="210">
        <v>4807.0</v>
      </c>
      <c r="D20" s="210">
        <v>22043.0</v>
      </c>
      <c r="E20" s="210">
        <v>22043.0</v>
      </c>
      <c r="F20" s="210"/>
      <c r="G20" s="210"/>
      <c r="H20" s="210"/>
      <c r="I20" s="210"/>
      <c r="J20" s="210"/>
      <c r="K20" s="210"/>
      <c r="L20" s="210"/>
      <c r="M20" s="211"/>
      <c r="N20" s="211"/>
      <c r="O20" s="211"/>
      <c r="P20" s="211"/>
      <c r="Q20" s="211"/>
      <c r="R20" s="210"/>
      <c r="S20" s="211"/>
      <c r="T20" s="211"/>
      <c r="U20" s="211"/>
      <c r="V20" s="211"/>
      <c r="W20" s="210">
        <v>44512.1</v>
      </c>
      <c r="X20" s="199">
        <v>22043.0</v>
      </c>
      <c r="Y20" s="199">
        <v>71362.1</v>
      </c>
      <c r="Z20" s="199"/>
      <c r="AA20" s="199"/>
      <c r="AB20" s="199"/>
      <c r="AC20" s="199"/>
      <c r="AD20" s="212" t="s">
        <v>683</v>
      </c>
      <c r="AE20" s="212" t="s">
        <v>683</v>
      </c>
      <c r="AF20" s="213" t="str">
        <f>Table1[[#This Row],[2019 Scope 1 (MeT Co2)]]</f>
        <v>#ERROR!</v>
      </c>
      <c r="AG20" s="214" t="str">
        <f t="shared" si="1"/>
        <v>#ERROR!</v>
      </c>
      <c r="AH20" s="215" t="str">
        <f t="shared" si="2"/>
        <v>#ERROR!</v>
      </c>
      <c r="AI20" s="209"/>
      <c r="AJ20" s="209"/>
      <c r="AK20" s="212" t="s">
        <v>683</v>
      </c>
      <c r="AL20" s="212" t="s">
        <v>683</v>
      </c>
      <c r="AM20" s="213" t="str">
        <f>Table1[[#This Row],[2019 Scope 2 ]]</f>
        <v>#ERROR!</v>
      </c>
      <c r="AN20" s="214" t="str">
        <f t="shared" si="3"/>
        <v>#ERROR!</v>
      </c>
      <c r="AO20" s="215" t="str">
        <f t="shared" si="4"/>
        <v>#ERROR!</v>
      </c>
      <c r="AP20" s="214" t="str">
        <f t="shared" si="5"/>
        <v>#ERROR!</v>
      </c>
      <c r="AQ20" s="215" t="str">
        <f t="shared" si="6"/>
        <v>#ERROR!</v>
      </c>
      <c r="AR20" s="216" t="str">
        <f>Table1[[#This Row],[2019 Scope 3 ]]</f>
        <v>#ERROR!</v>
      </c>
      <c r="AS20" s="217" t="str">
        <f t="shared" si="7"/>
        <v>#ERROR!</v>
      </c>
      <c r="AT20" s="218" t="str">
        <f t="shared" si="8"/>
        <v>#ERROR!</v>
      </c>
      <c r="BI20" s="4">
        <v>1875.0</v>
      </c>
    </row>
    <row r="21" ht="12.75" customHeight="1">
      <c r="A21" s="5">
        <f>companies!A21</f>
        <v>20</v>
      </c>
      <c r="B21" s="199" t="s">
        <v>1254</v>
      </c>
      <c r="C21" s="210">
        <v>646000.0</v>
      </c>
      <c r="D21" s="210">
        <v>892000.0</v>
      </c>
      <c r="E21" s="210">
        <v>892000.0</v>
      </c>
      <c r="F21" s="210"/>
      <c r="G21" s="210"/>
      <c r="H21" s="210"/>
      <c r="I21" s="210"/>
      <c r="J21" s="210"/>
      <c r="K21" s="210"/>
      <c r="L21" s="210"/>
      <c r="M21" s="211"/>
      <c r="N21" s="211"/>
      <c r="O21" s="211"/>
      <c r="P21" s="211"/>
      <c r="Q21" s="211"/>
      <c r="R21" s="210"/>
      <c r="S21" s="211"/>
      <c r="T21" s="211"/>
      <c r="U21" s="211"/>
      <c r="V21" s="211"/>
      <c r="W21" s="210">
        <v>320000.0</v>
      </c>
      <c r="X21" s="199">
        <v>892000.0</v>
      </c>
      <c r="Y21" s="199">
        <v>1858000.0</v>
      </c>
      <c r="Z21" s="199"/>
      <c r="AA21" s="199"/>
      <c r="AB21" s="199"/>
      <c r="AC21" s="199"/>
      <c r="AD21" s="212" t="s">
        <v>683</v>
      </c>
      <c r="AE21" s="212" t="s">
        <v>683</v>
      </c>
      <c r="AF21" s="213" t="str">
        <f>Table1[[#This Row],[2019 Scope 1 (MeT Co2)]]</f>
        <v>#ERROR!</v>
      </c>
      <c r="AG21" s="214" t="str">
        <f t="shared" si="1"/>
        <v>#ERROR!</v>
      </c>
      <c r="AH21" s="215" t="str">
        <f t="shared" si="2"/>
        <v>#ERROR!</v>
      </c>
      <c r="AI21" s="209"/>
      <c r="AJ21" s="209"/>
      <c r="AK21" s="212" t="s">
        <v>683</v>
      </c>
      <c r="AL21" s="212" t="s">
        <v>683</v>
      </c>
      <c r="AM21" s="213" t="str">
        <f>Table1[[#This Row],[2019 Scope 2 ]]</f>
        <v>#ERROR!</v>
      </c>
      <c r="AN21" s="214" t="str">
        <f t="shared" si="3"/>
        <v>#ERROR!</v>
      </c>
      <c r="AO21" s="215" t="str">
        <f t="shared" si="4"/>
        <v>#ERROR!</v>
      </c>
      <c r="AP21" s="214" t="str">
        <f t="shared" si="5"/>
        <v>#ERROR!</v>
      </c>
      <c r="AQ21" s="215" t="str">
        <f t="shared" si="6"/>
        <v>#ERROR!</v>
      </c>
      <c r="AR21" s="216" t="str">
        <f>Table1[[#This Row],[2019 Scope 3 ]]</f>
        <v>#ERROR!</v>
      </c>
      <c r="AS21" s="217" t="str">
        <f t="shared" si="7"/>
        <v>#ERROR!</v>
      </c>
      <c r="AT21" s="218" t="str">
        <f t="shared" si="8"/>
        <v>#ERROR!</v>
      </c>
      <c r="BI21" s="4">
        <v>2017.0</v>
      </c>
    </row>
    <row r="22" ht="12.75" customHeight="1">
      <c r="A22" s="5">
        <f>companies!A22</f>
        <v>21</v>
      </c>
      <c r="B22" s="199" t="s">
        <v>1254</v>
      </c>
      <c r="C22" s="210">
        <v>4811.67</v>
      </c>
      <c r="D22" s="210">
        <v>57517.74</v>
      </c>
      <c r="E22" s="210">
        <v>57517.74</v>
      </c>
      <c r="F22" s="210"/>
      <c r="G22" s="210"/>
      <c r="H22" s="210"/>
      <c r="I22" s="210"/>
      <c r="J22" s="210"/>
      <c r="K22" s="210"/>
      <c r="L22" s="210"/>
      <c r="M22" s="211"/>
      <c r="N22" s="211"/>
      <c r="O22" s="211"/>
      <c r="P22" s="211"/>
      <c r="Q22" s="211"/>
      <c r="R22" s="210"/>
      <c r="S22" s="211"/>
      <c r="T22" s="211"/>
      <c r="U22" s="211"/>
      <c r="V22" s="211"/>
      <c r="W22" s="210" t="s">
        <v>536</v>
      </c>
      <c r="X22" s="199">
        <v>57517.74</v>
      </c>
      <c r="Y22" s="199"/>
      <c r="Z22" s="212"/>
      <c r="AA22" s="212"/>
      <c r="AB22" s="212"/>
      <c r="AC22" s="212"/>
      <c r="AD22" s="212" t="e">
        <v>#N/A</v>
      </c>
      <c r="AE22" s="212" t="e">
        <v>#N/A</v>
      </c>
      <c r="AF22" s="213" t="str">
        <f>Table1[[#This Row],[2019 Scope 1 (MeT Co2)]]</f>
        <v>#ERROR!</v>
      </c>
      <c r="AG22" s="214" t="str">
        <f t="shared" si="1"/>
        <v>#ERROR!</v>
      </c>
      <c r="AH22" s="215" t="str">
        <f t="shared" si="2"/>
        <v>#ERROR!</v>
      </c>
      <c r="AI22" s="209"/>
      <c r="AJ22" s="209"/>
      <c r="AK22" s="212" t="e">
        <v>#N/A</v>
      </c>
      <c r="AL22" s="212" t="e">
        <v>#N/A</v>
      </c>
      <c r="AM22" s="213" t="str">
        <f>Table1[[#This Row],[2019 Scope 2 ]]</f>
        <v>#ERROR!</v>
      </c>
      <c r="AN22" s="214" t="str">
        <f t="shared" si="3"/>
        <v>#ERROR!</v>
      </c>
      <c r="AO22" s="215" t="str">
        <f t="shared" si="4"/>
        <v>#ERROR!</v>
      </c>
      <c r="AP22" s="214" t="str">
        <f t="shared" si="5"/>
        <v>#ERROR!</v>
      </c>
      <c r="AQ22" s="215" t="str">
        <f t="shared" si="6"/>
        <v>#ERROR!</v>
      </c>
      <c r="AR22" s="216" t="str">
        <f>Table1[[#This Row],[2019 Scope 3 ]]</f>
        <v>#ERROR!</v>
      </c>
      <c r="AS22" s="217" t="str">
        <f t="shared" si="7"/>
        <v>#ERROR!</v>
      </c>
      <c r="AT22" s="218" t="str">
        <f t="shared" si="8"/>
        <v>#ERROR!</v>
      </c>
    </row>
    <row r="23" ht="12.75" customHeight="1">
      <c r="A23" s="5">
        <f>companies!A23</f>
        <v>22</v>
      </c>
      <c r="B23" s="199" t="s">
        <v>1254</v>
      </c>
      <c r="C23" s="210">
        <v>130000.0</v>
      </c>
      <c r="D23" s="210">
        <v>230000.0</v>
      </c>
      <c r="E23" s="210">
        <v>230000.0</v>
      </c>
      <c r="F23" s="210"/>
      <c r="G23" s="210"/>
      <c r="H23" s="210"/>
      <c r="I23" s="210"/>
      <c r="J23" s="210"/>
      <c r="K23" s="210"/>
      <c r="L23" s="210"/>
      <c r="M23" s="211"/>
      <c r="N23" s="211"/>
      <c r="O23" s="211"/>
      <c r="P23" s="211"/>
      <c r="Q23" s="211"/>
      <c r="R23" s="210"/>
      <c r="S23" s="211"/>
      <c r="T23" s="211"/>
      <c r="U23" s="211"/>
      <c r="V23" s="211"/>
      <c r="W23" s="210" t="s">
        <v>536</v>
      </c>
      <c r="X23" s="199">
        <v>230000.0</v>
      </c>
      <c r="Y23" s="199"/>
      <c r="Z23" s="212"/>
      <c r="AA23" s="212"/>
      <c r="AB23" s="212"/>
      <c r="AC23" s="212"/>
      <c r="AD23" s="212" t="s">
        <v>683</v>
      </c>
      <c r="AE23" s="212" t="s">
        <v>683</v>
      </c>
      <c r="AF23" s="213" t="str">
        <f>Table1[[#This Row],[2019 Scope 1 (MeT Co2)]]</f>
        <v>#ERROR!</v>
      </c>
      <c r="AG23" s="214" t="str">
        <f t="shared" si="1"/>
        <v>#ERROR!</v>
      </c>
      <c r="AH23" s="215" t="str">
        <f t="shared" si="2"/>
        <v>#ERROR!</v>
      </c>
      <c r="AI23" s="209"/>
      <c r="AJ23" s="209"/>
      <c r="AK23" s="212" t="s">
        <v>683</v>
      </c>
      <c r="AL23" s="212" t="s">
        <v>683</v>
      </c>
      <c r="AM23" s="213" t="str">
        <f>Table1[[#This Row],[2019 Scope 2 ]]</f>
        <v>#ERROR!</v>
      </c>
      <c r="AN23" s="214" t="str">
        <f t="shared" si="3"/>
        <v>#ERROR!</v>
      </c>
      <c r="AO23" s="215" t="str">
        <f t="shared" si="4"/>
        <v>#ERROR!</v>
      </c>
      <c r="AP23" s="214" t="str">
        <f t="shared" si="5"/>
        <v>#ERROR!</v>
      </c>
      <c r="AQ23" s="215" t="str">
        <f t="shared" si="6"/>
        <v>#ERROR!</v>
      </c>
      <c r="AR23" s="216" t="str">
        <f>Table1[[#This Row],[2019 Scope 3 ]]</f>
        <v>#ERROR!</v>
      </c>
      <c r="AS23" s="217" t="str">
        <f t="shared" si="7"/>
        <v>#ERROR!</v>
      </c>
      <c r="AT23" s="218" t="str">
        <f t="shared" si="8"/>
        <v>#ERROR!</v>
      </c>
      <c r="BI23" s="4">
        <v>2191.0</v>
      </c>
    </row>
    <row r="24" ht="12.75" customHeight="1">
      <c r="A24" s="5">
        <f>companies!A24</f>
        <v>23</v>
      </c>
      <c r="B24" s="199" t="s">
        <v>1254</v>
      </c>
      <c r="C24" s="210">
        <v>9815.0</v>
      </c>
      <c r="D24" s="210">
        <v>0.0</v>
      </c>
      <c r="E24" s="210">
        <v>0.0</v>
      </c>
      <c r="F24" s="210"/>
      <c r="G24" s="210"/>
      <c r="H24" s="210"/>
      <c r="I24" s="210"/>
      <c r="J24" s="210"/>
      <c r="K24" s="210"/>
      <c r="L24" s="210"/>
      <c r="M24" s="211"/>
      <c r="N24" s="211"/>
      <c r="O24" s="211"/>
      <c r="P24" s="211"/>
      <c r="Q24" s="211"/>
      <c r="R24" s="210"/>
      <c r="S24" s="211"/>
      <c r="T24" s="211"/>
      <c r="U24" s="211"/>
      <c r="V24" s="211"/>
      <c r="W24" s="210">
        <v>374709.2</v>
      </c>
      <c r="X24" s="199" t="b">
        <v>0</v>
      </c>
      <c r="Y24" s="199">
        <v>384524.2</v>
      </c>
      <c r="Z24" s="199"/>
      <c r="AA24" s="199"/>
      <c r="AB24" s="199"/>
      <c r="AC24" s="199"/>
      <c r="AD24" s="212" t="s">
        <v>683</v>
      </c>
      <c r="AE24" s="212" t="s">
        <v>683</v>
      </c>
      <c r="AF24" s="213" t="str">
        <f>Table1[[#This Row],[2019 Scope 1 (MeT Co2)]]</f>
        <v>#ERROR!</v>
      </c>
      <c r="AG24" s="214" t="str">
        <f t="shared" si="1"/>
        <v>#ERROR!</v>
      </c>
      <c r="AH24" s="215" t="str">
        <f t="shared" si="2"/>
        <v>#ERROR!</v>
      </c>
      <c r="AI24" s="209"/>
      <c r="AJ24" s="209"/>
      <c r="AK24" s="212" t="s">
        <v>683</v>
      </c>
      <c r="AL24" s="212" t="s">
        <v>683</v>
      </c>
      <c r="AM24" s="213" t="str">
        <f>Table1[[#This Row],[2019 Scope 2 ]]</f>
        <v>#ERROR!</v>
      </c>
      <c r="AN24" s="214" t="str">
        <f t="shared" si="3"/>
        <v>#ERROR!</v>
      </c>
      <c r="AO24" s="215" t="str">
        <f t="shared" si="4"/>
        <v>#ERROR!</v>
      </c>
      <c r="AP24" s="214" t="str">
        <f t="shared" si="5"/>
        <v>#ERROR!</v>
      </c>
      <c r="AQ24" s="215" t="str">
        <f t="shared" si="6"/>
        <v>#ERROR!</v>
      </c>
      <c r="AR24" s="216" t="str">
        <f>Table1[[#This Row],[2019 Scope 3 ]]</f>
        <v>#ERROR!</v>
      </c>
      <c r="AS24" s="217" t="str">
        <f t="shared" si="7"/>
        <v>#ERROR!</v>
      </c>
      <c r="AT24" s="218" t="str">
        <f t="shared" si="8"/>
        <v>#ERROR!</v>
      </c>
      <c r="BI24" s="4">
        <v>2695.0</v>
      </c>
    </row>
    <row r="25" ht="12.75" customHeight="1">
      <c r="A25" s="5">
        <f>companies!A25</f>
        <v>24</v>
      </c>
      <c r="B25" s="199" t="s">
        <v>1254</v>
      </c>
      <c r="C25" s="210">
        <v>927000.0</v>
      </c>
      <c r="D25" s="210">
        <v>1280000.0</v>
      </c>
      <c r="E25" s="210">
        <v>1280000.0</v>
      </c>
      <c r="F25" s="210"/>
      <c r="G25" s="210"/>
      <c r="H25" s="210"/>
      <c r="I25" s="210"/>
      <c r="J25" s="210"/>
      <c r="K25" s="210"/>
      <c r="L25" s="210"/>
      <c r="M25" s="211"/>
      <c r="N25" s="211"/>
      <c r="O25" s="211"/>
      <c r="P25" s="211"/>
      <c r="Q25" s="211"/>
      <c r="R25" s="210"/>
      <c r="S25" s="211"/>
      <c r="T25" s="211"/>
      <c r="U25" s="211"/>
      <c r="V25" s="211"/>
      <c r="W25" s="210" t="s">
        <v>536</v>
      </c>
      <c r="X25" s="199">
        <v>1280000.0</v>
      </c>
      <c r="Y25" s="199"/>
      <c r="Z25" s="212"/>
      <c r="AA25" s="212"/>
      <c r="AB25" s="212"/>
      <c r="AC25" s="212"/>
      <c r="AD25" s="212" t="e">
        <v>#N/A</v>
      </c>
      <c r="AE25" s="212" t="e">
        <v>#N/A</v>
      </c>
      <c r="AF25" s="213" t="str">
        <f>Table1[[#This Row],[2019 Scope 1 (MeT Co2)]]</f>
        <v>#ERROR!</v>
      </c>
      <c r="AG25" s="214" t="str">
        <f t="shared" si="1"/>
        <v>#ERROR!</v>
      </c>
      <c r="AH25" s="215" t="str">
        <f t="shared" si="2"/>
        <v>#ERROR!</v>
      </c>
      <c r="AI25" s="209"/>
      <c r="AJ25" s="209"/>
      <c r="AK25" s="212" t="e">
        <v>#N/A</v>
      </c>
      <c r="AL25" s="212" t="e">
        <v>#N/A</v>
      </c>
      <c r="AM25" s="213" t="str">
        <f>Table1[[#This Row],[2019 Scope 2 ]]</f>
        <v>#ERROR!</v>
      </c>
      <c r="AN25" s="214" t="str">
        <f t="shared" si="3"/>
        <v>#ERROR!</v>
      </c>
      <c r="AO25" s="215" t="str">
        <f t="shared" si="4"/>
        <v>#ERROR!</v>
      </c>
      <c r="AP25" s="214" t="str">
        <f t="shared" si="5"/>
        <v>#ERROR!</v>
      </c>
      <c r="AQ25" s="215" t="str">
        <f t="shared" si="6"/>
        <v>#ERROR!</v>
      </c>
      <c r="AR25" s="216" t="str">
        <f>Table1[[#This Row],[2019 Scope 3 ]]</f>
        <v>#ERROR!</v>
      </c>
      <c r="AS25" s="217" t="str">
        <f t="shared" si="7"/>
        <v>#ERROR!</v>
      </c>
      <c r="AT25" s="218" t="str">
        <f t="shared" si="8"/>
        <v>#ERROR!</v>
      </c>
    </row>
    <row r="26" ht="12.75" customHeight="1">
      <c r="A26" s="5">
        <f>companies!A26</f>
        <v>25</v>
      </c>
      <c r="B26" s="199" t="s">
        <v>1254</v>
      </c>
      <c r="C26" s="210" t="s">
        <v>536</v>
      </c>
      <c r="D26" s="210" t="s">
        <v>536</v>
      </c>
      <c r="E26" s="210" t="s">
        <v>536</v>
      </c>
      <c r="F26" s="210"/>
      <c r="G26" s="210"/>
      <c r="H26" s="210"/>
      <c r="I26" s="210"/>
      <c r="J26" s="210"/>
      <c r="K26" s="210"/>
      <c r="L26" s="210"/>
      <c r="M26" s="211"/>
      <c r="N26" s="211"/>
      <c r="O26" s="211"/>
      <c r="P26" s="211"/>
      <c r="Q26" s="211"/>
      <c r="R26" s="210"/>
      <c r="S26" s="211"/>
      <c r="T26" s="211"/>
      <c r="U26" s="211"/>
      <c r="V26" s="211"/>
      <c r="W26" s="210" t="s">
        <v>536</v>
      </c>
      <c r="X26" s="199">
        <v>0.0</v>
      </c>
      <c r="Y26" s="199"/>
      <c r="Z26" s="212"/>
      <c r="AA26" s="212"/>
      <c r="AB26" s="212"/>
      <c r="AC26" s="212"/>
      <c r="AD26" s="212" t="e">
        <v>#N/A</v>
      </c>
      <c r="AE26" s="212" t="e">
        <v>#N/A</v>
      </c>
      <c r="AF26" s="213" t="str">
        <f>Table1[[#This Row],[2019 Scope 1 (MeT Co2)]]</f>
        <v>#ERROR!</v>
      </c>
      <c r="AG26" s="214" t="str">
        <f t="shared" si="1"/>
        <v>#ERROR!</v>
      </c>
      <c r="AH26" s="215" t="str">
        <f t="shared" si="2"/>
        <v>#ERROR!</v>
      </c>
      <c r="AI26" s="209"/>
      <c r="AJ26" s="209"/>
      <c r="AK26" s="212" t="e">
        <v>#N/A</v>
      </c>
      <c r="AL26" s="212" t="e">
        <v>#N/A</v>
      </c>
      <c r="AM26" s="213" t="str">
        <f>Table1[[#This Row],[2019 Scope 2 ]]</f>
        <v>#ERROR!</v>
      </c>
      <c r="AN26" s="214" t="str">
        <f t="shared" si="3"/>
        <v>#ERROR!</v>
      </c>
      <c r="AO26" s="215" t="str">
        <f t="shared" si="4"/>
        <v>#ERROR!</v>
      </c>
      <c r="AP26" s="214" t="str">
        <f t="shared" si="5"/>
        <v>#ERROR!</v>
      </c>
      <c r="AQ26" s="215" t="str">
        <f t="shared" si="6"/>
        <v>#ERROR!</v>
      </c>
      <c r="AR26" s="216" t="str">
        <f>Table1[[#This Row],[2019 Scope 3 ]]</f>
        <v>#ERROR!</v>
      </c>
      <c r="AS26" s="217" t="str">
        <f t="shared" si="7"/>
        <v>#ERROR!</v>
      </c>
      <c r="AT26" s="218" t="str">
        <f t="shared" si="8"/>
        <v>#ERROR!</v>
      </c>
    </row>
    <row r="27" ht="12.75" customHeight="1">
      <c r="A27" s="5">
        <f>companies!A27</f>
        <v>26</v>
      </c>
      <c r="B27" s="199" t="s">
        <v>1254</v>
      </c>
      <c r="C27" s="210">
        <v>5.9E7</v>
      </c>
      <c r="D27" s="210">
        <v>3000000.0</v>
      </c>
      <c r="E27" s="210">
        <v>3000000.0</v>
      </c>
      <c r="F27" s="210"/>
      <c r="G27" s="210"/>
      <c r="H27" s="210"/>
      <c r="I27" s="210"/>
      <c r="J27" s="210"/>
      <c r="K27" s="210"/>
      <c r="L27" s="210"/>
      <c r="M27" s="211"/>
      <c r="N27" s="211"/>
      <c r="O27" s="211"/>
      <c r="P27" s="211"/>
      <c r="Q27" s="211"/>
      <c r="R27" s="210"/>
      <c r="S27" s="211"/>
      <c r="T27" s="211"/>
      <c r="U27" s="211"/>
      <c r="V27" s="211"/>
      <c r="W27" s="210">
        <v>3.97E8</v>
      </c>
      <c r="X27" s="199">
        <v>3000000.0</v>
      </c>
      <c r="Y27" s="199">
        <v>4.59E8</v>
      </c>
      <c r="Z27" s="212"/>
      <c r="AA27" s="212"/>
      <c r="AB27" s="212"/>
      <c r="AC27" s="212"/>
      <c r="AD27" s="212" t="e">
        <v>#N/A</v>
      </c>
      <c r="AE27" s="212" t="e">
        <v>#N/A</v>
      </c>
      <c r="AF27" s="213" t="str">
        <f>Table1[[#This Row],[2019 Scope 1 (MeT Co2)]]</f>
        <v>#ERROR!</v>
      </c>
      <c r="AG27" s="214" t="str">
        <f t="shared" si="1"/>
        <v>#ERROR!</v>
      </c>
      <c r="AH27" s="215" t="str">
        <f t="shared" si="2"/>
        <v>#ERROR!</v>
      </c>
      <c r="AI27" s="209"/>
      <c r="AJ27" s="209"/>
      <c r="AK27" s="212" t="e">
        <v>#N/A</v>
      </c>
      <c r="AL27" s="212" t="e">
        <v>#N/A</v>
      </c>
      <c r="AM27" s="213" t="str">
        <f>Table1[[#This Row],[2019 Scope 2 ]]</f>
        <v>#ERROR!</v>
      </c>
      <c r="AN27" s="214" t="str">
        <f t="shared" si="3"/>
        <v>#ERROR!</v>
      </c>
      <c r="AO27" s="215" t="str">
        <f t="shared" si="4"/>
        <v>#ERROR!</v>
      </c>
      <c r="AP27" s="214" t="str">
        <f t="shared" si="5"/>
        <v>#ERROR!</v>
      </c>
      <c r="AQ27" s="215" t="str">
        <f t="shared" si="6"/>
        <v>#ERROR!</v>
      </c>
      <c r="AR27" s="216" t="str">
        <f>Table1[[#This Row],[2019 Scope 3 ]]</f>
        <v>#ERROR!</v>
      </c>
      <c r="AS27" s="217" t="str">
        <f t="shared" si="7"/>
        <v>#ERROR!</v>
      </c>
      <c r="AT27" s="218" t="str">
        <f t="shared" si="8"/>
        <v>#ERROR!</v>
      </c>
    </row>
    <row r="28" ht="12.75" customHeight="1">
      <c r="A28" s="5">
        <f>companies!A28</f>
        <v>27</v>
      </c>
      <c r="B28" s="199" t="s">
        <v>1254</v>
      </c>
      <c r="C28" s="210">
        <v>41171.0</v>
      </c>
      <c r="D28" s="210">
        <v>205141.0</v>
      </c>
      <c r="E28" s="210">
        <v>205141.0</v>
      </c>
      <c r="F28" s="210"/>
      <c r="G28" s="210"/>
      <c r="H28" s="210"/>
      <c r="I28" s="210"/>
      <c r="J28" s="210"/>
      <c r="K28" s="210"/>
      <c r="L28" s="210"/>
      <c r="M28" s="211"/>
      <c r="N28" s="211"/>
      <c r="O28" s="211"/>
      <c r="P28" s="211"/>
      <c r="Q28" s="211"/>
      <c r="R28" s="210"/>
      <c r="S28" s="211"/>
      <c r="T28" s="211"/>
      <c r="U28" s="211"/>
      <c r="V28" s="211"/>
      <c r="W28" s="210">
        <v>3.9520558E7</v>
      </c>
      <c r="X28" s="199">
        <v>205141.0</v>
      </c>
      <c r="Y28" s="199">
        <v>3.976687E7</v>
      </c>
      <c r="Z28" s="199"/>
      <c r="AA28" s="199"/>
      <c r="AB28" s="199"/>
      <c r="AC28" s="199"/>
      <c r="AD28" s="212" t="s">
        <v>683</v>
      </c>
      <c r="AE28" s="212" t="s">
        <v>683</v>
      </c>
      <c r="AF28" s="213" t="str">
        <f>Table1[[#This Row],[2019 Scope 1 (MeT Co2)]]</f>
        <v>#ERROR!</v>
      </c>
      <c r="AG28" s="214" t="str">
        <f t="shared" si="1"/>
        <v>#ERROR!</v>
      </c>
      <c r="AH28" s="215" t="str">
        <f t="shared" si="2"/>
        <v>#ERROR!</v>
      </c>
      <c r="AI28" s="209"/>
      <c r="AJ28" s="209"/>
      <c r="AK28" s="212" t="s">
        <v>683</v>
      </c>
      <c r="AL28" s="212" t="s">
        <v>683</v>
      </c>
      <c r="AM28" s="213" t="str">
        <f>Table1[[#This Row],[2019 Scope 2 ]]</f>
        <v>#ERROR!</v>
      </c>
      <c r="AN28" s="214" t="str">
        <f t="shared" si="3"/>
        <v>#ERROR!</v>
      </c>
      <c r="AO28" s="215" t="str">
        <f t="shared" si="4"/>
        <v>#ERROR!</v>
      </c>
      <c r="AP28" s="214" t="str">
        <f t="shared" si="5"/>
        <v>#ERROR!</v>
      </c>
      <c r="AQ28" s="215" t="str">
        <f t="shared" si="6"/>
        <v>#ERROR!</v>
      </c>
      <c r="AR28" s="216" t="str">
        <f>Table1[[#This Row],[2019 Scope 3 ]]</f>
        <v>#ERROR!</v>
      </c>
      <c r="AS28" s="217" t="str">
        <f t="shared" si="7"/>
        <v>#ERROR!</v>
      </c>
      <c r="AT28" s="218" t="str">
        <f t="shared" si="8"/>
        <v>#ERROR!</v>
      </c>
      <c r="BI28" s="4">
        <v>3329.0</v>
      </c>
    </row>
    <row r="29" ht="12.75" customHeight="1">
      <c r="A29" s="5">
        <f>companies!A29</f>
        <v>28</v>
      </c>
      <c r="B29" s="199" t="s">
        <v>1254</v>
      </c>
      <c r="C29" s="210">
        <v>24132.0</v>
      </c>
      <c r="D29" s="210">
        <v>623233.0</v>
      </c>
      <c r="E29" s="210">
        <v>623233.0</v>
      </c>
      <c r="F29" s="210"/>
      <c r="G29" s="210"/>
      <c r="H29" s="210"/>
      <c r="I29" s="210"/>
      <c r="J29" s="210"/>
      <c r="K29" s="210"/>
      <c r="L29" s="210"/>
      <c r="M29" s="211"/>
      <c r="N29" s="211"/>
      <c r="O29" s="211"/>
      <c r="P29" s="211"/>
      <c r="Q29" s="211"/>
      <c r="R29" s="210"/>
      <c r="S29" s="211"/>
      <c r="T29" s="211"/>
      <c r="U29" s="211"/>
      <c r="V29" s="211"/>
      <c r="W29" s="210">
        <v>1.07034325E7</v>
      </c>
      <c r="X29" s="199">
        <v>623233.0</v>
      </c>
      <c r="Y29" s="199">
        <v>1.13507975E7</v>
      </c>
      <c r="Z29" s="199"/>
      <c r="AA29" s="199"/>
      <c r="AB29" s="199"/>
      <c r="AC29" s="199"/>
      <c r="AD29" s="212" t="s">
        <v>683</v>
      </c>
      <c r="AE29" s="212" t="s">
        <v>683</v>
      </c>
      <c r="AF29" s="213" t="str">
        <f>Table1[[#This Row],[2019 Scope 1 (MeT Co2)]]</f>
        <v>#ERROR!</v>
      </c>
      <c r="AG29" s="214" t="str">
        <f t="shared" si="1"/>
        <v>#ERROR!</v>
      </c>
      <c r="AH29" s="215" t="str">
        <f t="shared" si="2"/>
        <v>#ERROR!</v>
      </c>
      <c r="AI29" s="209"/>
      <c r="AJ29" s="209"/>
      <c r="AK29" s="212" t="s">
        <v>683</v>
      </c>
      <c r="AL29" s="212" t="s">
        <v>683</v>
      </c>
      <c r="AM29" s="213" t="str">
        <f>Table1[[#This Row],[2019 Scope 2 ]]</f>
        <v>#ERROR!</v>
      </c>
      <c r="AN29" s="214" t="str">
        <f t="shared" si="3"/>
        <v>#ERROR!</v>
      </c>
      <c r="AO29" s="215" t="str">
        <f t="shared" si="4"/>
        <v>#ERROR!</v>
      </c>
      <c r="AP29" s="214" t="str">
        <f t="shared" si="5"/>
        <v>#ERROR!</v>
      </c>
      <c r="AQ29" s="215" t="str">
        <f t="shared" si="6"/>
        <v>#ERROR!</v>
      </c>
      <c r="AR29" s="216" t="str">
        <f>Table1[[#This Row],[2019 Scope 3 ]]</f>
        <v>#ERROR!</v>
      </c>
      <c r="AS29" s="217" t="str">
        <f t="shared" si="7"/>
        <v>#ERROR!</v>
      </c>
      <c r="AT29" s="218" t="str">
        <f t="shared" si="8"/>
        <v>#ERROR!</v>
      </c>
      <c r="BI29" s="4">
        <v>3398.0</v>
      </c>
    </row>
    <row r="30" ht="12.75" customHeight="1">
      <c r="A30" s="5">
        <f>companies!A30</f>
        <v>29</v>
      </c>
      <c r="B30" s="199" t="s">
        <v>1254</v>
      </c>
      <c r="C30" s="210">
        <v>1790000.0</v>
      </c>
      <c r="D30" s="210">
        <v>3760000.0</v>
      </c>
      <c r="E30" s="210">
        <v>3760000.0</v>
      </c>
      <c r="F30" s="210"/>
      <c r="G30" s="210"/>
      <c r="H30" s="210"/>
      <c r="I30" s="210"/>
      <c r="J30" s="210"/>
      <c r="K30" s="210"/>
      <c r="L30" s="210"/>
      <c r="M30" s="211"/>
      <c r="N30" s="211"/>
      <c r="O30" s="211"/>
      <c r="P30" s="211"/>
      <c r="Q30" s="211"/>
      <c r="R30" s="210"/>
      <c r="S30" s="211"/>
      <c r="T30" s="211"/>
      <c r="U30" s="211"/>
      <c r="V30" s="211"/>
      <c r="W30" s="210" t="s">
        <v>536</v>
      </c>
      <c r="X30" s="199">
        <v>3760000.0</v>
      </c>
      <c r="Y30" s="199"/>
      <c r="Z30" s="199"/>
      <c r="AA30" s="199"/>
      <c r="AB30" s="199"/>
      <c r="AC30" s="199"/>
      <c r="AD30" s="212" t="s">
        <v>683</v>
      </c>
      <c r="AE30" s="212" t="s">
        <v>683</v>
      </c>
      <c r="AF30" s="213" t="str">
        <f>Table1[[#This Row],[2019 Scope 1 (MeT Co2)]]</f>
        <v>#ERROR!</v>
      </c>
      <c r="AG30" s="214" t="str">
        <f t="shared" si="1"/>
        <v>#ERROR!</v>
      </c>
      <c r="AH30" s="219" t="str">
        <f t="shared" si="2"/>
        <v>#ERROR!</v>
      </c>
      <c r="AI30" s="209"/>
      <c r="AJ30" s="209"/>
      <c r="AK30" s="212" t="s">
        <v>683</v>
      </c>
      <c r="AL30" s="212" t="s">
        <v>683</v>
      </c>
      <c r="AM30" s="213" t="str">
        <f>Table1[[#This Row],[2019 Scope 2 ]]</f>
        <v>#ERROR!</v>
      </c>
      <c r="AN30" s="214" t="str">
        <f t="shared" si="3"/>
        <v>#ERROR!</v>
      </c>
      <c r="AO30" s="219" t="str">
        <f t="shared" si="4"/>
        <v>#ERROR!</v>
      </c>
      <c r="AP30" s="214" t="str">
        <f t="shared" si="5"/>
        <v>#ERROR!</v>
      </c>
      <c r="AQ30" s="219" t="str">
        <f t="shared" si="6"/>
        <v>#ERROR!</v>
      </c>
      <c r="AR30" s="216" t="str">
        <f>Table1[[#This Row],[2019 Scope 3 ]]</f>
        <v>#ERROR!</v>
      </c>
      <c r="AS30" s="217" t="str">
        <f t="shared" si="7"/>
        <v>#ERROR!</v>
      </c>
      <c r="AT30" s="218" t="str">
        <f t="shared" si="8"/>
        <v>#ERROR!</v>
      </c>
      <c r="BI30" s="199">
        <v>3564.0</v>
      </c>
    </row>
    <row r="31" ht="12.75" customHeight="1">
      <c r="A31" s="5">
        <f>companies!A31</f>
        <v>30</v>
      </c>
      <c r="B31" s="199" t="s">
        <v>1254</v>
      </c>
      <c r="C31" s="210">
        <v>190000.0</v>
      </c>
      <c r="D31" s="210">
        <v>302000.0</v>
      </c>
      <c r="E31" s="210">
        <v>302000.0</v>
      </c>
      <c r="F31" s="210"/>
      <c r="G31" s="210"/>
      <c r="H31" s="210"/>
      <c r="I31" s="210"/>
      <c r="J31" s="210"/>
      <c r="K31" s="210"/>
      <c r="L31" s="210"/>
      <c r="M31" s="211"/>
      <c r="N31" s="211"/>
      <c r="O31" s="211"/>
      <c r="P31" s="211"/>
      <c r="Q31" s="211"/>
      <c r="R31" s="210"/>
      <c r="S31" s="211"/>
      <c r="T31" s="211"/>
      <c r="U31" s="211"/>
      <c r="V31" s="211"/>
      <c r="W31" s="210">
        <v>4.8299E7</v>
      </c>
      <c r="X31" s="199">
        <v>302000.0</v>
      </c>
      <c r="Y31" s="199">
        <v>4.8791E7</v>
      </c>
      <c r="Z31" s="199"/>
      <c r="AA31" s="199"/>
      <c r="AB31" s="199"/>
      <c r="AC31" s="199"/>
      <c r="AD31" s="212" t="s">
        <v>683</v>
      </c>
      <c r="AE31" s="212" t="s">
        <v>683</v>
      </c>
      <c r="AF31" s="213" t="str">
        <f>Table1[[#This Row],[2019 Scope 1 (MeT Co2)]]</f>
        <v>#ERROR!</v>
      </c>
      <c r="AG31" s="214" t="str">
        <f t="shared" si="1"/>
        <v>#ERROR!</v>
      </c>
      <c r="AH31" s="215" t="str">
        <f t="shared" si="2"/>
        <v>#ERROR!</v>
      </c>
      <c r="AI31" s="209"/>
      <c r="AJ31" s="209"/>
      <c r="AK31" s="212" t="s">
        <v>683</v>
      </c>
      <c r="AL31" s="212" t="s">
        <v>683</v>
      </c>
      <c r="AM31" s="213" t="str">
        <f>Table1[[#This Row],[2019 Scope 2 ]]</f>
        <v>#ERROR!</v>
      </c>
      <c r="AN31" s="214" t="str">
        <f t="shared" si="3"/>
        <v>#ERROR!</v>
      </c>
      <c r="AO31" s="215" t="str">
        <f t="shared" si="4"/>
        <v>#ERROR!</v>
      </c>
      <c r="AP31" s="214" t="str">
        <f t="shared" si="5"/>
        <v>#ERROR!</v>
      </c>
      <c r="AQ31" s="215" t="str">
        <f t="shared" si="6"/>
        <v>#ERROR!</v>
      </c>
      <c r="AR31" s="216" t="str">
        <f>Table1[[#This Row],[2019 Scope 3 ]]</f>
        <v>#ERROR!</v>
      </c>
      <c r="AS31" s="217" t="str">
        <f t="shared" si="7"/>
        <v>#ERROR!</v>
      </c>
      <c r="AT31" s="218" t="str">
        <f t="shared" si="8"/>
        <v>#ERROR!</v>
      </c>
      <c r="BI31" s="199">
        <v>3551.0</v>
      </c>
    </row>
    <row r="32" ht="12.75" customHeight="1">
      <c r="A32" s="5">
        <f>companies!A32</f>
        <v>31</v>
      </c>
      <c r="B32" s="199" t="s">
        <v>1254</v>
      </c>
      <c r="C32" s="210">
        <v>505483.0</v>
      </c>
      <c r="D32" s="210">
        <v>1458463.0</v>
      </c>
      <c r="E32" s="210">
        <v>1458463.0</v>
      </c>
      <c r="F32" s="210"/>
      <c r="G32" s="210"/>
      <c r="H32" s="210"/>
      <c r="I32" s="210"/>
      <c r="J32" s="210"/>
      <c r="K32" s="210"/>
      <c r="L32" s="210"/>
      <c r="M32" s="211"/>
      <c r="N32" s="211"/>
      <c r="O32" s="211"/>
      <c r="P32" s="211"/>
      <c r="Q32" s="211"/>
      <c r="R32" s="210"/>
      <c r="S32" s="211"/>
      <c r="T32" s="211"/>
      <c r="U32" s="211"/>
      <c r="V32" s="211"/>
      <c r="W32" s="210" t="s">
        <v>536</v>
      </c>
      <c r="X32" s="199">
        <v>1458463.0</v>
      </c>
      <c r="Y32" s="199"/>
      <c r="Z32" s="199"/>
      <c r="AA32" s="199"/>
      <c r="AB32" s="199"/>
      <c r="AC32" s="199"/>
      <c r="AD32" s="212" t="s">
        <v>683</v>
      </c>
      <c r="AE32" s="212" t="s">
        <v>683</v>
      </c>
      <c r="AF32" s="213" t="str">
        <f>Table1[[#This Row],[2019 Scope 1 (MeT Co2)]]</f>
        <v>#ERROR!</v>
      </c>
      <c r="AG32" s="214" t="str">
        <f t="shared" si="1"/>
        <v>#ERROR!</v>
      </c>
      <c r="AH32" s="215" t="str">
        <f t="shared" si="2"/>
        <v>#ERROR!</v>
      </c>
      <c r="AI32" s="209"/>
      <c r="AJ32" s="209"/>
      <c r="AK32" s="212" t="s">
        <v>683</v>
      </c>
      <c r="AL32" s="212" t="s">
        <v>683</v>
      </c>
      <c r="AM32" s="213" t="str">
        <f>Table1[[#This Row],[2019 Scope 2 ]]</f>
        <v>#ERROR!</v>
      </c>
      <c r="AN32" s="214" t="str">
        <f t="shared" si="3"/>
        <v>#ERROR!</v>
      </c>
      <c r="AO32" s="215" t="str">
        <f t="shared" si="4"/>
        <v>#ERROR!</v>
      </c>
      <c r="AP32" s="214" t="str">
        <f t="shared" si="5"/>
        <v>#ERROR!</v>
      </c>
      <c r="AQ32" s="215" t="str">
        <f t="shared" si="6"/>
        <v>#ERROR!</v>
      </c>
      <c r="AR32" s="216" t="str">
        <f>Table1[[#This Row],[2019 Scope 3 ]]</f>
        <v>#ERROR!</v>
      </c>
      <c r="AS32" s="217" t="str">
        <f t="shared" si="7"/>
        <v>#ERROR!</v>
      </c>
      <c r="AT32" s="218" t="str">
        <f t="shared" si="8"/>
        <v>#ERROR!</v>
      </c>
      <c r="BI32" s="4">
        <v>3635.0</v>
      </c>
    </row>
    <row r="33" ht="12.75" customHeight="1">
      <c r="A33" s="5">
        <f>companies!A33</f>
        <v>32</v>
      </c>
      <c r="B33" s="199" t="s">
        <v>1254</v>
      </c>
      <c r="C33" s="210">
        <v>1.97E7</v>
      </c>
      <c r="D33" s="210">
        <v>1100000.0</v>
      </c>
      <c r="E33" s="210">
        <v>1100000.0</v>
      </c>
      <c r="F33" s="210"/>
      <c r="G33" s="210"/>
      <c r="H33" s="210"/>
      <c r="I33" s="210"/>
      <c r="J33" s="210"/>
      <c r="K33" s="210"/>
      <c r="L33" s="210"/>
      <c r="M33" s="211"/>
      <c r="N33" s="211"/>
      <c r="O33" s="211"/>
      <c r="P33" s="211"/>
      <c r="Q33" s="211"/>
      <c r="R33" s="210"/>
      <c r="S33" s="211"/>
      <c r="T33" s="211"/>
      <c r="U33" s="211"/>
      <c r="V33" s="211"/>
      <c r="W33" s="210">
        <v>1.5908256880733943E8</v>
      </c>
      <c r="X33" s="199">
        <v>1100000.0</v>
      </c>
      <c r="Y33" s="199">
        <v>1.7988256880733943E8</v>
      </c>
      <c r="Z33" s="212"/>
      <c r="AA33" s="212"/>
      <c r="AB33" s="212"/>
      <c r="AC33" s="212"/>
      <c r="AD33" s="212" t="s">
        <v>683</v>
      </c>
      <c r="AE33" s="212" t="s">
        <v>683</v>
      </c>
      <c r="AF33" s="213" t="str">
        <f>Table1[[#This Row],[2019 Scope 1 (MeT Co2)]]</f>
        <v>#ERROR!</v>
      </c>
      <c r="AG33" s="214" t="str">
        <f t="shared" si="1"/>
        <v>#ERROR!</v>
      </c>
      <c r="AH33" s="215" t="str">
        <f t="shared" si="2"/>
        <v>#ERROR!</v>
      </c>
      <c r="AI33" s="209"/>
      <c r="AJ33" s="209"/>
      <c r="AK33" s="212" t="s">
        <v>683</v>
      </c>
      <c r="AL33" s="212" t="s">
        <v>683</v>
      </c>
      <c r="AM33" s="213" t="str">
        <f>Table1[[#This Row],[2019 Scope 2 ]]</f>
        <v>#ERROR!</v>
      </c>
      <c r="AN33" s="214" t="str">
        <f t="shared" si="3"/>
        <v>#ERROR!</v>
      </c>
      <c r="AO33" s="215" t="str">
        <f t="shared" si="4"/>
        <v>#ERROR!</v>
      </c>
      <c r="AP33" s="214" t="str">
        <f t="shared" si="5"/>
        <v>#ERROR!</v>
      </c>
      <c r="AQ33" s="215" t="str">
        <f t="shared" si="6"/>
        <v>#ERROR!</v>
      </c>
      <c r="AR33" s="216" t="str">
        <f>Table1[[#This Row],[2019 Scope 3 ]]</f>
        <v>#ERROR!</v>
      </c>
      <c r="AS33" s="217" t="str">
        <f t="shared" si="7"/>
        <v>#ERROR!</v>
      </c>
      <c r="AT33" s="218" t="str">
        <f t="shared" si="8"/>
        <v>#ERROR!</v>
      </c>
      <c r="BI33" s="199">
        <v>3751.0</v>
      </c>
    </row>
    <row r="34" ht="12.75" customHeight="1">
      <c r="A34" s="5">
        <f>companies!A34</f>
        <v>33</v>
      </c>
      <c r="B34" s="199" t="s">
        <v>1254</v>
      </c>
      <c r="C34" s="210">
        <v>1114966.57</v>
      </c>
      <c r="D34" s="210">
        <v>1393452.84</v>
      </c>
      <c r="E34" s="210">
        <v>1393452.84</v>
      </c>
      <c r="F34" s="210"/>
      <c r="G34" s="210"/>
      <c r="H34" s="210"/>
      <c r="I34" s="210"/>
      <c r="J34" s="210"/>
      <c r="K34" s="210"/>
      <c r="L34" s="210"/>
      <c r="M34" s="211"/>
      <c r="N34" s="211"/>
      <c r="O34" s="211"/>
      <c r="P34" s="211"/>
      <c r="Q34" s="211"/>
      <c r="R34" s="210"/>
      <c r="S34" s="211"/>
      <c r="T34" s="211"/>
      <c r="U34" s="211"/>
      <c r="V34" s="211"/>
      <c r="W34" s="210" t="s">
        <v>536</v>
      </c>
      <c r="X34" s="199">
        <v>1393452.84</v>
      </c>
      <c r="Y34" s="199"/>
      <c r="Z34" s="212"/>
      <c r="AA34" s="212"/>
      <c r="AB34" s="212"/>
      <c r="AC34" s="212"/>
      <c r="AD34" s="212" t="s">
        <v>1255</v>
      </c>
      <c r="AE34" s="212" t="s">
        <v>1256</v>
      </c>
      <c r="AF34" s="213" t="str">
        <f>Table1[[#This Row],[2019 Scope 1 (MeT Co2)]]</f>
        <v>#ERROR!</v>
      </c>
      <c r="AG34" s="214" t="str">
        <f t="shared" si="1"/>
        <v>#ERROR!</v>
      </c>
      <c r="AH34" s="215" t="str">
        <f t="shared" si="2"/>
        <v>#ERROR!</v>
      </c>
      <c r="AI34" s="209"/>
      <c r="AJ34" s="209"/>
      <c r="AK34" s="212" t="s">
        <v>1255</v>
      </c>
      <c r="AL34" s="212" t="s">
        <v>1256</v>
      </c>
      <c r="AM34" s="213" t="str">
        <f>Table1[[#This Row],[2019 Scope 2 ]]</f>
        <v>#ERROR!</v>
      </c>
      <c r="AN34" s="214" t="str">
        <f t="shared" si="3"/>
        <v>#ERROR!</v>
      </c>
      <c r="AO34" s="215" t="str">
        <f t="shared" si="4"/>
        <v>#ERROR!</v>
      </c>
      <c r="AP34" s="214" t="str">
        <f t="shared" si="5"/>
        <v>#ERROR!</v>
      </c>
      <c r="AQ34" s="215" t="str">
        <f t="shared" si="6"/>
        <v>#ERROR!</v>
      </c>
      <c r="AR34" s="216" t="str">
        <f>Table1[[#This Row],[2019 Scope 3 ]]</f>
        <v>#ERROR!</v>
      </c>
      <c r="AS34" s="217" t="str">
        <f t="shared" si="7"/>
        <v>#ERROR!</v>
      </c>
      <c r="AT34" s="218" t="str">
        <f t="shared" si="8"/>
        <v>#ERROR!</v>
      </c>
      <c r="BI34" s="4">
        <v>3944.0</v>
      </c>
    </row>
    <row r="35" ht="12.75" customHeight="1">
      <c r="A35" s="5">
        <f>companies!A35</f>
        <v>34</v>
      </c>
      <c r="B35" s="199" t="s">
        <v>1254</v>
      </c>
      <c r="C35" s="210">
        <v>177347.0</v>
      </c>
      <c r="D35" s="210">
        <v>1096724.0</v>
      </c>
      <c r="E35" s="210">
        <v>1096724.0</v>
      </c>
      <c r="F35" s="210"/>
      <c r="G35" s="210"/>
      <c r="H35" s="210"/>
      <c r="I35" s="210"/>
      <c r="J35" s="210"/>
      <c r="K35" s="210"/>
      <c r="L35" s="210"/>
      <c r="M35" s="211"/>
      <c r="N35" s="211"/>
      <c r="O35" s="211"/>
      <c r="P35" s="211"/>
      <c r="Q35" s="211"/>
      <c r="R35" s="210"/>
      <c r="S35" s="211"/>
      <c r="T35" s="211"/>
      <c r="U35" s="211"/>
      <c r="V35" s="211"/>
      <c r="W35" s="210">
        <v>1.227148334E7</v>
      </c>
      <c r="X35" s="199">
        <v>1096724.0</v>
      </c>
      <c r="Y35" s="199">
        <v>1.354555434E7</v>
      </c>
      <c r="Z35" s="212"/>
      <c r="AA35" s="212"/>
      <c r="AB35" s="212"/>
      <c r="AC35" s="212"/>
      <c r="AD35" s="212" t="s">
        <v>683</v>
      </c>
      <c r="AE35" s="212" t="s">
        <v>683</v>
      </c>
      <c r="AF35" s="213" t="str">
        <f>Table1[[#This Row],[2019 Scope 1 (MeT Co2)]]</f>
        <v>#ERROR!</v>
      </c>
      <c r="AG35" s="214" t="str">
        <f t="shared" si="1"/>
        <v>#ERROR!</v>
      </c>
      <c r="AH35" s="215" t="str">
        <f t="shared" si="2"/>
        <v>#ERROR!</v>
      </c>
      <c r="AI35" s="209"/>
      <c r="AJ35" s="209"/>
      <c r="AK35" s="212" t="s">
        <v>683</v>
      </c>
      <c r="AL35" s="212" t="s">
        <v>683</v>
      </c>
      <c r="AM35" s="213" t="str">
        <f>Table1[[#This Row],[2019 Scope 2 ]]</f>
        <v>#ERROR!</v>
      </c>
      <c r="AN35" s="214" t="str">
        <f t="shared" si="3"/>
        <v>#ERROR!</v>
      </c>
      <c r="AO35" s="215" t="str">
        <f t="shared" si="4"/>
        <v>#ERROR!</v>
      </c>
      <c r="AP35" s="214" t="str">
        <f t="shared" si="5"/>
        <v>#ERROR!</v>
      </c>
      <c r="AQ35" s="215" t="str">
        <f t="shared" si="6"/>
        <v>#ERROR!</v>
      </c>
      <c r="AR35" s="216" t="str">
        <f>Table1[[#This Row],[2019 Scope 3 ]]</f>
        <v>#ERROR!</v>
      </c>
      <c r="AS35" s="217" t="str">
        <f t="shared" si="7"/>
        <v>#ERROR!</v>
      </c>
      <c r="AT35" s="218" t="str">
        <f t="shared" si="8"/>
        <v>#ERROR!</v>
      </c>
      <c r="BI35" s="199">
        <v>4151.0</v>
      </c>
    </row>
    <row r="36" ht="12.75" customHeight="1">
      <c r="A36" s="5">
        <f>companies!A36</f>
        <v>35</v>
      </c>
      <c r="B36" s="199" t="s">
        <v>1254</v>
      </c>
      <c r="C36" s="210">
        <v>127698.3</v>
      </c>
      <c r="D36" s="210">
        <v>181965.6</v>
      </c>
      <c r="E36" s="210">
        <v>181965.6</v>
      </c>
      <c r="F36" s="210"/>
      <c r="G36" s="210"/>
      <c r="H36" s="210"/>
      <c r="I36" s="210"/>
      <c r="J36" s="210"/>
      <c r="K36" s="210"/>
      <c r="L36" s="210"/>
      <c r="M36" s="211"/>
      <c r="N36" s="211"/>
      <c r="O36" s="211"/>
      <c r="P36" s="211"/>
      <c r="Q36" s="211"/>
      <c r="R36" s="210"/>
      <c r="S36" s="211"/>
      <c r="T36" s="211"/>
      <c r="U36" s="211"/>
      <c r="V36" s="211"/>
      <c r="W36" s="210" t="s">
        <v>536</v>
      </c>
      <c r="X36" s="199">
        <v>181965.6</v>
      </c>
      <c r="Y36" s="199"/>
      <c r="Z36" s="212"/>
      <c r="AA36" s="212"/>
      <c r="AB36" s="212"/>
      <c r="AC36" s="212"/>
      <c r="AD36" s="212" t="e">
        <v>#N/A</v>
      </c>
      <c r="AE36" s="212" t="e">
        <v>#N/A</v>
      </c>
      <c r="AF36" s="213" t="str">
        <f>Table1[[#This Row],[2019 Scope 1 (MeT Co2)]]</f>
        <v>#ERROR!</v>
      </c>
      <c r="AG36" s="214" t="str">
        <f t="shared" si="1"/>
        <v>#ERROR!</v>
      </c>
      <c r="AH36" s="215" t="str">
        <f t="shared" si="2"/>
        <v>#ERROR!</v>
      </c>
      <c r="AI36" s="209"/>
      <c r="AJ36" s="209"/>
      <c r="AK36" s="212" t="e">
        <v>#N/A</v>
      </c>
      <c r="AL36" s="212" t="e">
        <v>#N/A</v>
      </c>
      <c r="AM36" s="213" t="str">
        <f>Table1[[#This Row],[2019 Scope 2 ]]</f>
        <v>#ERROR!</v>
      </c>
      <c r="AN36" s="214" t="str">
        <f t="shared" si="3"/>
        <v>#ERROR!</v>
      </c>
      <c r="AO36" s="215" t="str">
        <f t="shared" si="4"/>
        <v>#ERROR!</v>
      </c>
      <c r="AP36" s="214" t="str">
        <f t="shared" si="5"/>
        <v>#ERROR!</v>
      </c>
      <c r="AQ36" s="215" t="str">
        <f t="shared" si="6"/>
        <v>#ERROR!</v>
      </c>
      <c r="AR36" s="216" t="str">
        <f>Table1[[#This Row],[2019 Scope 3 ]]</f>
        <v>#ERROR!</v>
      </c>
      <c r="AS36" s="217" t="str">
        <f t="shared" si="7"/>
        <v>#ERROR!</v>
      </c>
      <c r="AT36" s="218" t="str">
        <f t="shared" si="8"/>
        <v>#ERROR!</v>
      </c>
    </row>
    <row r="37" ht="12.75" customHeight="1">
      <c r="A37" s="5">
        <f>companies!A37</f>
        <v>36</v>
      </c>
      <c r="B37" s="199" t="s">
        <v>1254</v>
      </c>
      <c r="C37" s="210">
        <v>2.87E7</v>
      </c>
      <c r="D37" s="210">
        <v>6820000.0</v>
      </c>
      <c r="E37" s="210">
        <v>6820000.0</v>
      </c>
      <c r="F37" s="210"/>
      <c r="G37" s="210"/>
      <c r="H37" s="210"/>
      <c r="I37" s="210"/>
      <c r="J37" s="210"/>
      <c r="K37" s="210"/>
      <c r="L37" s="210"/>
      <c r="M37" s="211"/>
      <c r="N37" s="211"/>
      <c r="O37" s="211"/>
      <c r="P37" s="211"/>
      <c r="Q37" s="211"/>
      <c r="R37" s="210"/>
      <c r="S37" s="211"/>
      <c r="T37" s="211"/>
      <c r="U37" s="211"/>
      <c r="V37" s="211"/>
      <c r="W37" s="210">
        <v>7.63E7</v>
      </c>
      <c r="X37" s="199">
        <v>6820000.0</v>
      </c>
      <c r="Y37" s="199">
        <v>1.1182E8</v>
      </c>
      <c r="Z37" s="199"/>
      <c r="AA37" s="199"/>
      <c r="AB37" s="199"/>
      <c r="AC37" s="199"/>
      <c r="AD37" s="212" t="s">
        <v>1255</v>
      </c>
      <c r="AE37" s="212" t="s">
        <v>1256</v>
      </c>
      <c r="AF37" s="213" t="str">
        <f>Table1[[#This Row],[2019 Scope 1 (MeT Co2)]]</f>
        <v>#ERROR!</v>
      </c>
      <c r="AG37" s="214" t="str">
        <f t="shared" si="1"/>
        <v>#ERROR!</v>
      </c>
      <c r="AH37" s="215" t="str">
        <f t="shared" si="2"/>
        <v>#ERROR!</v>
      </c>
      <c r="AI37" s="209"/>
      <c r="AJ37" s="209"/>
      <c r="AK37" s="212" t="s">
        <v>1255</v>
      </c>
      <c r="AL37" s="212" t="s">
        <v>1256</v>
      </c>
      <c r="AM37" s="213" t="str">
        <f>Table1[[#This Row],[2019 Scope 2 ]]</f>
        <v>#ERROR!</v>
      </c>
      <c r="AN37" s="214" t="str">
        <f t="shared" si="3"/>
        <v>#ERROR!</v>
      </c>
      <c r="AO37" s="215" t="str">
        <f t="shared" si="4"/>
        <v>#ERROR!</v>
      </c>
      <c r="AP37" s="214" t="str">
        <f t="shared" si="5"/>
        <v>#ERROR!</v>
      </c>
      <c r="AQ37" s="215" t="str">
        <f t="shared" si="6"/>
        <v>#ERROR!</v>
      </c>
      <c r="AR37" s="216" t="str">
        <f>Table1[[#This Row],[2019 Scope 3 ]]</f>
        <v>#ERROR!</v>
      </c>
      <c r="AS37" s="217" t="str">
        <f t="shared" si="7"/>
        <v>#ERROR!</v>
      </c>
      <c r="AT37" s="218" t="str">
        <f t="shared" si="8"/>
        <v>#ERROR!</v>
      </c>
      <c r="BI37" s="25">
        <v>4826.0</v>
      </c>
    </row>
    <row r="38" ht="12.75" customHeight="1">
      <c r="A38" s="5">
        <f>companies!A38</f>
        <v>37</v>
      </c>
      <c r="B38" s="199" t="s">
        <v>1254</v>
      </c>
      <c r="C38" s="210">
        <v>9.65488E7</v>
      </c>
      <c r="D38" s="210">
        <v>23200.0</v>
      </c>
      <c r="E38" s="210">
        <v>23200.0</v>
      </c>
      <c r="F38" s="210"/>
      <c r="G38" s="210"/>
      <c r="H38" s="210"/>
      <c r="I38" s="210"/>
      <c r="J38" s="210"/>
      <c r="K38" s="210"/>
      <c r="L38" s="210"/>
      <c r="M38" s="211"/>
      <c r="N38" s="211"/>
      <c r="O38" s="211"/>
      <c r="P38" s="211"/>
      <c r="Q38" s="211"/>
      <c r="R38" s="210"/>
      <c r="S38" s="211"/>
      <c r="T38" s="211"/>
      <c r="U38" s="211"/>
      <c r="V38" s="211"/>
      <c r="W38" s="210">
        <v>2.8077642E7</v>
      </c>
      <c r="X38" s="199">
        <v>23200.0</v>
      </c>
      <c r="Y38" s="199">
        <v>1.24649642E8</v>
      </c>
      <c r="Z38" s="212"/>
      <c r="AA38" s="212"/>
      <c r="AB38" s="212"/>
      <c r="AC38" s="212"/>
      <c r="AD38" s="212" t="s">
        <v>683</v>
      </c>
      <c r="AE38" s="212" t="s">
        <v>683</v>
      </c>
      <c r="AF38" s="213" t="str">
        <f>Table1[[#This Row],[2019 Scope 1 (MeT Co2)]]</f>
        <v>#ERROR!</v>
      </c>
      <c r="AG38" s="214" t="str">
        <f t="shared" si="1"/>
        <v>#ERROR!</v>
      </c>
      <c r="AH38" s="219" t="str">
        <f t="shared" si="2"/>
        <v>#ERROR!</v>
      </c>
      <c r="AI38" s="209"/>
      <c r="AJ38" s="209"/>
      <c r="AK38" s="212" t="s">
        <v>683</v>
      </c>
      <c r="AL38" s="212" t="s">
        <v>683</v>
      </c>
      <c r="AM38" s="213" t="str">
        <f>Table1[[#This Row],[2019 Scope 2 ]]</f>
        <v>#ERROR!</v>
      </c>
      <c r="AN38" s="214" t="str">
        <f t="shared" si="3"/>
        <v>#ERROR!</v>
      </c>
      <c r="AO38" s="219" t="str">
        <f t="shared" si="4"/>
        <v>#ERROR!</v>
      </c>
      <c r="AP38" s="214" t="str">
        <f t="shared" si="5"/>
        <v>#ERROR!</v>
      </c>
      <c r="AQ38" s="219" t="str">
        <f t="shared" si="6"/>
        <v>#ERROR!</v>
      </c>
      <c r="AR38" s="216" t="str">
        <f>Table1[[#This Row],[2019 Scope 3 ]]</f>
        <v>#ERROR!</v>
      </c>
      <c r="AS38" s="217" t="str">
        <f t="shared" si="7"/>
        <v>#ERROR!</v>
      </c>
      <c r="AT38" s="218" t="str">
        <f t="shared" si="8"/>
        <v>#ERROR!</v>
      </c>
      <c r="BI38" s="199">
        <v>5052.0</v>
      </c>
    </row>
    <row r="39" ht="12.75" customHeight="1">
      <c r="A39" s="5">
        <f>companies!A39</f>
        <v>38</v>
      </c>
      <c r="B39" s="199" t="s">
        <v>1254</v>
      </c>
      <c r="C39" s="210" t="s">
        <v>536</v>
      </c>
      <c r="D39" s="210" t="s">
        <v>536</v>
      </c>
      <c r="E39" s="210" t="s">
        <v>536</v>
      </c>
      <c r="F39" s="210"/>
      <c r="G39" s="210"/>
      <c r="H39" s="210"/>
      <c r="I39" s="210"/>
      <c r="J39" s="210"/>
      <c r="K39" s="210"/>
      <c r="L39" s="210"/>
      <c r="M39" s="211"/>
      <c r="N39" s="211"/>
      <c r="O39" s="211"/>
      <c r="P39" s="211"/>
      <c r="Q39" s="211"/>
      <c r="R39" s="210"/>
      <c r="S39" s="211"/>
      <c r="T39" s="211"/>
      <c r="U39" s="211"/>
      <c r="V39" s="211"/>
      <c r="W39" s="210" t="s">
        <v>536</v>
      </c>
      <c r="X39" s="199">
        <v>0.0</v>
      </c>
      <c r="Y39" s="199"/>
      <c r="Z39" s="199"/>
      <c r="AA39" s="199"/>
      <c r="AB39" s="199"/>
      <c r="AC39" s="199"/>
      <c r="AD39" s="212" t="s">
        <v>683</v>
      </c>
      <c r="AE39" s="212" t="s">
        <v>683</v>
      </c>
      <c r="AF39" s="213" t="str">
        <f>Table1[[#This Row],[2019 Scope 1 (MeT Co2)]]</f>
        <v>#ERROR!</v>
      </c>
      <c r="AG39" s="214" t="str">
        <f t="shared" si="1"/>
        <v>#ERROR!</v>
      </c>
      <c r="AH39" s="215" t="str">
        <f t="shared" si="2"/>
        <v>#ERROR!</v>
      </c>
      <c r="AI39" s="209"/>
      <c r="AJ39" s="209"/>
      <c r="AK39" s="212" t="s">
        <v>683</v>
      </c>
      <c r="AL39" s="212" t="s">
        <v>683</v>
      </c>
      <c r="AM39" s="213" t="str">
        <f>Table1[[#This Row],[2019 Scope 2 ]]</f>
        <v>#ERROR!</v>
      </c>
      <c r="AN39" s="214" t="str">
        <f t="shared" si="3"/>
        <v>#ERROR!</v>
      </c>
      <c r="AO39" s="215" t="str">
        <f t="shared" si="4"/>
        <v>#ERROR!</v>
      </c>
      <c r="AP39" s="214" t="str">
        <f t="shared" si="5"/>
        <v>#ERROR!</v>
      </c>
      <c r="AQ39" s="215" t="str">
        <f t="shared" si="6"/>
        <v>#ERROR!</v>
      </c>
      <c r="AR39" s="216" t="str">
        <f>Table1[[#This Row],[2019 Scope 3 ]]</f>
        <v>#ERROR!</v>
      </c>
      <c r="AS39" s="217" t="str">
        <f t="shared" si="7"/>
        <v>#ERROR!</v>
      </c>
      <c r="AT39" s="218" t="str">
        <f t="shared" si="8"/>
        <v>#ERROR!</v>
      </c>
      <c r="BI39" s="199">
        <v>73894.0</v>
      </c>
    </row>
    <row r="40" ht="12.75" customHeight="1">
      <c r="A40" s="5">
        <f>companies!A40</f>
        <v>39</v>
      </c>
      <c r="B40" s="199" t="s">
        <v>1254</v>
      </c>
      <c r="C40" s="210">
        <v>201000.0</v>
      </c>
      <c r="D40" s="210">
        <v>654000.0</v>
      </c>
      <c r="E40" s="210">
        <v>654000.0</v>
      </c>
      <c r="F40" s="210"/>
      <c r="G40" s="210"/>
      <c r="H40" s="210"/>
      <c r="I40" s="210"/>
      <c r="J40" s="210"/>
      <c r="K40" s="210"/>
      <c r="L40" s="210"/>
      <c r="M40" s="211"/>
      <c r="N40" s="211"/>
      <c r="O40" s="211"/>
      <c r="P40" s="211"/>
      <c r="Q40" s="211"/>
      <c r="R40" s="210"/>
      <c r="S40" s="211"/>
      <c r="T40" s="211"/>
      <c r="U40" s="211"/>
      <c r="V40" s="211"/>
      <c r="W40" s="210">
        <v>265000.0</v>
      </c>
      <c r="X40" s="199">
        <v>654000.0</v>
      </c>
      <c r="Y40" s="199">
        <v>1120000.0</v>
      </c>
      <c r="Z40" s="199"/>
      <c r="AA40" s="199"/>
      <c r="AB40" s="199"/>
      <c r="AC40" s="199"/>
      <c r="AD40" s="212" t="s">
        <v>683</v>
      </c>
      <c r="AE40" s="212" t="s">
        <v>683</v>
      </c>
      <c r="AF40" s="213" t="str">
        <f>Table1[[#This Row],[2019 Scope 1 (MeT Co2)]]</f>
        <v>#ERROR!</v>
      </c>
      <c r="AG40" s="214" t="str">
        <f t="shared" si="1"/>
        <v>#ERROR!</v>
      </c>
      <c r="AH40" s="215" t="str">
        <f t="shared" si="2"/>
        <v>#ERROR!</v>
      </c>
      <c r="AI40" s="209"/>
      <c r="AJ40" s="209"/>
      <c r="AK40" s="212" t="s">
        <v>683</v>
      </c>
      <c r="AL40" s="212" t="s">
        <v>683</v>
      </c>
      <c r="AM40" s="213" t="str">
        <f>Table1[[#This Row],[2019 Scope 2 ]]</f>
        <v>#ERROR!</v>
      </c>
      <c r="AN40" s="214" t="str">
        <f t="shared" si="3"/>
        <v>#ERROR!</v>
      </c>
      <c r="AO40" s="219" t="str">
        <f t="shared" si="4"/>
        <v>#ERROR!</v>
      </c>
      <c r="AP40" s="214" t="str">
        <f t="shared" si="5"/>
        <v>#ERROR!</v>
      </c>
      <c r="AQ40" s="219" t="str">
        <f t="shared" si="6"/>
        <v>#ERROR!</v>
      </c>
      <c r="AR40" s="216" t="str">
        <f>Table1[[#This Row],[2019 Scope 3 ]]</f>
        <v>#ERROR!</v>
      </c>
      <c r="AS40" s="217" t="str">
        <f t="shared" si="7"/>
        <v>#ERROR!</v>
      </c>
      <c r="AT40" s="218" t="str">
        <f t="shared" si="8"/>
        <v>#ERROR!</v>
      </c>
      <c r="BI40" s="199">
        <v>5377.0</v>
      </c>
    </row>
    <row r="41" ht="12.75" customHeight="1">
      <c r="A41" s="5">
        <f>companies!A41</f>
        <v>40</v>
      </c>
      <c r="B41" s="199" t="s">
        <v>1254</v>
      </c>
      <c r="C41" s="210">
        <v>166132.0</v>
      </c>
      <c r="D41" s="210">
        <v>699423.0</v>
      </c>
      <c r="E41" s="210">
        <v>699423.0</v>
      </c>
      <c r="F41" s="210"/>
      <c r="G41" s="210"/>
      <c r="H41" s="210"/>
      <c r="I41" s="210"/>
      <c r="J41" s="210"/>
      <c r="K41" s="210"/>
      <c r="L41" s="210"/>
      <c r="M41" s="211"/>
      <c r="N41" s="211"/>
      <c r="O41" s="211"/>
      <c r="P41" s="211"/>
      <c r="Q41" s="211"/>
      <c r="R41" s="210"/>
      <c r="S41" s="211"/>
      <c r="T41" s="211"/>
      <c r="U41" s="211"/>
      <c r="V41" s="211"/>
      <c r="W41" s="210" t="s">
        <v>536</v>
      </c>
      <c r="X41" s="199">
        <v>699423.0</v>
      </c>
      <c r="Y41" s="199"/>
      <c r="Z41" s="212"/>
      <c r="AA41" s="212"/>
      <c r="AB41" s="212"/>
      <c r="AC41" s="212"/>
      <c r="AD41" s="212" t="e">
        <v>#N/A</v>
      </c>
      <c r="AE41" s="212" t="e">
        <v>#N/A</v>
      </c>
      <c r="AF41" s="213" t="str">
        <f>Table1[[#This Row],[2019 Scope 1 (MeT Co2)]]</f>
        <v>#ERROR!</v>
      </c>
      <c r="AG41" s="214" t="str">
        <f t="shared" si="1"/>
        <v>#ERROR!</v>
      </c>
      <c r="AH41" s="215" t="str">
        <f t="shared" si="2"/>
        <v>#ERROR!</v>
      </c>
      <c r="AI41" s="209"/>
      <c r="AJ41" s="209"/>
      <c r="AK41" s="212" t="e">
        <v>#N/A</v>
      </c>
      <c r="AL41" s="212" t="e">
        <v>#N/A</v>
      </c>
      <c r="AM41" s="213" t="str">
        <f>Table1[[#This Row],[2019 Scope 2 ]]</f>
        <v>#ERROR!</v>
      </c>
      <c r="AN41" s="214" t="str">
        <f t="shared" si="3"/>
        <v>#ERROR!</v>
      </c>
      <c r="AO41" s="215" t="str">
        <f t="shared" si="4"/>
        <v>#ERROR!</v>
      </c>
      <c r="AP41" s="214" t="str">
        <f t="shared" si="5"/>
        <v>#ERROR!</v>
      </c>
      <c r="AQ41" s="215" t="str">
        <f t="shared" si="6"/>
        <v>#ERROR!</v>
      </c>
      <c r="AR41" s="216" t="str">
        <f>Table1[[#This Row],[2019 Scope 3 ]]</f>
        <v>#ERROR!</v>
      </c>
      <c r="AS41" s="217" t="str">
        <f t="shared" si="7"/>
        <v>#ERROR!</v>
      </c>
      <c r="AT41" s="218" t="str">
        <f t="shared" si="8"/>
        <v>#ERROR!</v>
      </c>
    </row>
    <row r="42" ht="12.75" customHeight="1">
      <c r="A42" s="5">
        <f>companies!A42</f>
        <v>41</v>
      </c>
      <c r="B42" s="199" t="s">
        <v>1254</v>
      </c>
      <c r="C42" s="210">
        <v>9526000.0</v>
      </c>
      <c r="D42" s="210">
        <v>6120000.0</v>
      </c>
      <c r="E42" s="210">
        <v>6120000.0</v>
      </c>
      <c r="F42" s="210"/>
      <c r="G42" s="210"/>
      <c r="H42" s="210"/>
      <c r="I42" s="210"/>
      <c r="J42" s="210"/>
      <c r="K42" s="210"/>
      <c r="L42" s="210"/>
      <c r="M42" s="211"/>
      <c r="N42" s="211"/>
      <c r="O42" s="211"/>
      <c r="P42" s="211"/>
      <c r="Q42" s="211"/>
      <c r="R42" s="210"/>
      <c r="S42" s="211"/>
      <c r="T42" s="211"/>
      <c r="U42" s="211"/>
      <c r="V42" s="211"/>
      <c r="W42" s="210">
        <v>1.97376E8</v>
      </c>
      <c r="X42" s="199">
        <v>6120000.0</v>
      </c>
      <c r="Y42" s="199">
        <v>2.13022E8</v>
      </c>
      <c r="Z42" s="199"/>
      <c r="AA42" s="199"/>
      <c r="AB42" s="199"/>
      <c r="AC42" s="199"/>
      <c r="AD42" s="212" t="s">
        <v>683</v>
      </c>
      <c r="AE42" s="212" t="s">
        <v>683</v>
      </c>
      <c r="AF42" s="213" t="str">
        <f>Table1[[#This Row],[2019 Scope 1 (MeT Co2)]]</f>
        <v>#ERROR!</v>
      </c>
      <c r="AG42" s="214" t="str">
        <f t="shared" si="1"/>
        <v>#ERROR!</v>
      </c>
      <c r="AH42" s="215" t="str">
        <f t="shared" si="2"/>
        <v>#ERROR!</v>
      </c>
      <c r="AI42" s="209"/>
      <c r="AJ42" s="209"/>
      <c r="AK42" s="212" t="s">
        <v>683</v>
      </c>
      <c r="AL42" s="212" t="s">
        <v>683</v>
      </c>
      <c r="AM42" s="213" t="str">
        <f>Table1[[#This Row],[2019 Scope 2 ]]</f>
        <v>#ERROR!</v>
      </c>
      <c r="AN42" s="214" t="str">
        <f t="shared" si="3"/>
        <v>#ERROR!</v>
      </c>
      <c r="AO42" s="215" t="str">
        <f t="shared" si="4"/>
        <v>#ERROR!</v>
      </c>
      <c r="AP42" s="214" t="str">
        <f t="shared" si="5"/>
        <v>#ERROR!</v>
      </c>
      <c r="AQ42" s="215" t="str">
        <f t="shared" si="6"/>
        <v>#ERROR!</v>
      </c>
      <c r="AR42" s="216" t="str">
        <f>Table1[[#This Row],[2019 Scope 3 ]]</f>
        <v>#ERROR!</v>
      </c>
      <c r="AS42" s="217" t="str">
        <f t="shared" si="7"/>
        <v>#ERROR!</v>
      </c>
      <c r="AT42" s="218" t="str">
        <f t="shared" si="8"/>
        <v>#ERROR!</v>
      </c>
      <c r="BI42" s="199">
        <v>6113.0</v>
      </c>
    </row>
    <row r="43" ht="12.75" customHeight="1">
      <c r="A43" s="5">
        <f>companies!A43</f>
        <v>42</v>
      </c>
      <c r="B43" s="199" t="s">
        <v>1254</v>
      </c>
      <c r="C43" s="210">
        <v>1.16E8</v>
      </c>
      <c r="D43" s="210">
        <v>8000000.0</v>
      </c>
      <c r="E43" s="210">
        <v>8000000.0</v>
      </c>
      <c r="F43" s="210"/>
      <c r="G43" s="210"/>
      <c r="H43" s="210"/>
      <c r="I43" s="210"/>
      <c r="J43" s="210"/>
      <c r="K43" s="210"/>
      <c r="L43" s="210"/>
      <c r="M43" s="211"/>
      <c r="N43" s="211"/>
      <c r="O43" s="211"/>
      <c r="P43" s="211"/>
      <c r="Q43" s="211"/>
      <c r="R43" s="210"/>
      <c r="S43" s="211"/>
      <c r="T43" s="211"/>
      <c r="U43" s="211"/>
      <c r="V43" s="211"/>
      <c r="W43" s="210" t="s">
        <v>536</v>
      </c>
      <c r="X43" s="199">
        <v>8000000.0</v>
      </c>
      <c r="Y43" s="199"/>
      <c r="Z43" s="212"/>
      <c r="AA43" s="212"/>
      <c r="AB43" s="212"/>
      <c r="AC43" s="212"/>
      <c r="AD43" s="212" t="e">
        <v>#N/A</v>
      </c>
      <c r="AE43" s="212" t="e">
        <v>#N/A</v>
      </c>
      <c r="AF43" s="213" t="str">
        <f>Table1[[#This Row],[2019 Scope 1 (MeT Co2)]]</f>
        <v>#ERROR!</v>
      </c>
      <c r="AG43" s="214" t="str">
        <f t="shared" si="1"/>
        <v>#ERROR!</v>
      </c>
      <c r="AH43" s="215" t="str">
        <f t="shared" si="2"/>
        <v>#ERROR!</v>
      </c>
      <c r="AI43" s="209"/>
      <c r="AJ43" s="209"/>
      <c r="AK43" s="212" t="e">
        <v>#N/A</v>
      </c>
      <c r="AL43" s="212" t="e">
        <v>#N/A</v>
      </c>
      <c r="AM43" s="213" t="str">
        <f>Table1[[#This Row],[2019 Scope 2 ]]</f>
        <v>#ERROR!</v>
      </c>
      <c r="AN43" s="214" t="str">
        <f t="shared" si="3"/>
        <v>#ERROR!</v>
      </c>
      <c r="AO43" s="215" t="str">
        <f t="shared" si="4"/>
        <v>#ERROR!</v>
      </c>
      <c r="AP43" s="214" t="str">
        <f t="shared" si="5"/>
        <v>#ERROR!</v>
      </c>
      <c r="AQ43" s="215" t="str">
        <f t="shared" si="6"/>
        <v>#ERROR!</v>
      </c>
      <c r="AR43" s="216" t="str">
        <f>Table1[[#This Row],[2019 Scope 3 ]]</f>
        <v>#ERROR!</v>
      </c>
      <c r="AS43" s="217" t="str">
        <f t="shared" si="7"/>
        <v>#ERROR!</v>
      </c>
      <c r="AT43" s="218" t="str">
        <f t="shared" si="8"/>
        <v>#ERROR!</v>
      </c>
    </row>
    <row r="44" ht="12.75" customHeight="1">
      <c r="A44" s="5">
        <f>companies!A44</f>
        <v>43</v>
      </c>
      <c r="B44" s="199" t="s">
        <v>1254</v>
      </c>
      <c r="C44" s="210">
        <v>314000.0</v>
      </c>
      <c r="D44" s="210">
        <v>42000.0</v>
      </c>
      <c r="E44" s="210">
        <v>42000.0</v>
      </c>
      <c r="F44" s="210"/>
      <c r="G44" s="210"/>
      <c r="H44" s="210"/>
      <c r="I44" s="210"/>
      <c r="J44" s="210"/>
      <c r="K44" s="210"/>
      <c r="L44" s="210"/>
      <c r="M44" s="211"/>
      <c r="N44" s="211"/>
      <c r="O44" s="211"/>
      <c r="P44" s="211"/>
      <c r="Q44" s="211"/>
      <c r="R44" s="210"/>
      <c r="S44" s="211"/>
      <c r="T44" s="211"/>
      <c r="U44" s="211"/>
      <c r="V44" s="211"/>
      <c r="W44" s="210" t="s">
        <v>536</v>
      </c>
      <c r="X44" s="199">
        <v>42000.0</v>
      </c>
      <c r="Y44" s="199"/>
      <c r="Z44" s="212"/>
      <c r="AA44" s="212"/>
      <c r="AB44" s="212"/>
      <c r="AC44" s="212"/>
      <c r="AD44" s="212" t="e">
        <v>#N/A</v>
      </c>
      <c r="AE44" s="212" t="e">
        <v>#N/A</v>
      </c>
      <c r="AF44" s="213" t="str">
        <f>Table1[[#This Row],[2019 Scope 1 (MeT Co2)]]</f>
        <v>#ERROR!</v>
      </c>
      <c r="AG44" s="214" t="str">
        <f t="shared" si="1"/>
        <v>#ERROR!</v>
      </c>
      <c r="AH44" s="215" t="str">
        <f t="shared" si="2"/>
        <v>#ERROR!</v>
      </c>
      <c r="AI44" s="209"/>
      <c r="AJ44" s="209"/>
      <c r="AK44" s="212" t="e">
        <v>#N/A</v>
      </c>
      <c r="AL44" s="212" t="e">
        <v>#N/A</v>
      </c>
      <c r="AM44" s="213" t="str">
        <f>Table1[[#This Row],[2019 Scope 2 ]]</f>
        <v>#ERROR!</v>
      </c>
      <c r="AN44" s="214" t="str">
        <f t="shared" si="3"/>
        <v>#ERROR!</v>
      </c>
      <c r="AO44" s="215" t="str">
        <f t="shared" si="4"/>
        <v>#ERROR!</v>
      </c>
      <c r="AP44" s="214" t="str">
        <f t="shared" si="5"/>
        <v>#ERROR!</v>
      </c>
      <c r="AQ44" s="215" t="str">
        <f t="shared" si="6"/>
        <v>#ERROR!</v>
      </c>
      <c r="AR44" s="216" t="str">
        <f>Table1[[#This Row],[2019 Scope 3 ]]</f>
        <v>#ERROR!</v>
      </c>
      <c r="AS44" s="217" t="str">
        <f t="shared" si="7"/>
        <v>#ERROR!</v>
      </c>
      <c r="AT44" s="218" t="str">
        <f t="shared" si="8"/>
        <v>#ERROR!</v>
      </c>
    </row>
    <row r="45" ht="12.75" customHeight="1">
      <c r="A45" s="5">
        <f>companies!A45</f>
        <v>44</v>
      </c>
      <c r="B45" s="199" t="s">
        <v>1254</v>
      </c>
      <c r="C45" s="210">
        <v>1.5152383E7</v>
      </c>
      <c r="D45" s="210">
        <v>1049987.0</v>
      </c>
      <c r="E45" s="210">
        <v>1049987.0</v>
      </c>
      <c r="F45" s="210"/>
      <c r="G45" s="210"/>
      <c r="H45" s="210"/>
      <c r="I45" s="210"/>
      <c r="J45" s="210"/>
      <c r="K45" s="210"/>
      <c r="L45" s="210"/>
      <c r="M45" s="211"/>
      <c r="N45" s="211"/>
      <c r="O45" s="211"/>
      <c r="P45" s="211"/>
      <c r="Q45" s="211"/>
      <c r="R45" s="210"/>
      <c r="S45" s="211"/>
      <c r="T45" s="211"/>
      <c r="U45" s="211"/>
      <c r="V45" s="211"/>
      <c r="W45" s="210">
        <v>2820965.0</v>
      </c>
      <c r="X45" s="199">
        <v>1049987.0</v>
      </c>
      <c r="Y45" s="199">
        <v>1.9023335E7</v>
      </c>
      <c r="Z45" s="199"/>
      <c r="AA45" s="199"/>
      <c r="AB45" s="199"/>
      <c r="AC45" s="199"/>
      <c r="AD45" s="212" t="s">
        <v>683</v>
      </c>
      <c r="AE45" s="212" t="s">
        <v>683</v>
      </c>
      <c r="AF45" s="213" t="str">
        <f>Table1[[#This Row],[2019 Scope 1 (MeT Co2)]]</f>
        <v>#ERROR!</v>
      </c>
      <c r="AG45" s="214" t="str">
        <f t="shared" si="1"/>
        <v>#ERROR!</v>
      </c>
      <c r="AH45" s="215" t="str">
        <f t="shared" si="2"/>
        <v>#ERROR!</v>
      </c>
      <c r="AI45" s="209"/>
      <c r="AJ45" s="209"/>
      <c r="AK45" s="212" t="s">
        <v>683</v>
      </c>
      <c r="AL45" s="212" t="s">
        <v>683</v>
      </c>
      <c r="AM45" s="213" t="str">
        <f>Table1[[#This Row],[2019 Scope 2 ]]</f>
        <v>#ERROR!</v>
      </c>
      <c r="AN45" s="214" t="str">
        <f t="shared" si="3"/>
        <v>#ERROR!</v>
      </c>
      <c r="AO45" s="215" t="str">
        <f t="shared" si="4"/>
        <v>#ERROR!</v>
      </c>
      <c r="AP45" s="214" t="str">
        <f t="shared" si="5"/>
        <v>#ERROR!</v>
      </c>
      <c r="AQ45" s="215" t="str">
        <f t="shared" si="6"/>
        <v>#ERROR!</v>
      </c>
      <c r="AR45" s="216" t="str">
        <f>Table1[[#This Row],[2019 Scope 3 ]]</f>
        <v>#ERROR!</v>
      </c>
      <c r="AS45" s="217" t="str">
        <f t="shared" si="7"/>
        <v>#ERROR!</v>
      </c>
      <c r="AT45" s="218" t="str">
        <f t="shared" si="8"/>
        <v>#ERROR!</v>
      </c>
      <c r="BI45" s="4">
        <v>6287.0</v>
      </c>
    </row>
    <row r="46" ht="12.75" customHeight="1">
      <c r="A46" s="5">
        <f>companies!A46</f>
        <v>45</v>
      </c>
      <c r="B46" s="199" t="s">
        <v>1254</v>
      </c>
      <c r="C46" s="210">
        <v>1442963.0</v>
      </c>
      <c r="D46" s="210">
        <v>3349808.0</v>
      </c>
      <c r="E46" s="210">
        <v>3349808.0</v>
      </c>
      <c r="F46" s="210"/>
      <c r="G46" s="210"/>
      <c r="H46" s="210"/>
      <c r="I46" s="210"/>
      <c r="J46" s="210"/>
      <c r="K46" s="210"/>
      <c r="L46" s="210"/>
      <c r="M46" s="211"/>
      <c r="N46" s="211"/>
      <c r="O46" s="211"/>
      <c r="P46" s="211"/>
      <c r="Q46" s="211"/>
      <c r="R46" s="210"/>
      <c r="S46" s="211"/>
      <c r="T46" s="211"/>
      <c r="U46" s="211"/>
      <c r="V46" s="211"/>
      <c r="W46" s="210">
        <v>1.34409771E8</v>
      </c>
      <c r="X46" s="199">
        <v>3349808.0</v>
      </c>
      <c r="Y46" s="199">
        <v>1.39202542E8</v>
      </c>
      <c r="Z46" s="199"/>
      <c r="AA46" s="199"/>
      <c r="AB46" s="199"/>
      <c r="AC46" s="199"/>
      <c r="AD46" s="212" t="s">
        <v>683</v>
      </c>
      <c r="AE46" s="212" t="s">
        <v>683</v>
      </c>
      <c r="AF46" s="213" t="str">
        <f>Table1[[#This Row],[2019 Scope 1 (MeT Co2)]]</f>
        <v>#ERROR!</v>
      </c>
      <c r="AG46" s="214" t="str">
        <f t="shared" si="1"/>
        <v>#ERROR!</v>
      </c>
      <c r="AH46" s="215" t="str">
        <f t="shared" si="2"/>
        <v>#ERROR!</v>
      </c>
      <c r="AI46" s="209"/>
      <c r="AJ46" s="209"/>
      <c r="AK46" s="212" t="s">
        <v>683</v>
      </c>
      <c r="AL46" s="212" t="s">
        <v>683</v>
      </c>
      <c r="AM46" s="213" t="str">
        <f>Table1[[#This Row],[2019 Scope 2 ]]</f>
        <v>#ERROR!</v>
      </c>
      <c r="AN46" s="214" t="str">
        <f t="shared" si="3"/>
        <v>#ERROR!</v>
      </c>
      <c r="AO46" s="215" t="str">
        <f t="shared" si="4"/>
        <v>#ERROR!</v>
      </c>
      <c r="AP46" s="214" t="str">
        <f t="shared" si="5"/>
        <v>#ERROR!</v>
      </c>
      <c r="AQ46" s="215" t="str">
        <f t="shared" si="6"/>
        <v>#ERROR!</v>
      </c>
      <c r="AR46" s="216" t="str">
        <f>Table1[[#This Row],[2019 Scope 3 ]]</f>
        <v>#ERROR!</v>
      </c>
      <c r="AS46" s="217" t="str">
        <f t="shared" si="7"/>
        <v>#ERROR!</v>
      </c>
      <c r="AT46" s="218" t="str">
        <f t="shared" si="8"/>
        <v>#ERROR!</v>
      </c>
      <c r="BI46" s="4">
        <v>6595.0</v>
      </c>
    </row>
    <row r="47" ht="12.75" customHeight="1">
      <c r="A47" s="5">
        <f>companies!A47</f>
        <v>46</v>
      </c>
      <c r="B47" s="199" t="s">
        <v>1254</v>
      </c>
      <c r="C47" s="210">
        <v>306430.0</v>
      </c>
      <c r="D47" s="210">
        <v>487731.0</v>
      </c>
      <c r="E47" s="210">
        <v>487731.0</v>
      </c>
      <c r="F47" s="210"/>
      <c r="G47" s="210"/>
      <c r="H47" s="210"/>
      <c r="I47" s="210"/>
      <c r="J47" s="210"/>
      <c r="K47" s="210"/>
      <c r="L47" s="210"/>
      <c r="M47" s="211"/>
      <c r="N47" s="211"/>
      <c r="O47" s="211"/>
      <c r="P47" s="211"/>
      <c r="Q47" s="211"/>
      <c r="R47" s="210"/>
      <c r="S47" s="211"/>
      <c r="T47" s="211"/>
      <c r="U47" s="211"/>
      <c r="V47" s="211"/>
      <c r="W47" s="210" t="s">
        <v>536</v>
      </c>
      <c r="X47" s="199">
        <v>487731.0</v>
      </c>
      <c r="Y47" s="199"/>
      <c r="Z47" s="199"/>
      <c r="AA47" s="199"/>
      <c r="AB47" s="199"/>
      <c r="AC47" s="199"/>
      <c r="AD47" s="212" t="s">
        <v>1255</v>
      </c>
      <c r="AE47" s="212" t="s">
        <v>1256</v>
      </c>
      <c r="AF47" s="213" t="str">
        <f>Table1[[#This Row],[2019 Scope 1 (MeT Co2)]]</f>
        <v>#ERROR!</v>
      </c>
      <c r="AG47" s="214" t="str">
        <f t="shared" si="1"/>
        <v>#ERROR!</v>
      </c>
      <c r="AH47" s="215" t="str">
        <f t="shared" si="2"/>
        <v>#ERROR!</v>
      </c>
      <c r="AI47" s="209"/>
      <c r="AJ47" s="209"/>
      <c r="AK47" s="212" t="s">
        <v>1255</v>
      </c>
      <c r="AL47" s="212" t="s">
        <v>1256</v>
      </c>
      <c r="AM47" s="213" t="str">
        <f>Table1[[#This Row],[2019 Scope 2 ]]</f>
        <v>#ERROR!</v>
      </c>
      <c r="AN47" s="214" t="str">
        <f t="shared" si="3"/>
        <v>#ERROR!</v>
      </c>
      <c r="AO47" s="215" t="str">
        <f t="shared" si="4"/>
        <v>#ERROR!</v>
      </c>
      <c r="AP47" s="214" t="str">
        <f t="shared" si="5"/>
        <v>#ERROR!</v>
      </c>
      <c r="AQ47" s="215" t="str">
        <f t="shared" si="6"/>
        <v>#ERROR!</v>
      </c>
      <c r="AR47" s="216" t="str">
        <f>Table1[[#This Row],[2019 Scope 3 ]]</f>
        <v>#ERROR!</v>
      </c>
      <c r="AS47" s="217" t="str">
        <f t="shared" si="7"/>
        <v>#ERROR!</v>
      </c>
      <c r="AT47" s="218" t="str">
        <f t="shared" si="8"/>
        <v>#ERROR!</v>
      </c>
      <c r="BI47" s="4">
        <v>7147.0</v>
      </c>
    </row>
    <row r="48" ht="12.75" customHeight="1">
      <c r="A48" s="5">
        <f>companies!A48</f>
        <v>47</v>
      </c>
      <c r="B48" s="199" t="s">
        <v>1254</v>
      </c>
      <c r="C48" s="210">
        <v>1290000.0</v>
      </c>
      <c r="D48" s="210">
        <v>1510000.0</v>
      </c>
      <c r="E48" s="210">
        <v>1510000.0</v>
      </c>
      <c r="F48" s="210"/>
      <c r="G48" s="210"/>
      <c r="H48" s="210"/>
      <c r="I48" s="210"/>
      <c r="J48" s="210"/>
      <c r="K48" s="210"/>
      <c r="L48" s="210"/>
      <c r="M48" s="211"/>
      <c r="N48" s="211"/>
      <c r="O48" s="211"/>
      <c r="P48" s="211"/>
      <c r="Q48" s="211"/>
      <c r="R48" s="210"/>
      <c r="S48" s="211"/>
      <c r="T48" s="211"/>
      <c r="U48" s="211"/>
      <c r="V48" s="211"/>
      <c r="W48" s="210">
        <v>2340000.0</v>
      </c>
      <c r="X48" s="199">
        <v>1510000.0</v>
      </c>
      <c r="Y48" s="199">
        <v>5140000.0</v>
      </c>
      <c r="Z48" s="212"/>
      <c r="AA48" s="212"/>
      <c r="AB48" s="212"/>
      <c r="AC48" s="212"/>
      <c r="AD48" s="212" t="s">
        <v>683</v>
      </c>
      <c r="AE48" s="212" t="s">
        <v>683</v>
      </c>
      <c r="AF48" s="213" t="str">
        <f>Table1[[#This Row],[2019 Scope 1 (MeT Co2)]]</f>
        <v>#ERROR!</v>
      </c>
      <c r="AG48" s="214" t="str">
        <f t="shared" si="1"/>
        <v>#ERROR!</v>
      </c>
      <c r="AH48" s="215" t="str">
        <f t="shared" si="2"/>
        <v>#ERROR!</v>
      </c>
      <c r="AI48" s="209"/>
      <c r="AJ48" s="209"/>
      <c r="AK48" s="212" t="s">
        <v>683</v>
      </c>
      <c r="AL48" s="212" t="s">
        <v>683</v>
      </c>
      <c r="AM48" s="213" t="str">
        <f>Table1[[#This Row],[2019 Scope 2 ]]</f>
        <v>#ERROR!</v>
      </c>
      <c r="AN48" s="214" t="str">
        <f t="shared" si="3"/>
        <v>#ERROR!</v>
      </c>
      <c r="AO48" s="215" t="str">
        <f t="shared" si="4"/>
        <v>#ERROR!</v>
      </c>
      <c r="AP48" s="214" t="str">
        <f t="shared" si="5"/>
        <v>#ERROR!</v>
      </c>
      <c r="AQ48" s="215" t="str">
        <f t="shared" si="6"/>
        <v>#ERROR!</v>
      </c>
      <c r="AR48" s="216" t="str">
        <f>Table1[[#This Row],[2019 Scope 3 ]]</f>
        <v>#ERROR!</v>
      </c>
      <c r="AS48" s="217" t="str">
        <f t="shared" si="7"/>
        <v>#ERROR!</v>
      </c>
      <c r="AT48" s="218" t="str">
        <f t="shared" si="8"/>
        <v>#ERROR!</v>
      </c>
      <c r="BI48" s="199">
        <v>7166.0</v>
      </c>
    </row>
    <row r="49" ht="12.75" customHeight="1">
      <c r="A49" s="5">
        <f>companies!A49</f>
        <v>48</v>
      </c>
      <c r="B49" s="199" t="s">
        <v>1254</v>
      </c>
      <c r="C49" s="210">
        <v>1763555.0</v>
      </c>
      <c r="D49" s="210">
        <v>4322761.0</v>
      </c>
      <c r="E49" s="210">
        <v>4322761.0</v>
      </c>
      <c r="F49" s="210"/>
      <c r="G49" s="210"/>
      <c r="H49" s="210"/>
      <c r="I49" s="210"/>
      <c r="J49" s="210"/>
      <c r="K49" s="210"/>
      <c r="L49" s="210"/>
      <c r="M49" s="211"/>
      <c r="N49" s="211"/>
      <c r="O49" s="211"/>
      <c r="P49" s="211"/>
      <c r="Q49" s="211"/>
      <c r="R49" s="210"/>
      <c r="S49" s="211"/>
      <c r="T49" s="211"/>
      <c r="U49" s="211"/>
      <c r="V49" s="211"/>
      <c r="W49" s="210">
        <v>2.64563698E8</v>
      </c>
      <c r="X49" s="199">
        <v>4322761.0</v>
      </c>
      <c r="Y49" s="199">
        <v>2.70650014E8</v>
      </c>
      <c r="Z49" s="199"/>
      <c r="AA49" s="199"/>
      <c r="AB49" s="199"/>
      <c r="AC49" s="199"/>
      <c r="AD49" s="212" t="s">
        <v>683</v>
      </c>
      <c r="AE49" s="212" t="s">
        <v>683</v>
      </c>
      <c r="AF49" s="213" t="str">
        <f>Table1[[#This Row],[2019 Scope 1 (MeT Co2)]]</f>
        <v>#ERROR!</v>
      </c>
      <c r="AG49" s="214" t="str">
        <f t="shared" si="1"/>
        <v>#ERROR!</v>
      </c>
      <c r="AH49" s="215" t="str">
        <f t="shared" si="2"/>
        <v>#ERROR!</v>
      </c>
      <c r="AI49" s="209"/>
      <c r="AJ49" s="209"/>
      <c r="AK49" s="212" t="s">
        <v>683</v>
      </c>
      <c r="AL49" s="212" t="s">
        <v>683</v>
      </c>
      <c r="AM49" s="213" t="str">
        <f>Table1[[#This Row],[2019 Scope 2 ]]</f>
        <v>#ERROR!</v>
      </c>
      <c r="AN49" s="214" t="str">
        <f t="shared" si="3"/>
        <v>#ERROR!</v>
      </c>
      <c r="AO49" s="215" t="str">
        <f t="shared" si="4"/>
        <v>#ERROR!</v>
      </c>
      <c r="AP49" s="214" t="str">
        <f t="shared" si="5"/>
        <v>#ERROR!</v>
      </c>
      <c r="AQ49" s="215" t="str">
        <f t="shared" si="6"/>
        <v>#ERROR!</v>
      </c>
      <c r="AR49" s="216" t="str">
        <f>Table1[[#This Row],[2019 Scope 3 ]]</f>
        <v>#ERROR!</v>
      </c>
      <c r="AS49" s="217" t="str">
        <f t="shared" si="7"/>
        <v>#ERROR!</v>
      </c>
      <c r="AT49" s="218" t="str">
        <f t="shared" si="8"/>
        <v>#ERROR!</v>
      </c>
      <c r="BI49" s="4">
        <v>7164.0</v>
      </c>
    </row>
    <row r="50" ht="12.75" customHeight="1">
      <c r="A50" s="5">
        <f>companies!A50</f>
        <v>49</v>
      </c>
      <c r="B50" s="199" t="s">
        <v>1254</v>
      </c>
      <c r="C50" s="210">
        <v>47256.0</v>
      </c>
      <c r="D50" s="210">
        <v>26647.0</v>
      </c>
      <c r="E50" s="210">
        <v>26647.0</v>
      </c>
      <c r="F50" s="210"/>
      <c r="G50" s="210"/>
      <c r="H50" s="210"/>
      <c r="I50" s="210"/>
      <c r="J50" s="210"/>
      <c r="K50" s="210"/>
      <c r="L50" s="210"/>
      <c r="M50" s="211"/>
      <c r="N50" s="211"/>
      <c r="O50" s="211"/>
      <c r="P50" s="211"/>
      <c r="Q50" s="211"/>
      <c r="R50" s="210"/>
      <c r="S50" s="211"/>
      <c r="T50" s="211"/>
      <c r="U50" s="211"/>
      <c r="V50" s="211"/>
      <c r="W50" s="210">
        <v>71586.0</v>
      </c>
      <c r="X50" s="199">
        <v>26647.0</v>
      </c>
      <c r="Y50" s="199">
        <v>145489.0</v>
      </c>
      <c r="Z50" s="199"/>
      <c r="AA50" s="199"/>
      <c r="AB50" s="199"/>
      <c r="AC50" s="199"/>
      <c r="AD50" s="212" t="s">
        <v>683</v>
      </c>
      <c r="AE50" s="212" t="s">
        <v>683</v>
      </c>
      <c r="AF50" s="213" t="str">
        <f>Table1[[#This Row],[2019 Scope 1 (MeT Co2)]]</f>
        <v>#ERROR!</v>
      </c>
      <c r="AG50" s="214" t="str">
        <f t="shared" si="1"/>
        <v>#ERROR!</v>
      </c>
      <c r="AH50" s="215" t="str">
        <f t="shared" si="2"/>
        <v>#ERROR!</v>
      </c>
      <c r="AI50" s="209"/>
      <c r="AJ50" s="209"/>
      <c r="AK50" s="212" t="s">
        <v>683</v>
      </c>
      <c r="AL50" s="212" t="s">
        <v>683</v>
      </c>
      <c r="AM50" s="213" t="str">
        <f>Table1[[#This Row],[2019 Scope 2 ]]</f>
        <v>#ERROR!</v>
      </c>
      <c r="AN50" s="214" t="str">
        <f t="shared" si="3"/>
        <v>#ERROR!</v>
      </c>
      <c r="AO50" s="215" t="str">
        <f t="shared" si="4"/>
        <v>#ERROR!</v>
      </c>
      <c r="AP50" s="214" t="str">
        <f t="shared" si="5"/>
        <v>#ERROR!</v>
      </c>
      <c r="AQ50" s="215" t="str">
        <f t="shared" si="6"/>
        <v>#ERROR!</v>
      </c>
      <c r="AR50" s="216" t="str">
        <f>Table1[[#This Row],[2019 Scope 3 ]]</f>
        <v>#ERROR!</v>
      </c>
      <c r="AS50" s="217" t="str">
        <f t="shared" si="7"/>
        <v>#ERROR!</v>
      </c>
      <c r="AT50" s="218" t="str">
        <f t="shared" si="8"/>
        <v>#ERROR!</v>
      </c>
      <c r="BI50" s="4">
        <v>7345.0</v>
      </c>
    </row>
    <row r="51" ht="12.75" customHeight="1">
      <c r="A51" s="5">
        <f>companies!A51</f>
        <v>50</v>
      </c>
      <c r="B51" s="199" t="s">
        <v>1254</v>
      </c>
      <c r="C51" s="210">
        <v>11565.0</v>
      </c>
      <c r="D51" s="210">
        <v>16284.0</v>
      </c>
      <c r="E51" s="210">
        <v>16284.0</v>
      </c>
      <c r="F51" s="210"/>
      <c r="G51" s="210"/>
      <c r="H51" s="210"/>
      <c r="I51" s="210"/>
      <c r="J51" s="210"/>
      <c r="K51" s="210"/>
      <c r="L51" s="210"/>
      <c r="M51" s="211"/>
      <c r="N51" s="211"/>
      <c r="O51" s="211"/>
      <c r="P51" s="211"/>
      <c r="Q51" s="211"/>
      <c r="R51" s="210"/>
      <c r="S51" s="211"/>
      <c r="T51" s="211"/>
      <c r="U51" s="211"/>
      <c r="V51" s="211"/>
      <c r="W51" s="210">
        <v>139893.0</v>
      </c>
      <c r="X51" s="199">
        <v>16284.0</v>
      </c>
      <c r="Y51" s="199">
        <v>167742.0</v>
      </c>
      <c r="Z51" s="199"/>
      <c r="AA51" s="199"/>
      <c r="AB51" s="199"/>
      <c r="AC51" s="199"/>
      <c r="AD51" s="212" t="s">
        <v>683</v>
      </c>
      <c r="AE51" s="212" t="s">
        <v>683</v>
      </c>
      <c r="AF51" s="213" t="str">
        <f>Table1[[#This Row],[2019 Scope 1 (MeT Co2)]]</f>
        <v>#ERROR!</v>
      </c>
      <c r="AG51" s="214" t="str">
        <f t="shared" si="1"/>
        <v>#ERROR!</v>
      </c>
      <c r="AH51" s="215" t="str">
        <f t="shared" si="2"/>
        <v>#ERROR!</v>
      </c>
      <c r="AI51" s="209"/>
      <c r="AJ51" s="209"/>
      <c r="AK51" s="212" t="s">
        <v>683</v>
      </c>
      <c r="AL51" s="212" t="s">
        <v>683</v>
      </c>
      <c r="AM51" s="213" t="str">
        <f>Table1[[#This Row],[2019 Scope 2 ]]</f>
        <v>#ERROR!</v>
      </c>
      <c r="AN51" s="214" t="str">
        <f t="shared" si="3"/>
        <v>#ERROR!</v>
      </c>
      <c r="AO51" s="215" t="str">
        <f t="shared" si="4"/>
        <v>#ERROR!</v>
      </c>
      <c r="AP51" s="214" t="str">
        <f t="shared" si="5"/>
        <v>#ERROR!</v>
      </c>
      <c r="AQ51" s="215" t="str">
        <f t="shared" si="6"/>
        <v>#ERROR!</v>
      </c>
      <c r="AR51" s="216" t="str">
        <f>Table1[[#This Row],[2019 Scope 3 ]]</f>
        <v>#ERROR!</v>
      </c>
      <c r="AS51" s="217" t="str">
        <f t="shared" si="7"/>
        <v>#ERROR!</v>
      </c>
      <c r="AT51" s="218" t="str">
        <f t="shared" si="8"/>
        <v>#ERROR!</v>
      </c>
      <c r="BI51" s="4">
        <v>7599.0</v>
      </c>
    </row>
    <row r="52" ht="12.75" customHeight="1">
      <c r="A52" s="5">
        <f>companies!A52</f>
        <v>51</v>
      </c>
      <c r="B52" s="199" t="s">
        <v>1254</v>
      </c>
      <c r="C52" s="210">
        <v>516246.0</v>
      </c>
      <c r="D52" s="210">
        <v>1549876.0</v>
      </c>
      <c r="E52" s="210">
        <v>1549876.0</v>
      </c>
      <c r="F52" s="210"/>
      <c r="G52" s="210"/>
      <c r="H52" s="210"/>
      <c r="I52" s="210"/>
      <c r="J52" s="210"/>
      <c r="K52" s="210"/>
      <c r="L52" s="210"/>
      <c r="M52" s="211"/>
      <c r="N52" s="211"/>
      <c r="O52" s="211"/>
      <c r="P52" s="211"/>
      <c r="Q52" s="211"/>
      <c r="R52" s="210"/>
      <c r="S52" s="211"/>
      <c r="T52" s="211"/>
      <c r="U52" s="211"/>
      <c r="V52" s="211"/>
      <c r="W52" s="210">
        <v>3.1787509E8</v>
      </c>
      <c r="X52" s="199">
        <v>1549876.0</v>
      </c>
      <c r="Y52" s="199">
        <v>3.19941212E8</v>
      </c>
      <c r="Z52" s="199"/>
      <c r="AA52" s="199"/>
      <c r="AB52" s="199"/>
      <c r="AC52" s="199"/>
      <c r="AD52" s="212" t="s">
        <v>683</v>
      </c>
      <c r="AE52" s="212" t="s">
        <v>683</v>
      </c>
      <c r="AF52" s="213" t="str">
        <f>Table1[[#This Row],[2019 Scope 1 (MeT Co2)]]</f>
        <v>#ERROR!</v>
      </c>
      <c r="AG52" s="214" t="str">
        <f t="shared" si="1"/>
        <v>#ERROR!</v>
      </c>
      <c r="AH52" s="215" t="str">
        <f t="shared" si="2"/>
        <v>#ERROR!</v>
      </c>
      <c r="AI52" s="209"/>
      <c r="AJ52" s="209"/>
      <c r="AK52" s="212" t="s">
        <v>683</v>
      </c>
      <c r="AL52" s="212" t="s">
        <v>683</v>
      </c>
      <c r="AM52" s="213" t="str">
        <f>Table1[[#This Row],[2019 Scope 2 ]]</f>
        <v>#ERROR!</v>
      </c>
      <c r="AN52" s="214" t="str">
        <f t="shared" si="3"/>
        <v>#ERROR!</v>
      </c>
      <c r="AO52" s="215" t="str">
        <f t="shared" si="4"/>
        <v>#ERROR!</v>
      </c>
      <c r="AP52" s="214" t="str">
        <f t="shared" si="5"/>
        <v>#ERROR!</v>
      </c>
      <c r="AQ52" s="215" t="str">
        <f t="shared" si="6"/>
        <v>#ERROR!</v>
      </c>
      <c r="AR52" s="216" t="str">
        <f>Table1[[#This Row],[2019 Scope 3 ]]</f>
        <v>#ERROR!</v>
      </c>
      <c r="AS52" s="217" t="str">
        <f t="shared" si="7"/>
        <v>#ERROR!</v>
      </c>
      <c r="AT52" s="218" t="str">
        <f t="shared" si="8"/>
        <v>#ERROR!</v>
      </c>
      <c r="BI52" s="4">
        <v>8526.0</v>
      </c>
    </row>
    <row r="53" ht="12.75" customHeight="1">
      <c r="A53" s="5">
        <f>companies!A53</f>
        <v>52</v>
      </c>
      <c r="B53" s="199" t="s">
        <v>1254</v>
      </c>
      <c r="C53" s="210">
        <v>1479149.0</v>
      </c>
      <c r="D53" s="210">
        <v>1036941.0</v>
      </c>
      <c r="E53" s="210">
        <v>1036941.0</v>
      </c>
      <c r="F53" s="210"/>
      <c r="G53" s="210"/>
      <c r="H53" s="210"/>
      <c r="I53" s="210"/>
      <c r="J53" s="210"/>
      <c r="K53" s="210"/>
      <c r="L53" s="210"/>
      <c r="M53" s="211"/>
      <c r="N53" s="211"/>
      <c r="O53" s="211"/>
      <c r="P53" s="211"/>
      <c r="Q53" s="211"/>
      <c r="R53" s="210"/>
      <c r="S53" s="211"/>
      <c r="T53" s="211"/>
      <c r="U53" s="211"/>
      <c r="V53" s="211"/>
      <c r="W53" s="210">
        <v>1.8863846E7</v>
      </c>
      <c r="X53" s="199">
        <v>1036941.0</v>
      </c>
      <c r="Y53" s="199">
        <v>2.1379936E7</v>
      </c>
      <c r="Z53" s="199"/>
      <c r="AA53" s="199"/>
      <c r="AB53" s="199"/>
      <c r="AC53" s="199"/>
      <c r="AD53" s="212" t="s">
        <v>683</v>
      </c>
      <c r="AE53" s="212" t="s">
        <v>683</v>
      </c>
      <c r="AF53" s="213" t="str">
        <f>Table1[[#This Row],[2019 Scope 1 (MeT Co2)]]</f>
        <v>#ERROR!</v>
      </c>
      <c r="AG53" s="214" t="str">
        <f t="shared" si="1"/>
        <v>#ERROR!</v>
      </c>
      <c r="AH53" s="215" t="str">
        <f t="shared" si="2"/>
        <v>#ERROR!</v>
      </c>
      <c r="AI53" s="209"/>
      <c r="AJ53" s="209"/>
      <c r="AK53" s="212" t="s">
        <v>683</v>
      </c>
      <c r="AL53" s="212" t="s">
        <v>683</v>
      </c>
      <c r="AM53" s="213" t="str">
        <f>Table1[[#This Row],[2019 Scope 2 ]]</f>
        <v>#ERROR!</v>
      </c>
      <c r="AN53" s="214" t="str">
        <f t="shared" si="3"/>
        <v>#ERROR!</v>
      </c>
      <c r="AO53" s="215" t="str">
        <f t="shared" si="4"/>
        <v>#ERROR!</v>
      </c>
      <c r="AP53" s="214" t="str">
        <f t="shared" si="5"/>
        <v>#ERROR!</v>
      </c>
      <c r="AQ53" s="215" t="str">
        <f t="shared" si="6"/>
        <v>#ERROR!</v>
      </c>
      <c r="AR53" s="216" t="str">
        <f>Table1[[#This Row],[2019 Scope 3 ]]</f>
        <v>#ERROR!</v>
      </c>
      <c r="AS53" s="217" t="str">
        <f t="shared" si="7"/>
        <v>#ERROR!</v>
      </c>
      <c r="AT53" s="218" t="str">
        <f t="shared" si="8"/>
        <v>#ERROR!</v>
      </c>
      <c r="BI53" s="4">
        <v>8553.0</v>
      </c>
    </row>
    <row r="54" ht="12.75" customHeight="1">
      <c r="A54" s="5">
        <f>companies!A54</f>
        <v>53</v>
      </c>
      <c r="B54" s="199" t="s">
        <v>1254</v>
      </c>
      <c r="C54" s="210">
        <v>124633.0</v>
      </c>
      <c r="D54" s="210">
        <v>963304.0</v>
      </c>
      <c r="E54" s="210">
        <v>963304.0</v>
      </c>
      <c r="F54" s="210"/>
      <c r="G54" s="210"/>
      <c r="H54" s="210"/>
      <c r="I54" s="210"/>
      <c r="J54" s="210"/>
      <c r="K54" s="210"/>
      <c r="L54" s="210"/>
      <c r="M54" s="211"/>
      <c r="N54" s="211"/>
      <c r="O54" s="211"/>
      <c r="P54" s="211"/>
      <c r="Q54" s="211"/>
      <c r="R54" s="210"/>
      <c r="S54" s="211"/>
      <c r="T54" s="211"/>
      <c r="U54" s="211"/>
      <c r="V54" s="211"/>
      <c r="W54" s="210">
        <v>1346702.0</v>
      </c>
      <c r="X54" s="199">
        <v>963304.0</v>
      </c>
      <c r="Y54" s="199">
        <v>2434639.0</v>
      </c>
      <c r="Z54" s="199"/>
      <c r="AA54" s="199"/>
      <c r="AB54" s="199"/>
      <c r="AC54" s="199"/>
      <c r="AD54" s="212" t="s">
        <v>683</v>
      </c>
      <c r="AE54" s="212" t="s">
        <v>683</v>
      </c>
      <c r="AF54" s="213" t="str">
        <f>Table1[[#This Row],[2019 Scope 1 (MeT Co2)]]</f>
        <v>#ERROR!</v>
      </c>
      <c r="AG54" s="214" t="str">
        <f t="shared" si="1"/>
        <v>#ERROR!</v>
      </c>
      <c r="AH54" s="215" t="str">
        <f t="shared" si="2"/>
        <v>#ERROR!</v>
      </c>
      <c r="AI54" s="209"/>
      <c r="AJ54" s="209"/>
      <c r="AK54" s="212" t="s">
        <v>683</v>
      </c>
      <c r="AL54" s="212" t="s">
        <v>683</v>
      </c>
      <c r="AM54" s="213" t="str">
        <f>Table1[[#This Row],[2019 Scope 2 ]]</f>
        <v>#ERROR!</v>
      </c>
      <c r="AN54" s="214" t="str">
        <f t="shared" si="3"/>
        <v>#ERROR!</v>
      </c>
      <c r="AO54" s="215" t="str">
        <f t="shared" si="4"/>
        <v>#ERROR!</v>
      </c>
      <c r="AP54" s="214" t="str">
        <f t="shared" si="5"/>
        <v>#ERROR!</v>
      </c>
      <c r="AQ54" s="215" t="str">
        <f t="shared" si="6"/>
        <v>#ERROR!</v>
      </c>
      <c r="AR54" s="216" t="str">
        <f>Table1[[#This Row],[2019 Scope 3 ]]</f>
        <v>#ERROR!</v>
      </c>
      <c r="AS54" s="217" t="str">
        <f t="shared" si="7"/>
        <v>#ERROR!</v>
      </c>
      <c r="AT54" s="218" t="str">
        <f t="shared" si="8"/>
        <v>#ERROR!</v>
      </c>
      <c r="BI54" s="199">
        <v>9284.0</v>
      </c>
    </row>
    <row r="55" ht="12.75" customHeight="1">
      <c r="A55" s="5">
        <f>companies!A55</f>
        <v>54</v>
      </c>
      <c r="B55" s="199" t="s">
        <v>1254</v>
      </c>
      <c r="C55" s="210">
        <v>1458000.0</v>
      </c>
      <c r="D55" s="210">
        <v>1120000.0</v>
      </c>
      <c r="E55" s="210">
        <v>1120000.0</v>
      </c>
      <c r="F55" s="210"/>
      <c r="G55" s="210"/>
      <c r="H55" s="210"/>
      <c r="I55" s="210"/>
      <c r="J55" s="210"/>
      <c r="K55" s="210"/>
      <c r="L55" s="210"/>
      <c r="M55" s="211"/>
      <c r="N55" s="211"/>
      <c r="O55" s="211"/>
      <c r="P55" s="211"/>
      <c r="Q55" s="211"/>
      <c r="R55" s="210"/>
      <c r="S55" s="211"/>
      <c r="T55" s="211"/>
      <c r="U55" s="211"/>
      <c r="V55" s="211"/>
      <c r="W55" s="210">
        <v>2.0979E7</v>
      </c>
      <c r="X55" s="199">
        <v>1120000.0</v>
      </c>
      <c r="Y55" s="199">
        <v>2.3557E7</v>
      </c>
      <c r="Z55" s="199"/>
      <c r="AA55" s="199"/>
      <c r="AB55" s="199"/>
      <c r="AC55" s="199"/>
      <c r="AD55" s="212" t="s">
        <v>683</v>
      </c>
      <c r="AE55" s="212" t="s">
        <v>683</v>
      </c>
      <c r="AF55" s="213" t="str">
        <f>Table1[[#This Row],[2019 Scope 1 (MeT Co2)]]</f>
        <v>#ERROR!</v>
      </c>
      <c r="AG55" s="214" t="str">
        <f t="shared" si="1"/>
        <v>#ERROR!</v>
      </c>
      <c r="AH55" s="215" t="str">
        <f t="shared" si="2"/>
        <v>#ERROR!</v>
      </c>
      <c r="AI55" s="209"/>
      <c r="AJ55" s="209"/>
      <c r="AK55" s="212" t="s">
        <v>683</v>
      </c>
      <c r="AL55" s="212" t="s">
        <v>683</v>
      </c>
      <c r="AM55" s="213" t="str">
        <f>Table1[[#This Row],[2019 Scope 2 ]]</f>
        <v>#ERROR!</v>
      </c>
      <c r="AN55" s="214" t="str">
        <f t="shared" si="3"/>
        <v>#ERROR!</v>
      </c>
      <c r="AO55" s="215" t="str">
        <f t="shared" si="4"/>
        <v>#ERROR!</v>
      </c>
      <c r="AP55" s="214" t="str">
        <f t="shared" si="5"/>
        <v>#ERROR!</v>
      </c>
      <c r="AQ55" s="215" t="str">
        <f t="shared" si="6"/>
        <v>#ERROR!</v>
      </c>
      <c r="AR55" s="216" t="str">
        <f>Table1[[#This Row],[2019 Scope 3 ]]</f>
        <v>#ERROR!</v>
      </c>
      <c r="AS55" s="217" t="str">
        <f t="shared" si="7"/>
        <v>#ERROR!</v>
      </c>
      <c r="AT55" s="218" t="str">
        <f t="shared" si="8"/>
        <v>#ERROR!</v>
      </c>
      <c r="BI55" s="4">
        <v>9298.0</v>
      </c>
    </row>
    <row r="56" ht="12.75" customHeight="1">
      <c r="A56" s="5">
        <f>companies!A56</f>
        <v>55</v>
      </c>
      <c r="B56" s="199" t="s">
        <v>1254</v>
      </c>
      <c r="C56" s="210">
        <v>452407.0</v>
      </c>
      <c r="D56" s="210">
        <v>583361.0</v>
      </c>
      <c r="E56" s="210">
        <v>583361.0</v>
      </c>
      <c r="F56" s="210"/>
      <c r="G56" s="210"/>
      <c r="H56" s="210"/>
      <c r="I56" s="210"/>
      <c r="J56" s="210"/>
      <c r="K56" s="210"/>
      <c r="L56" s="210"/>
      <c r="M56" s="211"/>
      <c r="N56" s="211"/>
      <c r="O56" s="211"/>
      <c r="P56" s="211"/>
      <c r="Q56" s="211"/>
      <c r="R56" s="210"/>
      <c r="S56" s="211"/>
      <c r="T56" s="211"/>
      <c r="U56" s="211"/>
      <c r="V56" s="211"/>
      <c r="W56" s="210">
        <v>1.9612181E7</v>
      </c>
      <c r="X56" s="199">
        <v>583361.0</v>
      </c>
      <c r="Y56" s="199">
        <v>2.0647949E7</v>
      </c>
      <c r="Z56" s="199"/>
      <c r="AA56" s="199"/>
      <c r="AB56" s="199"/>
      <c r="AC56" s="199"/>
      <c r="AD56" s="212" t="s">
        <v>683</v>
      </c>
      <c r="AE56" s="212" t="s">
        <v>683</v>
      </c>
      <c r="AF56" s="213" t="str">
        <f>Table1[[#This Row],[2019 Scope 1 (MeT Co2)]]</f>
        <v>#ERROR!</v>
      </c>
      <c r="AG56" s="214" t="str">
        <f t="shared" si="1"/>
        <v>#ERROR!</v>
      </c>
      <c r="AH56" s="215" t="str">
        <f t="shared" si="2"/>
        <v>#ERROR!</v>
      </c>
      <c r="AI56" s="209"/>
      <c r="AJ56" s="209"/>
      <c r="AK56" s="212" t="s">
        <v>683</v>
      </c>
      <c r="AL56" s="212" t="s">
        <v>683</v>
      </c>
      <c r="AM56" s="213" t="str">
        <f>Table1[[#This Row],[2019 Scope 2 ]]</f>
        <v>#ERROR!</v>
      </c>
      <c r="AN56" s="214" t="str">
        <f t="shared" si="3"/>
        <v>#ERROR!</v>
      </c>
      <c r="AO56" s="215" t="str">
        <f t="shared" si="4"/>
        <v>#ERROR!</v>
      </c>
      <c r="AP56" s="214" t="str">
        <f t="shared" si="5"/>
        <v>#ERROR!</v>
      </c>
      <c r="AQ56" s="215" t="str">
        <f t="shared" si="6"/>
        <v>#ERROR!</v>
      </c>
      <c r="AR56" s="216" t="str">
        <f>Table1[[#This Row],[2019 Scope 3 ]]</f>
        <v>#ERROR!</v>
      </c>
      <c r="AS56" s="217" t="str">
        <f t="shared" si="7"/>
        <v>#ERROR!</v>
      </c>
      <c r="AT56" s="218" t="str">
        <f t="shared" si="8"/>
        <v>#ERROR!</v>
      </c>
      <c r="BI56" s="4">
        <v>9829.0</v>
      </c>
    </row>
    <row r="57" ht="12.75" customHeight="1">
      <c r="A57" s="5">
        <f>companies!A57</f>
        <v>56</v>
      </c>
      <c r="B57" s="199" t="s">
        <v>1254</v>
      </c>
      <c r="C57" s="210">
        <v>83101.0</v>
      </c>
      <c r="D57" s="210">
        <v>572067.0</v>
      </c>
      <c r="E57" s="210">
        <v>572067.0</v>
      </c>
      <c r="F57" s="210"/>
      <c r="G57" s="210"/>
      <c r="H57" s="210"/>
      <c r="I57" s="210"/>
      <c r="J57" s="210"/>
      <c r="K57" s="210"/>
      <c r="L57" s="210"/>
      <c r="M57" s="211"/>
      <c r="N57" s="211"/>
      <c r="O57" s="211"/>
      <c r="P57" s="211"/>
      <c r="Q57" s="211"/>
      <c r="R57" s="210"/>
      <c r="S57" s="211"/>
      <c r="T57" s="211"/>
      <c r="U57" s="211"/>
      <c r="V57" s="211"/>
      <c r="W57" s="210">
        <v>176356.0</v>
      </c>
      <c r="X57" s="199">
        <v>572067.0</v>
      </c>
      <c r="Y57" s="199">
        <v>831524.0</v>
      </c>
      <c r="Z57" s="199"/>
      <c r="AA57" s="199"/>
      <c r="AB57" s="199"/>
      <c r="AC57" s="199"/>
      <c r="AD57" s="212" t="s">
        <v>683</v>
      </c>
      <c r="AE57" s="212" t="s">
        <v>683</v>
      </c>
      <c r="AF57" s="213" t="str">
        <f>Table1[[#This Row],[2019 Scope 1 (MeT Co2)]]</f>
        <v>#ERROR!</v>
      </c>
      <c r="AG57" s="214" t="str">
        <f t="shared" si="1"/>
        <v>#ERROR!</v>
      </c>
      <c r="AH57" s="215" t="str">
        <f t="shared" si="2"/>
        <v>#ERROR!</v>
      </c>
      <c r="AI57" s="209"/>
      <c r="AJ57" s="209"/>
      <c r="AK57" s="212" t="s">
        <v>683</v>
      </c>
      <c r="AL57" s="212" t="s">
        <v>683</v>
      </c>
      <c r="AM57" s="213" t="str">
        <f>Table1[[#This Row],[2019 Scope 2 ]]</f>
        <v>#ERROR!</v>
      </c>
      <c r="AN57" s="214" t="str">
        <f t="shared" si="3"/>
        <v>#ERROR!</v>
      </c>
      <c r="AO57" s="215" t="str">
        <f t="shared" si="4"/>
        <v>#ERROR!</v>
      </c>
      <c r="AP57" s="214" t="str">
        <f t="shared" si="5"/>
        <v>#ERROR!</v>
      </c>
      <c r="AQ57" s="215" t="str">
        <f t="shared" si="6"/>
        <v>#ERROR!</v>
      </c>
      <c r="AR57" s="216" t="str">
        <f>Table1[[#This Row],[2019 Scope 3 ]]</f>
        <v>#ERROR!</v>
      </c>
      <c r="AS57" s="217" t="str">
        <f t="shared" si="7"/>
        <v>#ERROR!</v>
      </c>
      <c r="AT57" s="218" t="str">
        <f t="shared" si="8"/>
        <v>#ERROR!</v>
      </c>
      <c r="BI57" s="4">
        <v>9871.0</v>
      </c>
    </row>
    <row r="58" ht="12.75" customHeight="1">
      <c r="A58" s="5">
        <f>companies!A58</f>
        <v>57</v>
      </c>
      <c r="B58" s="199" t="s">
        <v>1254</v>
      </c>
      <c r="C58" s="210" t="s">
        <v>536</v>
      </c>
      <c r="D58" s="210" t="s">
        <v>536</v>
      </c>
      <c r="E58" s="210" t="s">
        <v>536</v>
      </c>
      <c r="F58" s="210"/>
      <c r="G58" s="210"/>
      <c r="H58" s="210"/>
      <c r="I58" s="210"/>
      <c r="J58" s="210"/>
      <c r="K58" s="210"/>
      <c r="L58" s="210"/>
      <c r="M58" s="211"/>
      <c r="N58" s="211"/>
      <c r="O58" s="211"/>
      <c r="P58" s="211"/>
      <c r="Q58" s="211"/>
      <c r="R58" s="210"/>
      <c r="S58" s="211"/>
      <c r="T58" s="211"/>
      <c r="U58" s="211"/>
      <c r="V58" s="211"/>
      <c r="W58" s="210" t="s">
        <v>536</v>
      </c>
      <c r="X58" s="199">
        <v>0.0</v>
      </c>
      <c r="Y58" s="199"/>
      <c r="Z58" s="212"/>
      <c r="AA58" s="212"/>
      <c r="AB58" s="212"/>
      <c r="AC58" s="212"/>
      <c r="AD58" s="212" t="e">
        <v>#N/A</v>
      </c>
      <c r="AE58" s="212" t="e">
        <v>#N/A</v>
      </c>
      <c r="AF58" s="213" t="str">
        <f>Table1[[#This Row],[2019 Scope 1 (MeT Co2)]]</f>
        <v>#ERROR!</v>
      </c>
      <c r="AG58" s="214" t="str">
        <f t="shared" si="1"/>
        <v>#ERROR!</v>
      </c>
      <c r="AH58" s="215" t="str">
        <f t="shared" si="2"/>
        <v>#ERROR!</v>
      </c>
      <c r="AI58" s="209"/>
      <c r="AJ58" s="209"/>
      <c r="AK58" s="212" t="e">
        <v>#N/A</v>
      </c>
      <c r="AL58" s="212" t="e">
        <v>#N/A</v>
      </c>
      <c r="AM58" s="213" t="str">
        <f>Table1[[#This Row],[2019 Scope 2 ]]</f>
        <v>#ERROR!</v>
      </c>
      <c r="AN58" s="214" t="str">
        <f t="shared" si="3"/>
        <v>#ERROR!</v>
      </c>
      <c r="AO58" s="215" t="str">
        <f t="shared" si="4"/>
        <v>#ERROR!</v>
      </c>
      <c r="AP58" s="214" t="str">
        <f t="shared" si="5"/>
        <v>#ERROR!</v>
      </c>
      <c r="AQ58" s="215" t="str">
        <f t="shared" si="6"/>
        <v>#ERROR!</v>
      </c>
      <c r="AR58" s="216" t="str">
        <f>Table1[[#This Row],[2019 Scope 3 ]]</f>
        <v>#ERROR!</v>
      </c>
      <c r="AS58" s="217" t="str">
        <f t="shared" si="7"/>
        <v>#ERROR!</v>
      </c>
      <c r="AT58" s="218" t="str">
        <f t="shared" si="8"/>
        <v>#ERROR!</v>
      </c>
    </row>
    <row r="59" ht="12.75" customHeight="1">
      <c r="A59" s="5">
        <f>companies!A59</f>
        <v>58</v>
      </c>
      <c r="B59" s="199" t="s">
        <v>1254</v>
      </c>
      <c r="C59" s="210">
        <v>649256.0</v>
      </c>
      <c r="D59" s="210">
        <v>773066.0</v>
      </c>
      <c r="E59" s="210">
        <v>773066.0</v>
      </c>
      <c r="F59" s="210"/>
      <c r="G59" s="210"/>
      <c r="H59" s="210"/>
      <c r="I59" s="210"/>
      <c r="J59" s="210"/>
      <c r="K59" s="210"/>
      <c r="L59" s="210"/>
      <c r="M59" s="211"/>
      <c r="N59" s="211"/>
      <c r="O59" s="211"/>
      <c r="P59" s="211"/>
      <c r="Q59" s="211"/>
      <c r="R59" s="210"/>
      <c r="S59" s="211"/>
      <c r="T59" s="211"/>
      <c r="U59" s="211"/>
      <c r="V59" s="211"/>
      <c r="W59" s="210">
        <v>2.292272325E7</v>
      </c>
      <c r="X59" s="199">
        <v>773066.0</v>
      </c>
      <c r="Y59" s="199">
        <v>2.434504525E7</v>
      </c>
      <c r="Z59" s="212"/>
      <c r="AA59" s="212"/>
      <c r="AB59" s="212"/>
      <c r="AC59" s="212"/>
      <c r="AD59" s="212" t="s">
        <v>683</v>
      </c>
      <c r="AE59" s="212" t="s">
        <v>683</v>
      </c>
      <c r="AF59" s="213" t="str">
        <f>Table1[[#This Row],[2019 Scope 1 (MeT Co2)]]</f>
        <v>#ERROR!</v>
      </c>
      <c r="AG59" s="214" t="str">
        <f t="shared" si="1"/>
        <v>#ERROR!</v>
      </c>
      <c r="AH59" s="215" t="str">
        <f t="shared" si="2"/>
        <v>#ERROR!</v>
      </c>
      <c r="AI59" s="209"/>
      <c r="AJ59" s="209"/>
      <c r="AK59" s="212" t="s">
        <v>683</v>
      </c>
      <c r="AL59" s="212" t="s">
        <v>683</v>
      </c>
      <c r="AM59" s="213" t="str">
        <f>Table1[[#This Row],[2019 Scope 2 ]]</f>
        <v>#ERROR!</v>
      </c>
      <c r="AN59" s="214" t="str">
        <f t="shared" si="3"/>
        <v>#ERROR!</v>
      </c>
      <c r="AO59" s="215" t="str">
        <f t="shared" si="4"/>
        <v>#ERROR!</v>
      </c>
      <c r="AP59" s="214" t="str">
        <f t="shared" si="5"/>
        <v>#ERROR!</v>
      </c>
      <c r="AQ59" s="215" t="str">
        <f t="shared" si="6"/>
        <v>#ERROR!</v>
      </c>
      <c r="AR59" s="216" t="str">
        <f>Table1[[#This Row],[2019 Scope 3 ]]</f>
        <v>#ERROR!</v>
      </c>
      <c r="AS59" s="217" t="str">
        <f t="shared" si="7"/>
        <v>#ERROR!</v>
      </c>
      <c r="AT59" s="218" t="str">
        <f t="shared" si="8"/>
        <v>#ERROR!</v>
      </c>
      <c r="BI59" s="4">
        <v>58857.0</v>
      </c>
    </row>
    <row r="60" ht="12.75" customHeight="1">
      <c r="A60" s="5">
        <f>companies!A60</f>
        <v>59</v>
      </c>
      <c r="B60" s="199" t="s">
        <v>1254</v>
      </c>
      <c r="C60" s="210">
        <v>291782.0</v>
      </c>
      <c r="D60" s="210">
        <v>527766.0</v>
      </c>
      <c r="E60" s="210">
        <v>527766.0</v>
      </c>
      <c r="F60" s="210"/>
      <c r="G60" s="210"/>
      <c r="H60" s="210"/>
      <c r="I60" s="210"/>
      <c r="J60" s="210"/>
      <c r="K60" s="210"/>
      <c r="L60" s="210"/>
      <c r="M60" s="211"/>
      <c r="N60" s="211"/>
      <c r="O60" s="211"/>
      <c r="P60" s="211"/>
      <c r="Q60" s="211"/>
      <c r="R60" s="210"/>
      <c r="S60" s="211"/>
      <c r="T60" s="211"/>
      <c r="U60" s="211"/>
      <c r="V60" s="211"/>
      <c r="W60" s="210">
        <v>3.0551E7</v>
      </c>
      <c r="X60" s="199">
        <v>527766.0</v>
      </c>
      <c r="Y60" s="199">
        <v>3.1370548E7</v>
      </c>
      <c r="Z60" s="199"/>
      <c r="AA60" s="199"/>
      <c r="AB60" s="199"/>
      <c r="AC60" s="199"/>
      <c r="AD60" s="212" t="s">
        <v>683</v>
      </c>
      <c r="AE60" s="212" t="s">
        <v>683</v>
      </c>
      <c r="AF60" s="213" t="str">
        <f>Table1[[#This Row],[2019 Scope 1 (MeT Co2)]]</f>
        <v>#ERROR!</v>
      </c>
      <c r="AG60" s="214" t="str">
        <f t="shared" si="1"/>
        <v>#ERROR!</v>
      </c>
      <c r="AH60" s="215" t="str">
        <f t="shared" si="2"/>
        <v>#ERROR!</v>
      </c>
      <c r="AI60" s="209"/>
      <c r="AJ60" s="209"/>
      <c r="AK60" s="212" t="s">
        <v>683</v>
      </c>
      <c r="AL60" s="212" t="s">
        <v>683</v>
      </c>
      <c r="AM60" s="213" t="str">
        <f>Table1[[#This Row],[2019 Scope 2 ]]</f>
        <v>#ERROR!</v>
      </c>
      <c r="AN60" s="214" t="str">
        <f t="shared" si="3"/>
        <v>#ERROR!</v>
      </c>
      <c r="AO60" s="215" t="str">
        <f t="shared" si="4"/>
        <v>#ERROR!</v>
      </c>
      <c r="AP60" s="214" t="str">
        <f t="shared" si="5"/>
        <v>#ERROR!</v>
      </c>
      <c r="AQ60" s="215" t="str">
        <f t="shared" si="6"/>
        <v>#ERROR!</v>
      </c>
      <c r="AR60" s="216" t="str">
        <f>Table1[[#This Row],[2019 Scope 3 ]]</f>
        <v>#ERROR!</v>
      </c>
      <c r="AS60" s="217" t="str">
        <f t="shared" si="7"/>
        <v>#ERROR!</v>
      </c>
      <c r="AT60" s="218" t="str">
        <f t="shared" si="8"/>
        <v>#ERROR!</v>
      </c>
      <c r="BI60" s="4" t="s">
        <v>1259</v>
      </c>
    </row>
    <row r="61" ht="12.75" customHeight="1">
      <c r="A61" s="5">
        <f>companies!A61</f>
        <v>60</v>
      </c>
      <c r="B61" s="199" t="s">
        <v>1254</v>
      </c>
      <c r="C61" s="210">
        <v>473689.0</v>
      </c>
      <c r="D61" s="210">
        <v>1932514.0</v>
      </c>
      <c r="E61" s="210">
        <v>1932514.0</v>
      </c>
      <c r="F61" s="210"/>
      <c r="G61" s="210"/>
      <c r="H61" s="210"/>
      <c r="I61" s="210"/>
      <c r="J61" s="210"/>
      <c r="K61" s="210"/>
      <c r="L61" s="210"/>
      <c r="M61" s="211"/>
      <c r="N61" s="211"/>
      <c r="O61" s="211"/>
      <c r="P61" s="211"/>
      <c r="Q61" s="211"/>
      <c r="R61" s="210"/>
      <c r="S61" s="211"/>
      <c r="T61" s="211"/>
      <c r="U61" s="211"/>
      <c r="V61" s="211"/>
      <c r="W61" s="210">
        <v>3.42642973E8</v>
      </c>
      <c r="X61" s="199">
        <v>1932514.0</v>
      </c>
      <c r="Y61" s="199">
        <v>3.45049176E8</v>
      </c>
      <c r="Z61" s="212"/>
      <c r="AA61" s="212"/>
      <c r="AB61" s="212"/>
      <c r="AC61" s="212"/>
      <c r="AD61" s="212" t="s">
        <v>683</v>
      </c>
      <c r="AE61" s="212" t="s">
        <v>683</v>
      </c>
      <c r="AF61" s="213" t="str">
        <f>Table1[[#This Row],[2019 Scope 1 (MeT Co2)]]</f>
        <v>#ERROR!</v>
      </c>
      <c r="AG61" s="214" t="str">
        <f t="shared" si="1"/>
        <v>#ERROR!</v>
      </c>
      <c r="AH61" s="215" t="str">
        <f t="shared" si="2"/>
        <v>#ERROR!</v>
      </c>
      <c r="AI61" s="209"/>
      <c r="AJ61" s="209"/>
      <c r="AK61" s="212" t="s">
        <v>683</v>
      </c>
      <c r="AL61" s="212" t="s">
        <v>683</v>
      </c>
      <c r="AM61" s="213" t="str">
        <f>Table1[[#This Row],[2019 Scope 2 ]]</f>
        <v>#ERROR!</v>
      </c>
      <c r="AN61" s="214" t="str">
        <f t="shared" si="3"/>
        <v>#ERROR!</v>
      </c>
      <c r="AO61" s="215" t="str">
        <f t="shared" si="4"/>
        <v>#ERROR!</v>
      </c>
      <c r="AP61" s="214" t="str">
        <f t="shared" si="5"/>
        <v>#ERROR!</v>
      </c>
      <c r="AQ61" s="215" t="str">
        <f t="shared" si="6"/>
        <v>#ERROR!</v>
      </c>
      <c r="AR61" s="216" t="str">
        <f>Table1[[#This Row],[2019 Scope 3 ]]</f>
        <v>#ERROR!</v>
      </c>
      <c r="AS61" s="217" t="str">
        <f t="shared" si="7"/>
        <v>#ERROR!</v>
      </c>
      <c r="AT61" s="218" t="str">
        <f t="shared" si="8"/>
        <v>#ERROR!</v>
      </c>
      <c r="BI61" s="4">
        <v>11017.0</v>
      </c>
    </row>
    <row r="62" ht="12.75" customHeight="1">
      <c r="A62" s="5">
        <f>companies!A62</f>
        <v>61</v>
      </c>
      <c r="B62" s="199" t="s">
        <v>1254</v>
      </c>
      <c r="C62" s="210">
        <v>4828.0</v>
      </c>
      <c r="D62" s="210">
        <v>52859.0</v>
      </c>
      <c r="E62" s="210">
        <v>52859.0</v>
      </c>
      <c r="F62" s="210"/>
      <c r="G62" s="210"/>
      <c r="H62" s="210"/>
      <c r="I62" s="210"/>
      <c r="J62" s="210"/>
      <c r="K62" s="210"/>
      <c r="L62" s="210"/>
      <c r="M62" s="211"/>
      <c r="N62" s="211"/>
      <c r="O62" s="211"/>
      <c r="P62" s="211"/>
      <c r="Q62" s="211"/>
      <c r="R62" s="210"/>
      <c r="S62" s="211"/>
      <c r="T62" s="211"/>
      <c r="U62" s="211"/>
      <c r="V62" s="211"/>
      <c r="W62" s="210">
        <v>495962.0</v>
      </c>
      <c r="X62" s="199">
        <v>52859.0</v>
      </c>
      <c r="Y62" s="199">
        <v>553649.0</v>
      </c>
      <c r="Z62" s="199"/>
      <c r="AA62" s="199"/>
      <c r="AB62" s="199"/>
      <c r="AC62" s="199"/>
      <c r="AD62" s="212" t="s">
        <v>683</v>
      </c>
      <c r="AE62" s="212" t="s">
        <v>683</v>
      </c>
      <c r="AF62" s="213" t="str">
        <f>Table1[[#This Row],[2019 Scope 1 (MeT Co2)]]</f>
        <v>#ERROR!</v>
      </c>
      <c r="AG62" s="214" t="str">
        <f t="shared" si="1"/>
        <v>#ERROR!</v>
      </c>
      <c r="AH62" s="215" t="str">
        <f t="shared" si="2"/>
        <v>#ERROR!</v>
      </c>
      <c r="AI62" s="209"/>
      <c r="AJ62" s="209"/>
      <c r="AK62" s="212" t="s">
        <v>683</v>
      </c>
      <c r="AL62" s="212" t="s">
        <v>683</v>
      </c>
      <c r="AM62" s="213" t="str">
        <f>Table1[[#This Row],[2019 Scope 2 ]]</f>
        <v>#ERROR!</v>
      </c>
      <c r="AN62" s="214" t="str">
        <f t="shared" si="3"/>
        <v>#ERROR!</v>
      </c>
      <c r="AO62" s="215" t="str">
        <f t="shared" si="4"/>
        <v>#ERROR!</v>
      </c>
      <c r="AP62" s="214" t="str">
        <f t="shared" si="5"/>
        <v>#ERROR!</v>
      </c>
      <c r="AQ62" s="215" t="str">
        <f t="shared" si="6"/>
        <v>#ERROR!</v>
      </c>
      <c r="AR62" s="216" t="str">
        <f>Table1[[#This Row],[2019 Scope 3 ]]</f>
        <v>#ERROR!</v>
      </c>
      <c r="AS62" s="217" t="str">
        <f t="shared" si="7"/>
        <v>#ERROR!</v>
      </c>
      <c r="AT62" s="218" t="str">
        <f t="shared" si="8"/>
        <v>#ERROR!</v>
      </c>
      <c r="BI62" s="4">
        <v>11421.0</v>
      </c>
    </row>
    <row r="63" ht="12.75" customHeight="1">
      <c r="A63" s="5">
        <f>companies!A63</f>
        <v>62</v>
      </c>
      <c r="B63" s="199" t="s">
        <v>1254</v>
      </c>
      <c r="C63" s="210">
        <v>111499.18</v>
      </c>
      <c r="D63" s="210">
        <v>491052.97</v>
      </c>
      <c r="E63" s="210">
        <v>491052.97</v>
      </c>
      <c r="F63" s="210"/>
      <c r="G63" s="210"/>
      <c r="H63" s="210"/>
      <c r="I63" s="210"/>
      <c r="J63" s="210"/>
      <c r="K63" s="210"/>
      <c r="L63" s="210"/>
      <c r="M63" s="211"/>
      <c r="N63" s="211"/>
      <c r="O63" s="211"/>
      <c r="P63" s="211"/>
      <c r="Q63" s="211"/>
      <c r="R63" s="210"/>
      <c r="S63" s="211"/>
      <c r="T63" s="211"/>
      <c r="U63" s="211"/>
      <c r="V63" s="211"/>
      <c r="W63" s="210">
        <v>3.6290894E7</v>
      </c>
      <c r="X63" s="199">
        <v>491052.97</v>
      </c>
      <c r="Y63" s="199">
        <v>3.689344615E7</v>
      </c>
      <c r="Z63" s="212"/>
      <c r="AA63" s="212"/>
      <c r="AB63" s="212"/>
      <c r="AC63" s="212"/>
      <c r="AD63" s="212" t="s">
        <v>1255</v>
      </c>
      <c r="AE63" s="212" t="s">
        <v>1256</v>
      </c>
      <c r="AF63" s="213" t="str">
        <f>Table1[[#This Row],[2019 Scope 1 (MeT Co2)]]</f>
        <v>#ERROR!</v>
      </c>
      <c r="AG63" s="214" t="str">
        <f t="shared" si="1"/>
        <v>#ERROR!</v>
      </c>
      <c r="AH63" s="215" t="str">
        <f t="shared" si="2"/>
        <v>#ERROR!</v>
      </c>
      <c r="AI63" s="209"/>
      <c r="AJ63" s="209"/>
      <c r="AK63" s="212" t="s">
        <v>1255</v>
      </c>
      <c r="AL63" s="212" t="s">
        <v>1256</v>
      </c>
      <c r="AM63" s="213" t="str">
        <f>Table1[[#This Row],[2019 Scope 2 ]]</f>
        <v>#ERROR!</v>
      </c>
      <c r="AN63" s="214" t="str">
        <f t="shared" si="3"/>
        <v>#ERROR!</v>
      </c>
      <c r="AO63" s="215" t="str">
        <f t="shared" si="4"/>
        <v>#ERROR!</v>
      </c>
      <c r="AP63" s="214" t="str">
        <f t="shared" si="5"/>
        <v>#ERROR!</v>
      </c>
      <c r="AQ63" s="215" t="str">
        <f t="shared" si="6"/>
        <v>#ERROR!</v>
      </c>
      <c r="AR63" s="216" t="str">
        <f>Table1[[#This Row],[2019 Scope 3 ]]</f>
        <v>#ERROR!</v>
      </c>
      <c r="AS63" s="217" t="str">
        <f t="shared" si="7"/>
        <v>#ERROR!</v>
      </c>
      <c r="AT63" s="218" t="str">
        <f t="shared" si="8"/>
        <v>#ERROR!</v>
      </c>
      <c r="BI63" s="4">
        <v>11581.0</v>
      </c>
    </row>
    <row r="64" ht="12.75" customHeight="1">
      <c r="A64" s="5">
        <f>companies!A64</f>
        <v>63</v>
      </c>
      <c r="B64" s="199" t="s">
        <v>1254</v>
      </c>
      <c r="C64" s="210">
        <v>65312.0</v>
      </c>
      <c r="D64" s="210">
        <v>233364.0</v>
      </c>
      <c r="E64" s="210">
        <v>233364.0</v>
      </c>
      <c r="F64" s="210"/>
      <c r="G64" s="210"/>
      <c r="H64" s="210"/>
      <c r="I64" s="210"/>
      <c r="J64" s="210"/>
      <c r="K64" s="210"/>
      <c r="L64" s="210"/>
      <c r="M64" s="211"/>
      <c r="N64" s="211"/>
      <c r="O64" s="211"/>
      <c r="P64" s="211"/>
      <c r="Q64" s="211"/>
      <c r="R64" s="210"/>
      <c r="S64" s="211"/>
      <c r="T64" s="211"/>
      <c r="U64" s="211"/>
      <c r="V64" s="211"/>
      <c r="W64" s="210">
        <v>238792.0</v>
      </c>
      <c r="X64" s="199">
        <v>233364.0</v>
      </c>
      <c r="Y64" s="199">
        <v>537468.0</v>
      </c>
      <c r="Z64" s="199"/>
      <c r="AA64" s="199"/>
      <c r="AB64" s="199"/>
      <c r="AC64" s="199"/>
      <c r="AD64" s="212" t="s">
        <v>683</v>
      </c>
      <c r="AE64" s="212" t="s">
        <v>683</v>
      </c>
      <c r="AF64" s="213" t="str">
        <f>Table1[[#This Row],[2019 Scope 1 (MeT Co2)]]</f>
        <v>#ERROR!</v>
      </c>
      <c r="AG64" s="214" t="str">
        <f t="shared" si="1"/>
        <v>#ERROR!</v>
      </c>
      <c r="AH64" s="215" t="str">
        <f t="shared" si="2"/>
        <v>#ERROR!</v>
      </c>
      <c r="AI64" s="209"/>
      <c r="AJ64" s="209"/>
      <c r="AK64" s="212" t="s">
        <v>683</v>
      </c>
      <c r="AL64" s="212" t="s">
        <v>683</v>
      </c>
      <c r="AM64" s="213" t="str">
        <f>Table1[[#This Row],[2019 Scope 2 ]]</f>
        <v>#ERROR!</v>
      </c>
      <c r="AN64" s="214" t="str">
        <f t="shared" si="3"/>
        <v>#ERROR!</v>
      </c>
      <c r="AO64" s="215" t="str">
        <f t="shared" si="4"/>
        <v>#ERROR!</v>
      </c>
      <c r="AP64" s="214" t="str">
        <f t="shared" si="5"/>
        <v>#ERROR!</v>
      </c>
      <c r="AQ64" s="215" t="str">
        <f t="shared" si="6"/>
        <v>#ERROR!</v>
      </c>
      <c r="AR64" s="216" t="str">
        <f>Table1[[#This Row],[2019 Scope 3 ]]</f>
        <v>#ERROR!</v>
      </c>
      <c r="AS64" s="217" t="str">
        <f t="shared" si="7"/>
        <v>#ERROR!</v>
      </c>
      <c r="AT64" s="218" t="str">
        <f t="shared" si="8"/>
        <v>#ERROR!</v>
      </c>
      <c r="BI64" s="199">
        <v>11651.0</v>
      </c>
    </row>
    <row r="65" ht="12.75" customHeight="1">
      <c r="A65" s="5">
        <f>companies!A65</f>
        <v>64</v>
      </c>
      <c r="B65" s="199" t="s">
        <v>1254</v>
      </c>
      <c r="C65" s="210">
        <v>783500.0</v>
      </c>
      <c r="D65" s="210">
        <v>389700.0</v>
      </c>
      <c r="E65" s="210">
        <v>389700.0</v>
      </c>
      <c r="F65" s="210"/>
      <c r="G65" s="210"/>
      <c r="H65" s="210"/>
      <c r="I65" s="210"/>
      <c r="J65" s="210"/>
      <c r="K65" s="210"/>
      <c r="L65" s="210"/>
      <c r="M65" s="211"/>
      <c r="N65" s="211"/>
      <c r="O65" s="211"/>
      <c r="P65" s="211"/>
      <c r="Q65" s="211"/>
      <c r="R65" s="210"/>
      <c r="S65" s="211"/>
      <c r="T65" s="211"/>
      <c r="U65" s="211"/>
      <c r="V65" s="211"/>
      <c r="W65" s="210">
        <v>6231700.0</v>
      </c>
      <c r="X65" s="199">
        <v>389700.0</v>
      </c>
      <c r="Y65" s="199">
        <v>7404900.0</v>
      </c>
      <c r="Z65" s="199"/>
      <c r="AA65" s="199"/>
      <c r="AB65" s="199"/>
      <c r="AC65" s="199"/>
      <c r="AD65" s="212" t="s">
        <v>683</v>
      </c>
      <c r="AE65" s="212" t="s">
        <v>683</v>
      </c>
      <c r="AF65" s="213" t="str">
        <f>Table1[[#This Row],[2019 Scope 1 (MeT Co2)]]</f>
        <v>#ERROR!</v>
      </c>
      <c r="AG65" s="214" t="str">
        <f t="shared" si="1"/>
        <v>#ERROR!</v>
      </c>
      <c r="AH65" s="215" t="str">
        <f t="shared" si="2"/>
        <v>#ERROR!</v>
      </c>
      <c r="AI65" s="209"/>
      <c r="AJ65" s="209"/>
      <c r="AK65" s="212" t="s">
        <v>683</v>
      </c>
      <c r="AL65" s="212" t="s">
        <v>683</v>
      </c>
      <c r="AM65" s="213" t="str">
        <f>Table1[[#This Row],[2019 Scope 2 ]]</f>
        <v>#ERROR!</v>
      </c>
      <c r="AN65" s="214" t="str">
        <f t="shared" si="3"/>
        <v>#ERROR!</v>
      </c>
      <c r="AO65" s="215" t="str">
        <f t="shared" si="4"/>
        <v>#ERROR!</v>
      </c>
      <c r="AP65" s="214" t="str">
        <f t="shared" si="5"/>
        <v>#ERROR!</v>
      </c>
      <c r="AQ65" s="215" t="str">
        <f t="shared" si="6"/>
        <v>#ERROR!</v>
      </c>
      <c r="AR65" s="216" t="str">
        <f>Table1[[#This Row],[2019 Scope 3 ]]</f>
        <v>#ERROR!</v>
      </c>
      <c r="AS65" s="217" t="str">
        <f t="shared" si="7"/>
        <v>#ERROR!</v>
      </c>
      <c r="AT65" s="218" t="str">
        <f t="shared" si="8"/>
        <v>#ERROR!</v>
      </c>
      <c r="BI65" s="4">
        <v>11765.0</v>
      </c>
    </row>
    <row r="66" ht="12.75" customHeight="1">
      <c r="A66" s="5">
        <f>companies!A66</f>
        <v>65</v>
      </c>
      <c r="B66" s="199" t="s">
        <v>1254</v>
      </c>
      <c r="C66" s="210">
        <v>16016.0</v>
      </c>
      <c r="D66" s="210">
        <v>0.0</v>
      </c>
      <c r="E66" s="210">
        <v>0.0</v>
      </c>
      <c r="F66" s="210"/>
      <c r="G66" s="210"/>
      <c r="H66" s="210"/>
      <c r="I66" s="210"/>
      <c r="J66" s="210"/>
      <c r="K66" s="210"/>
      <c r="L66" s="210"/>
      <c r="M66" s="211"/>
      <c r="N66" s="211"/>
      <c r="O66" s="211"/>
      <c r="P66" s="211"/>
      <c r="Q66" s="211"/>
      <c r="R66" s="210"/>
      <c r="S66" s="211"/>
      <c r="T66" s="211"/>
      <c r="U66" s="211"/>
      <c r="V66" s="211"/>
      <c r="W66" s="210">
        <v>26381.0</v>
      </c>
      <c r="X66" s="199" t="b">
        <v>0</v>
      </c>
      <c r="Y66" s="199">
        <v>42397.0</v>
      </c>
      <c r="Z66" s="199"/>
      <c r="AA66" s="199"/>
      <c r="AB66" s="199"/>
      <c r="AC66" s="199"/>
      <c r="AD66" s="212" t="s">
        <v>683</v>
      </c>
      <c r="AE66" s="212" t="s">
        <v>683</v>
      </c>
      <c r="AF66" s="213" t="str">
        <f>Table1[[#This Row],[2019 Scope 1 (MeT Co2)]]</f>
        <v>#ERROR!</v>
      </c>
      <c r="AG66" s="214" t="str">
        <f t="shared" si="1"/>
        <v>#ERROR!</v>
      </c>
      <c r="AH66" s="215" t="str">
        <f t="shared" si="2"/>
        <v>#ERROR!</v>
      </c>
      <c r="AI66" s="209"/>
      <c r="AJ66" s="209"/>
      <c r="AK66" s="212" t="s">
        <v>683</v>
      </c>
      <c r="AL66" s="212" t="s">
        <v>683</v>
      </c>
      <c r="AM66" s="213" t="str">
        <f>Table1[[#This Row],[2019 Scope 2 ]]</f>
        <v>#ERROR!</v>
      </c>
      <c r="AN66" s="214" t="str">
        <f t="shared" si="3"/>
        <v>#ERROR!</v>
      </c>
      <c r="AO66" s="215" t="str">
        <f t="shared" si="4"/>
        <v>#ERROR!</v>
      </c>
      <c r="AP66" s="214" t="str">
        <f t="shared" si="5"/>
        <v>#ERROR!</v>
      </c>
      <c r="AQ66" s="215" t="str">
        <f t="shared" si="6"/>
        <v>#ERROR!</v>
      </c>
      <c r="AR66" s="216" t="str">
        <f>Table1[[#This Row],[2019 Scope 3 ]]</f>
        <v>#ERROR!</v>
      </c>
      <c r="AS66" s="217" t="str">
        <f t="shared" si="7"/>
        <v>#ERROR!</v>
      </c>
      <c r="AT66" s="218" t="str">
        <f t="shared" si="8"/>
        <v>#ERROR!</v>
      </c>
      <c r="BI66" s="4">
        <v>11796.0</v>
      </c>
    </row>
    <row r="67" ht="12.75" customHeight="1">
      <c r="A67" s="5">
        <f>companies!A67</f>
        <v>66</v>
      </c>
      <c r="B67" s="199" t="s">
        <v>1254</v>
      </c>
      <c r="C67" s="210">
        <v>90723.0</v>
      </c>
      <c r="D67" s="210">
        <v>183329.0</v>
      </c>
      <c r="E67" s="210">
        <v>183329.0</v>
      </c>
      <c r="F67" s="210"/>
      <c r="G67" s="210"/>
      <c r="H67" s="210"/>
      <c r="I67" s="210"/>
      <c r="J67" s="210"/>
      <c r="K67" s="210"/>
      <c r="L67" s="210"/>
      <c r="M67" s="211"/>
      <c r="N67" s="211"/>
      <c r="O67" s="211"/>
      <c r="P67" s="211"/>
      <c r="Q67" s="211"/>
      <c r="R67" s="210"/>
      <c r="S67" s="211"/>
      <c r="T67" s="211"/>
      <c r="U67" s="211"/>
      <c r="V67" s="211"/>
      <c r="W67" s="210">
        <v>1.1820948E7</v>
      </c>
      <c r="X67" s="199">
        <v>183329.0</v>
      </c>
      <c r="Y67" s="199">
        <v>1.2095E7</v>
      </c>
      <c r="Z67" s="199"/>
      <c r="AA67" s="199"/>
      <c r="AB67" s="199"/>
      <c r="AC67" s="199"/>
      <c r="AD67" s="212" t="s">
        <v>683</v>
      </c>
      <c r="AE67" s="212" t="s">
        <v>683</v>
      </c>
      <c r="AF67" s="213" t="str">
        <f>Table1[[#This Row],[2019 Scope 1 (MeT Co2)]]</f>
        <v>#ERROR!</v>
      </c>
      <c r="AG67" s="214" t="str">
        <f t="shared" si="1"/>
        <v>#ERROR!</v>
      </c>
      <c r="AH67" s="215" t="str">
        <f t="shared" si="2"/>
        <v>#ERROR!</v>
      </c>
      <c r="AI67" s="209"/>
      <c r="AJ67" s="209"/>
      <c r="AK67" s="212" t="s">
        <v>683</v>
      </c>
      <c r="AL67" s="212" t="s">
        <v>683</v>
      </c>
      <c r="AM67" s="213" t="str">
        <f>Table1[[#This Row],[2019 Scope 2 ]]</f>
        <v>#ERROR!</v>
      </c>
      <c r="AN67" s="214" t="str">
        <f t="shared" si="3"/>
        <v>#ERROR!</v>
      </c>
      <c r="AO67" s="215" t="str">
        <f t="shared" si="4"/>
        <v>#ERROR!</v>
      </c>
      <c r="AP67" s="214" t="str">
        <f t="shared" si="5"/>
        <v>#ERROR!</v>
      </c>
      <c r="AQ67" s="215" t="str">
        <f t="shared" si="6"/>
        <v>#ERROR!</v>
      </c>
      <c r="AR67" s="216" t="str">
        <f>Table1[[#This Row],[2019 Scope 3 ]]</f>
        <v>#ERROR!</v>
      </c>
      <c r="AS67" s="217" t="str">
        <f t="shared" si="7"/>
        <v>#ERROR!</v>
      </c>
      <c r="AT67" s="218" t="str">
        <f t="shared" si="8"/>
        <v>#ERROR!</v>
      </c>
      <c r="BI67" s="4">
        <v>11930.0</v>
      </c>
    </row>
    <row r="68" ht="12.75" customHeight="1">
      <c r="A68" s="5">
        <f>companies!A68</f>
        <v>67</v>
      </c>
      <c r="B68" s="199" t="s">
        <v>1254</v>
      </c>
      <c r="C68" s="210">
        <v>819933.0</v>
      </c>
      <c r="D68" s="210">
        <v>958647.0</v>
      </c>
      <c r="E68" s="210">
        <v>958647.0</v>
      </c>
      <c r="F68" s="210"/>
      <c r="G68" s="210"/>
      <c r="H68" s="210"/>
      <c r="I68" s="210"/>
      <c r="J68" s="210"/>
      <c r="K68" s="210"/>
      <c r="L68" s="210"/>
      <c r="M68" s="211"/>
      <c r="N68" s="211"/>
      <c r="O68" s="211"/>
      <c r="P68" s="211"/>
      <c r="Q68" s="211"/>
      <c r="R68" s="210"/>
      <c r="S68" s="211"/>
      <c r="T68" s="211"/>
      <c r="U68" s="211"/>
      <c r="V68" s="211"/>
      <c r="W68" s="210">
        <v>2.1729924E7</v>
      </c>
      <c r="X68" s="199">
        <v>958647.0</v>
      </c>
      <c r="Y68" s="199">
        <v>2.3508504E7</v>
      </c>
      <c r="Z68" s="199"/>
      <c r="AA68" s="199"/>
      <c r="AB68" s="199"/>
      <c r="AC68" s="199"/>
      <c r="AD68" s="212" t="s">
        <v>683</v>
      </c>
      <c r="AE68" s="212" t="s">
        <v>683</v>
      </c>
      <c r="AF68" s="213" t="str">
        <f>Table1[[#This Row],[2019 Scope 1 (MeT Co2)]]</f>
        <v>#ERROR!</v>
      </c>
      <c r="AG68" s="214" t="str">
        <f t="shared" si="1"/>
        <v>#ERROR!</v>
      </c>
      <c r="AH68" s="215" t="str">
        <f t="shared" si="2"/>
        <v>#ERROR!</v>
      </c>
      <c r="AI68" s="209"/>
      <c r="AJ68" s="209"/>
      <c r="AK68" s="212" t="s">
        <v>683</v>
      </c>
      <c r="AL68" s="212" t="s">
        <v>683</v>
      </c>
      <c r="AM68" s="213" t="str">
        <f>Table1[[#This Row],[2019 Scope 2 ]]</f>
        <v>#ERROR!</v>
      </c>
      <c r="AN68" s="214" t="str">
        <f t="shared" si="3"/>
        <v>#ERROR!</v>
      </c>
      <c r="AO68" s="215" t="str">
        <f t="shared" si="4"/>
        <v>#ERROR!</v>
      </c>
      <c r="AP68" s="214" t="str">
        <f t="shared" si="5"/>
        <v>#ERROR!</v>
      </c>
      <c r="AQ68" s="215" t="str">
        <f t="shared" si="6"/>
        <v>#ERROR!</v>
      </c>
      <c r="AR68" s="216" t="str">
        <f>Table1[[#This Row],[2019 Scope 3 ]]</f>
        <v>#ERROR!</v>
      </c>
      <c r="AS68" s="217" t="str">
        <f t="shared" si="7"/>
        <v>#ERROR!</v>
      </c>
      <c r="AT68" s="218" t="str">
        <f t="shared" si="8"/>
        <v>#ERROR!</v>
      </c>
      <c r="BI68" s="4">
        <v>42037.0</v>
      </c>
    </row>
    <row r="69" ht="12.75" customHeight="1">
      <c r="A69" s="5">
        <f>companies!A69</f>
        <v>68</v>
      </c>
      <c r="B69" s="199" t="s">
        <v>1254</v>
      </c>
      <c r="C69" s="210">
        <v>29800.0</v>
      </c>
      <c r="D69" s="210">
        <v>183900.0</v>
      </c>
      <c r="E69" s="210">
        <v>183900.0</v>
      </c>
      <c r="F69" s="210"/>
      <c r="G69" s="210"/>
      <c r="H69" s="210"/>
      <c r="I69" s="210"/>
      <c r="J69" s="210"/>
      <c r="K69" s="210"/>
      <c r="L69" s="210"/>
      <c r="M69" s="211"/>
      <c r="N69" s="211"/>
      <c r="O69" s="211"/>
      <c r="P69" s="211"/>
      <c r="Q69" s="211"/>
      <c r="R69" s="210"/>
      <c r="S69" s="211"/>
      <c r="T69" s="211"/>
      <c r="U69" s="211"/>
      <c r="V69" s="211"/>
      <c r="W69" s="210">
        <v>1227000.0</v>
      </c>
      <c r="X69" s="199">
        <v>183900.0</v>
      </c>
      <c r="Y69" s="199">
        <v>1440700.0</v>
      </c>
      <c r="Z69" s="199"/>
      <c r="AA69" s="199"/>
      <c r="AB69" s="199"/>
      <c r="AC69" s="199"/>
      <c r="AD69" s="212" t="s">
        <v>683</v>
      </c>
      <c r="AE69" s="212" t="s">
        <v>683</v>
      </c>
      <c r="AF69" s="213" t="str">
        <f>Table1[[#This Row],[2019 Scope 1 (MeT Co2)]]</f>
        <v>#ERROR!</v>
      </c>
      <c r="AG69" s="214" t="str">
        <f t="shared" si="1"/>
        <v>#ERROR!</v>
      </c>
      <c r="AH69" s="215" t="str">
        <f t="shared" si="2"/>
        <v>#ERROR!</v>
      </c>
      <c r="AI69" s="209"/>
      <c r="AJ69" s="209"/>
      <c r="AK69" s="212" t="s">
        <v>683</v>
      </c>
      <c r="AL69" s="212" t="s">
        <v>683</v>
      </c>
      <c r="AM69" s="213" t="str">
        <f>Table1[[#This Row],[2019 Scope 2 ]]</f>
        <v>#ERROR!</v>
      </c>
      <c r="AN69" s="214" t="str">
        <f t="shared" si="3"/>
        <v>#ERROR!</v>
      </c>
      <c r="AO69" s="215" t="str">
        <f t="shared" si="4"/>
        <v>#ERROR!</v>
      </c>
      <c r="AP69" s="214" t="str">
        <f t="shared" si="5"/>
        <v>#ERROR!</v>
      </c>
      <c r="AQ69" s="215" t="str">
        <f t="shared" si="6"/>
        <v>#ERROR!</v>
      </c>
      <c r="AR69" s="216" t="str">
        <f>Table1[[#This Row],[2019 Scope 3 ]]</f>
        <v>#ERROR!</v>
      </c>
      <c r="AS69" s="217" t="str">
        <f t="shared" si="7"/>
        <v>#ERROR!</v>
      </c>
      <c r="AT69" s="218" t="str">
        <f t="shared" si="8"/>
        <v>#ERROR!</v>
      </c>
      <c r="BI69" s="4">
        <v>12406.0</v>
      </c>
    </row>
    <row r="70" ht="12.75" customHeight="1">
      <c r="A70" s="5">
        <f>companies!A70</f>
        <v>69</v>
      </c>
      <c r="B70" s="199" t="s">
        <v>1254</v>
      </c>
      <c r="C70" s="210" t="s">
        <v>536</v>
      </c>
      <c r="D70" s="210" t="s">
        <v>536</v>
      </c>
      <c r="E70" s="210" t="s">
        <v>536</v>
      </c>
      <c r="F70" s="210"/>
      <c r="G70" s="210"/>
      <c r="H70" s="210"/>
      <c r="I70" s="210"/>
      <c r="J70" s="210"/>
      <c r="K70" s="210"/>
      <c r="L70" s="210"/>
      <c r="M70" s="211"/>
      <c r="N70" s="211"/>
      <c r="O70" s="211"/>
      <c r="P70" s="211"/>
      <c r="Q70" s="211"/>
      <c r="R70" s="210"/>
      <c r="S70" s="211"/>
      <c r="T70" s="211"/>
      <c r="U70" s="211"/>
      <c r="V70" s="211"/>
      <c r="W70" s="210" t="s">
        <v>536</v>
      </c>
      <c r="X70" s="199">
        <v>0.0</v>
      </c>
      <c r="Y70" s="199"/>
      <c r="Z70" s="212"/>
      <c r="AA70" s="212"/>
      <c r="AB70" s="212"/>
      <c r="AC70" s="212"/>
      <c r="AD70" s="212" t="e">
        <v>#N/A</v>
      </c>
      <c r="AE70" s="212" t="e">
        <v>#N/A</v>
      </c>
      <c r="AF70" s="213" t="str">
        <f>Table1[[#This Row],[2019 Scope 1 (MeT Co2)]]</f>
        <v>#ERROR!</v>
      </c>
      <c r="AG70" s="214" t="str">
        <f t="shared" si="1"/>
        <v>#ERROR!</v>
      </c>
      <c r="AH70" s="215" t="str">
        <f t="shared" si="2"/>
        <v>#ERROR!</v>
      </c>
      <c r="AI70" s="209"/>
      <c r="AJ70" s="209"/>
      <c r="AK70" s="212" t="e">
        <v>#N/A</v>
      </c>
      <c r="AL70" s="212" t="e">
        <v>#N/A</v>
      </c>
      <c r="AM70" s="213" t="str">
        <f>Table1[[#This Row],[2019 Scope 2 ]]</f>
        <v>#ERROR!</v>
      </c>
      <c r="AN70" s="214" t="str">
        <f t="shared" si="3"/>
        <v>#ERROR!</v>
      </c>
      <c r="AO70" s="215" t="str">
        <f t="shared" si="4"/>
        <v>#ERROR!</v>
      </c>
      <c r="AP70" s="214" t="str">
        <f t="shared" si="5"/>
        <v>#ERROR!</v>
      </c>
      <c r="AQ70" s="215" t="str">
        <f t="shared" si="6"/>
        <v>#ERROR!</v>
      </c>
      <c r="AR70" s="216" t="str">
        <f>Table1[[#This Row],[2019 Scope 3 ]]</f>
        <v>#ERROR!</v>
      </c>
      <c r="AS70" s="217" t="str">
        <f t="shared" si="7"/>
        <v>#ERROR!</v>
      </c>
      <c r="AT70" s="218" t="str">
        <f t="shared" si="8"/>
        <v>#ERROR!</v>
      </c>
    </row>
    <row r="71" ht="12.75" customHeight="1">
      <c r="A71" s="5">
        <f>companies!A71</f>
        <v>70</v>
      </c>
      <c r="B71" s="199" t="s">
        <v>1254</v>
      </c>
      <c r="C71" s="210" t="s">
        <v>536</v>
      </c>
      <c r="D71" s="210" t="s">
        <v>536</v>
      </c>
      <c r="E71" s="210" t="s">
        <v>536</v>
      </c>
      <c r="F71" s="210"/>
      <c r="G71" s="210"/>
      <c r="H71" s="210"/>
      <c r="I71" s="210"/>
      <c r="J71" s="210"/>
      <c r="K71" s="210"/>
      <c r="L71" s="210"/>
      <c r="M71" s="211"/>
      <c r="N71" s="211"/>
      <c r="O71" s="211"/>
      <c r="P71" s="211"/>
      <c r="Q71" s="211"/>
      <c r="R71" s="210"/>
      <c r="S71" s="211"/>
      <c r="T71" s="211"/>
      <c r="U71" s="211"/>
      <c r="V71" s="211"/>
      <c r="W71" s="210" t="s">
        <v>536</v>
      </c>
      <c r="X71" s="199">
        <v>0.0</v>
      </c>
      <c r="Y71" s="199"/>
      <c r="Z71" s="212"/>
      <c r="AA71" s="212"/>
      <c r="AB71" s="212"/>
      <c r="AC71" s="212"/>
      <c r="AD71" s="212" t="e">
        <v>#N/A</v>
      </c>
      <c r="AE71" s="212" t="e">
        <v>#N/A</v>
      </c>
      <c r="AF71" s="213" t="str">
        <f>Table1[[#This Row],[2019 Scope 1 (MeT Co2)]]</f>
        <v>#ERROR!</v>
      </c>
      <c r="AG71" s="214" t="str">
        <f t="shared" si="1"/>
        <v>#ERROR!</v>
      </c>
      <c r="AH71" s="215" t="str">
        <f t="shared" si="2"/>
        <v>#ERROR!</v>
      </c>
      <c r="AI71" s="209"/>
      <c r="AJ71" s="209"/>
      <c r="AK71" s="212" t="e">
        <v>#N/A</v>
      </c>
      <c r="AL71" s="212" t="e">
        <v>#N/A</v>
      </c>
      <c r="AM71" s="213" t="str">
        <f>Table1[[#This Row],[2019 Scope 2 ]]</f>
        <v>#ERROR!</v>
      </c>
      <c r="AN71" s="214" t="str">
        <f t="shared" si="3"/>
        <v>#ERROR!</v>
      </c>
      <c r="AO71" s="215" t="str">
        <f t="shared" si="4"/>
        <v>#ERROR!</v>
      </c>
      <c r="AP71" s="214" t="str">
        <f t="shared" si="5"/>
        <v>#ERROR!</v>
      </c>
      <c r="AQ71" s="215" t="str">
        <f t="shared" si="6"/>
        <v>#ERROR!</v>
      </c>
      <c r="AR71" s="216" t="str">
        <f>Table1[[#This Row],[2019 Scope 3 ]]</f>
        <v>#ERROR!</v>
      </c>
      <c r="AS71" s="217" t="str">
        <f t="shared" si="7"/>
        <v>#ERROR!</v>
      </c>
      <c r="AT71" s="218" t="str">
        <f t="shared" si="8"/>
        <v>#ERROR!</v>
      </c>
    </row>
    <row r="72" ht="12.75" customHeight="1">
      <c r="A72" s="5">
        <f>companies!A72</f>
        <v>71</v>
      </c>
      <c r="B72" s="199" t="s">
        <v>1254</v>
      </c>
      <c r="C72" s="210">
        <v>41942.0</v>
      </c>
      <c r="D72" s="210">
        <v>218240.0</v>
      </c>
      <c r="E72" s="210">
        <v>218240.0</v>
      </c>
      <c r="F72" s="210"/>
      <c r="G72" s="210"/>
      <c r="H72" s="210"/>
      <c r="I72" s="210"/>
      <c r="J72" s="210"/>
      <c r="K72" s="210"/>
      <c r="L72" s="210"/>
      <c r="M72" s="211"/>
      <c r="N72" s="211"/>
      <c r="O72" s="211"/>
      <c r="P72" s="211"/>
      <c r="Q72" s="211"/>
      <c r="R72" s="210"/>
      <c r="S72" s="211"/>
      <c r="T72" s="211"/>
      <c r="U72" s="211"/>
      <c r="V72" s="211"/>
      <c r="W72" s="210">
        <v>2787707.0</v>
      </c>
      <c r="X72" s="199">
        <v>218240.0</v>
      </c>
      <c r="Y72" s="199">
        <v>3047889.0</v>
      </c>
      <c r="Z72" s="199"/>
      <c r="AA72" s="199"/>
      <c r="AB72" s="199"/>
      <c r="AC72" s="199"/>
      <c r="AD72" s="212" t="s">
        <v>1260</v>
      </c>
      <c r="AE72" s="212" t="s">
        <v>1261</v>
      </c>
      <c r="AF72" s="213" t="str">
        <f>Table1[[#This Row],[2019 Scope 1 (MeT Co2)]]</f>
        <v>#ERROR!</v>
      </c>
      <c r="AG72" s="214" t="str">
        <f t="shared" si="1"/>
        <v>#ERROR!</v>
      </c>
      <c r="AH72" s="215" t="str">
        <f t="shared" si="2"/>
        <v>#ERROR!</v>
      </c>
      <c r="AI72" s="209"/>
      <c r="AJ72" s="209"/>
      <c r="AK72" s="212" t="s">
        <v>1260</v>
      </c>
      <c r="AL72" s="212" t="s">
        <v>1261</v>
      </c>
      <c r="AM72" s="213" t="str">
        <f>Table1[[#This Row],[2019 Scope 2 ]]</f>
        <v>#ERROR!</v>
      </c>
      <c r="AN72" s="214" t="str">
        <f t="shared" si="3"/>
        <v>#ERROR!</v>
      </c>
      <c r="AO72" s="215" t="str">
        <f t="shared" si="4"/>
        <v>#ERROR!</v>
      </c>
      <c r="AP72" s="214" t="str">
        <f t="shared" si="5"/>
        <v>#ERROR!</v>
      </c>
      <c r="AQ72" s="215" t="str">
        <f t="shared" si="6"/>
        <v>#ERROR!</v>
      </c>
      <c r="AR72" s="216" t="str">
        <f>Table1[[#This Row],[2019 Scope 3 ]]</f>
        <v>#ERROR!</v>
      </c>
      <c r="AS72" s="217" t="str">
        <f t="shared" si="7"/>
        <v>#ERROR!</v>
      </c>
      <c r="AT72" s="218" t="str">
        <f t="shared" si="8"/>
        <v>#ERROR!</v>
      </c>
      <c r="BI72" s="4">
        <v>13279.0</v>
      </c>
    </row>
    <row r="73" ht="12.75" customHeight="1">
      <c r="A73" s="5">
        <f>companies!A73</f>
        <v>72</v>
      </c>
      <c r="B73" s="199" t="s">
        <v>1254</v>
      </c>
      <c r="C73" s="210">
        <v>2370.0</v>
      </c>
      <c r="D73" s="210">
        <v>56903.0</v>
      </c>
      <c r="E73" s="210">
        <v>56903.0</v>
      </c>
      <c r="F73" s="210"/>
      <c r="G73" s="210"/>
      <c r="H73" s="210"/>
      <c r="I73" s="210"/>
      <c r="J73" s="210"/>
      <c r="K73" s="210"/>
      <c r="L73" s="210"/>
      <c r="M73" s="211"/>
      <c r="N73" s="211"/>
      <c r="O73" s="211"/>
      <c r="P73" s="211"/>
      <c r="Q73" s="211"/>
      <c r="R73" s="210"/>
      <c r="S73" s="211"/>
      <c r="T73" s="211"/>
      <c r="U73" s="211"/>
      <c r="V73" s="211"/>
      <c r="W73" s="210">
        <v>326648.0</v>
      </c>
      <c r="X73" s="199">
        <v>56903.0</v>
      </c>
      <c r="Y73" s="199">
        <v>385921.0</v>
      </c>
      <c r="Z73" s="199"/>
      <c r="AA73" s="199"/>
      <c r="AB73" s="199"/>
      <c r="AC73" s="199"/>
      <c r="AD73" s="212" t="s">
        <v>683</v>
      </c>
      <c r="AE73" s="212" t="s">
        <v>683</v>
      </c>
      <c r="AF73" s="213" t="str">
        <f>Table1[[#This Row],[2019 Scope 1 (MeT Co2)]]</f>
        <v>#ERROR!</v>
      </c>
      <c r="AG73" s="214" t="str">
        <f t="shared" si="1"/>
        <v>#ERROR!</v>
      </c>
      <c r="AH73" s="215" t="str">
        <f t="shared" si="2"/>
        <v>#ERROR!</v>
      </c>
      <c r="AI73" s="209"/>
      <c r="AJ73" s="209"/>
      <c r="AK73" s="212" t="s">
        <v>683</v>
      </c>
      <c r="AL73" s="212" t="s">
        <v>683</v>
      </c>
      <c r="AM73" s="213" t="str">
        <f>Table1[[#This Row],[2019 Scope 2 ]]</f>
        <v>#ERROR!</v>
      </c>
      <c r="AN73" s="214" t="str">
        <f t="shared" si="3"/>
        <v>#ERROR!</v>
      </c>
      <c r="AO73" s="219" t="str">
        <f t="shared" si="4"/>
        <v>#ERROR!</v>
      </c>
      <c r="AP73" s="214" t="str">
        <f t="shared" si="5"/>
        <v>#ERROR!</v>
      </c>
      <c r="AQ73" s="219" t="str">
        <f t="shared" si="6"/>
        <v>#ERROR!</v>
      </c>
      <c r="AR73" s="216" t="str">
        <f>Table1[[#This Row],[2019 Scope 3 ]]</f>
        <v>#ERROR!</v>
      </c>
      <c r="AS73" s="217" t="str">
        <f t="shared" si="7"/>
        <v>#ERROR!</v>
      </c>
      <c r="AT73" s="218" t="str">
        <f t="shared" si="8"/>
        <v>#ERROR!</v>
      </c>
      <c r="BI73" s="199">
        <v>13604.0</v>
      </c>
    </row>
    <row r="74" ht="12.75" customHeight="1">
      <c r="A74" s="5">
        <f>companies!A74</f>
        <v>73</v>
      </c>
      <c r="B74" s="199" t="s">
        <v>1254</v>
      </c>
      <c r="C74" s="210">
        <v>1.037E7</v>
      </c>
      <c r="D74" s="210">
        <v>4100000.0</v>
      </c>
      <c r="E74" s="210">
        <v>4100000.0</v>
      </c>
      <c r="F74" s="210"/>
      <c r="G74" s="210"/>
      <c r="H74" s="210"/>
      <c r="I74" s="210"/>
      <c r="J74" s="210"/>
      <c r="K74" s="210"/>
      <c r="L74" s="210"/>
      <c r="M74" s="211"/>
      <c r="N74" s="211"/>
      <c r="O74" s="211"/>
      <c r="P74" s="211"/>
      <c r="Q74" s="211"/>
      <c r="R74" s="210"/>
      <c r="S74" s="211"/>
      <c r="T74" s="211"/>
      <c r="U74" s="211"/>
      <c r="V74" s="211"/>
      <c r="W74" s="210">
        <v>7.1E7</v>
      </c>
      <c r="X74" s="199">
        <v>4100000.0</v>
      </c>
      <c r="Y74" s="199">
        <v>8.547E7</v>
      </c>
      <c r="Z74" s="212"/>
      <c r="AA74" s="212"/>
      <c r="AB74" s="212"/>
      <c r="AC74" s="212"/>
      <c r="AD74" s="212" t="s">
        <v>683</v>
      </c>
      <c r="AE74" s="212" t="s">
        <v>683</v>
      </c>
      <c r="AF74" s="213" t="str">
        <f>Table1[[#This Row],[2019 Scope 1 (MeT Co2)]]</f>
        <v>#ERROR!</v>
      </c>
      <c r="AG74" s="214" t="str">
        <f t="shared" si="1"/>
        <v>#ERROR!</v>
      </c>
      <c r="AH74" s="215" t="str">
        <f t="shared" si="2"/>
        <v>#ERROR!</v>
      </c>
      <c r="AI74" s="209"/>
      <c r="AJ74" s="209"/>
      <c r="AK74" s="212" t="s">
        <v>683</v>
      </c>
      <c r="AL74" s="212" t="s">
        <v>683</v>
      </c>
      <c r="AM74" s="213" t="str">
        <f>Table1[[#This Row],[2019 Scope 2 ]]</f>
        <v>#ERROR!</v>
      </c>
      <c r="AN74" s="214" t="str">
        <f t="shared" si="3"/>
        <v>#ERROR!</v>
      </c>
      <c r="AO74" s="215" t="str">
        <f t="shared" si="4"/>
        <v>#ERROR!</v>
      </c>
      <c r="AP74" s="214" t="str">
        <f t="shared" si="5"/>
        <v>#ERROR!</v>
      </c>
      <c r="AQ74" s="215" t="str">
        <f t="shared" si="6"/>
        <v>#ERROR!</v>
      </c>
      <c r="AR74" s="216" t="str">
        <f>Table1[[#This Row],[2019 Scope 3 ]]</f>
        <v>#ERROR!</v>
      </c>
      <c r="AS74" s="217" t="str">
        <f t="shared" si="7"/>
        <v>#ERROR!</v>
      </c>
      <c r="AT74" s="218" t="str">
        <f t="shared" si="8"/>
        <v>#ERROR!</v>
      </c>
      <c r="BI74" s="4">
        <v>13649.0</v>
      </c>
    </row>
    <row r="75" ht="12.75" customHeight="1">
      <c r="A75" s="5">
        <f>companies!A75</f>
        <v>74</v>
      </c>
      <c r="B75" s="199" t="s">
        <v>1254</v>
      </c>
      <c r="C75" s="210">
        <v>17084.0</v>
      </c>
      <c r="D75" s="210">
        <v>362448.0</v>
      </c>
      <c r="E75" s="210">
        <v>362448.0</v>
      </c>
      <c r="F75" s="210"/>
      <c r="G75" s="210"/>
      <c r="H75" s="210"/>
      <c r="I75" s="210"/>
      <c r="J75" s="210"/>
      <c r="K75" s="210"/>
      <c r="L75" s="210"/>
      <c r="M75" s="211"/>
      <c r="N75" s="211"/>
      <c r="O75" s="211"/>
      <c r="P75" s="211"/>
      <c r="Q75" s="211"/>
      <c r="R75" s="210"/>
      <c r="S75" s="211"/>
      <c r="T75" s="211"/>
      <c r="U75" s="211"/>
      <c r="V75" s="211"/>
      <c r="W75" s="210">
        <v>1766048.0</v>
      </c>
      <c r="X75" s="199">
        <v>362448.0</v>
      </c>
      <c r="Y75" s="199">
        <v>2145580.0</v>
      </c>
      <c r="Z75" s="199"/>
      <c r="AA75" s="199"/>
      <c r="AB75" s="199"/>
      <c r="AC75" s="199"/>
      <c r="AD75" s="212" t="s">
        <v>683</v>
      </c>
      <c r="AE75" s="212" t="s">
        <v>683</v>
      </c>
      <c r="AF75" s="213" t="str">
        <f>Table1[[#This Row],[2019 Scope 1 (MeT Co2)]]</f>
        <v>#ERROR!</v>
      </c>
      <c r="AG75" s="214" t="str">
        <f t="shared" si="1"/>
        <v>#ERROR!</v>
      </c>
      <c r="AH75" s="215" t="str">
        <f t="shared" si="2"/>
        <v>#ERROR!</v>
      </c>
      <c r="AI75" s="209"/>
      <c r="AJ75" s="209"/>
      <c r="AK75" s="212" t="s">
        <v>683</v>
      </c>
      <c r="AL75" s="212" t="s">
        <v>683</v>
      </c>
      <c r="AM75" s="213" t="str">
        <f>Table1[[#This Row],[2019 Scope 2 ]]</f>
        <v>#ERROR!</v>
      </c>
      <c r="AN75" s="214" t="str">
        <f t="shared" si="3"/>
        <v>#ERROR!</v>
      </c>
      <c r="AO75" s="215" t="str">
        <f t="shared" si="4"/>
        <v>#ERROR!</v>
      </c>
      <c r="AP75" s="214" t="str">
        <f t="shared" si="5"/>
        <v>#ERROR!</v>
      </c>
      <c r="AQ75" s="215" t="str">
        <f t="shared" si="6"/>
        <v>#ERROR!</v>
      </c>
      <c r="AR75" s="216" t="str">
        <f>Table1[[#This Row],[2019 Scope 3 ]]</f>
        <v>#ERROR!</v>
      </c>
      <c r="AS75" s="217" t="str">
        <f t="shared" si="7"/>
        <v>#ERROR!</v>
      </c>
      <c r="AT75" s="218" t="str">
        <f t="shared" si="8"/>
        <v>#ERROR!</v>
      </c>
      <c r="BI75" s="4">
        <v>14013.0</v>
      </c>
    </row>
    <row r="76" ht="12.75" customHeight="1">
      <c r="A76" s="5">
        <f>companies!A76</f>
        <v>75</v>
      </c>
      <c r="B76" s="199" t="s">
        <v>1254</v>
      </c>
      <c r="C76" s="210">
        <v>10600.0</v>
      </c>
      <c r="D76" s="210">
        <v>57900.0</v>
      </c>
      <c r="E76" s="210">
        <v>57900.0</v>
      </c>
      <c r="F76" s="210"/>
      <c r="G76" s="210"/>
      <c r="H76" s="210"/>
      <c r="I76" s="210"/>
      <c r="J76" s="210"/>
      <c r="K76" s="210"/>
      <c r="L76" s="210"/>
      <c r="M76" s="211"/>
      <c r="N76" s="211"/>
      <c r="O76" s="211"/>
      <c r="P76" s="211"/>
      <c r="Q76" s="211"/>
      <c r="R76" s="210"/>
      <c r="S76" s="211"/>
      <c r="T76" s="211"/>
      <c r="U76" s="211"/>
      <c r="V76" s="211"/>
      <c r="W76" s="210">
        <v>31100.0</v>
      </c>
      <c r="X76" s="199">
        <v>57900.0</v>
      </c>
      <c r="Y76" s="199">
        <v>99600.0</v>
      </c>
      <c r="Z76" s="199"/>
      <c r="AA76" s="199"/>
      <c r="AB76" s="199"/>
      <c r="AC76" s="199"/>
      <c r="AD76" s="212" t="s">
        <v>1255</v>
      </c>
      <c r="AE76" s="212" t="s">
        <v>1256</v>
      </c>
      <c r="AF76" s="213" t="str">
        <f>Table1[[#This Row],[2019 Scope 1 (MeT Co2)]]</f>
        <v>#ERROR!</v>
      </c>
      <c r="AG76" s="214" t="str">
        <f t="shared" si="1"/>
        <v>#ERROR!</v>
      </c>
      <c r="AH76" s="215" t="str">
        <f t="shared" si="2"/>
        <v>#ERROR!</v>
      </c>
      <c r="AI76" s="209"/>
      <c r="AJ76" s="209"/>
      <c r="AK76" s="212" t="s">
        <v>1255</v>
      </c>
      <c r="AL76" s="212" t="s">
        <v>1256</v>
      </c>
      <c r="AM76" s="213" t="str">
        <f>Table1[[#This Row],[2019 Scope 2 ]]</f>
        <v>#ERROR!</v>
      </c>
      <c r="AN76" s="214" t="str">
        <f t="shared" si="3"/>
        <v>#ERROR!</v>
      </c>
      <c r="AO76" s="215" t="str">
        <f t="shared" si="4"/>
        <v>#ERROR!</v>
      </c>
      <c r="AP76" s="214" t="str">
        <f t="shared" si="5"/>
        <v>#ERROR!</v>
      </c>
      <c r="AQ76" s="215" t="str">
        <f t="shared" si="6"/>
        <v>#ERROR!</v>
      </c>
      <c r="AR76" s="216" t="str">
        <f>Table1[[#This Row],[2019 Scope 3 ]]</f>
        <v>#ERROR!</v>
      </c>
      <c r="AS76" s="217" t="str">
        <f t="shared" si="7"/>
        <v>#ERROR!</v>
      </c>
      <c r="AT76" s="218" t="str">
        <f t="shared" si="8"/>
        <v>#ERROR!</v>
      </c>
      <c r="BI76" s="199">
        <v>58304.0</v>
      </c>
    </row>
    <row r="77" ht="12.75" customHeight="1">
      <c r="A77" s="5">
        <f>companies!A77</f>
        <v>76</v>
      </c>
      <c r="B77" s="199" t="s">
        <v>1254</v>
      </c>
      <c r="C77" s="210">
        <v>3577266.0</v>
      </c>
      <c r="D77" s="210">
        <v>1558167.0</v>
      </c>
      <c r="E77" s="210">
        <v>1558167.0</v>
      </c>
      <c r="F77" s="210"/>
      <c r="G77" s="210"/>
      <c r="H77" s="210"/>
      <c r="I77" s="210"/>
      <c r="J77" s="210"/>
      <c r="K77" s="210"/>
      <c r="L77" s="210"/>
      <c r="M77" s="211"/>
      <c r="N77" s="211"/>
      <c r="O77" s="211"/>
      <c r="P77" s="211"/>
      <c r="Q77" s="211"/>
      <c r="R77" s="210"/>
      <c r="S77" s="211"/>
      <c r="T77" s="211"/>
      <c r="U77" s="211"/>
      <c r="V77" s="211"/>
      <c r="W77" s="210">
        <v>6.281798E7</v>
      </c>
      <c r="X77" s="199">
        <v>1558167.0</v>
      </c>
      <c r="Y77" s="199">
        <v>6.7953413E7</v>
      </c>
      <c r="Z77" s="199"/>
      <c r="AA77" s="199"/>
      <c r="AB77" s="199"/>
      <c r="AC77" s="199"/>
      <c r="AD77" s="212" t="s">
        <v>683</v>
      </c>
      <c r="AE77" s="212" t="s">
        <v>683</v>
      </c>
      <c r="AF77" s="213" t="str">
        <f>Table1[[#This Row],[2019 Scope 1 (MeT Co2)]]</f>
        <v>#ERROR!</v>
      </c>
      <c r="AG77" s="214" t="str">
        <f t="shared" si="1"/>
        <v>#ERROR!</v>
      </c>
      <c r="AH77" s="215" t="str">
        <f t="shared" si="2"/>
        <v>#ERROR!</v>
      </c>
      <c r="AI77" s="209"/>
      <c r="AJ77" s="209"/>
      <c r="AK77" s="212" t="s">
        <v>683</v>
      </c>
      <c r="AL77" s="212" t="s">
        <v>683</v>
      </c>
      <c r="AM77" s="213" t="str">
        <f>Table1[[#This Row],[2019 Scope 2 ]]</f>
        <v>#ERROR!</v>
      </c>
      <c r="AN77" s="214" t="str">
        <f t="shared" si="3"/>
        <v>#ERROR!</v>
      </c>
      <c r="AO77" s="215" t="str">
        <f t="shared" si="4"/>
        <v>#ERROR!</v>
      </c>
      <c r="AP77" s="214" t="str">
        <f t="shared" si="5"/>
        <v>#ERROR!</v>
      </c>
      <c r="AQ77" s="215" t="str">
        <f t="shared" si="6"/>
        <v>#ERROR!</v>
      </c>
      <c r="AR77" s="216" t="str">
        <f>Table1[[#This Row],[2019 Scope 3 ]]</f>
        <v>#ERROR!</v>
      </c>
      <c r="AS77" s="217" t="str">
        <f t="shared" si="7"/>
        <v>#ERROR!</v>
      </c>
      <c r="AT77" s="218" t="str">
        <f t="shared" si="8"/>
        <v>#ERROR!</v>
      </c>
      <c r="BI77" s="4">
        <v>14605.0</v>
      </c>
    </row>
    <row r="78" ht="12.75" customHeight="1">
      <c r="A78" s="5">
        <f>companies!A78</f>
        <v>77</v>
      </c>
      <c r="B78" s="199" t="s">
        <v>1254</v>
      </c>
      <c r="C78" s="210">
        <v>756964.0</v>
      </c>
      <c r="D78" s="210">
        <v>905002.0</v>
      </c>
      <c r="E78" s="210">
        <v>905002.0</v>
      </c>
      <c r="F78" s="210"/>
      <c r="G78" s="210"/>
      <c r="H78" s="210"/>
      <c r="I78" s="210"/>
      <c r="J78" s="210"/>
      <c r="K78" s="210"/>
      <c r="L78" s="210"/>
      <c r="M78" s="211"/>
      <c r="N78" s="211"/>
      <c r="O78" s="211"/>
      <c r="P78" s="211"/>
      <c r="Q78" s="211"/>
      <c r="R78" s="210"/>
      <c r="S78" s="211"/>
      <c r="T78" s="211"/>
      <c r="U78" s="211"/>
      <c r="V78" s="211"/>
      <c r="W78" s="210">
        <v>3680555.0</v>
      </c>
      <c r="X78" s="199">
        <v>905002.0</v>
      </c>
      <c r="Y78" s="199">
        <v>5342521.0</v>
      </c>
      <c r="Z78" s="199"/>
      <c r="AA78" s="199"/>
      <c r="AB78" s="199"/>
      <c r="AC78" s="199"/>
      <c r="AD78" s="212" t="s">
        <v>1255</v>
      </c>
      <c r="AE78" s="212" t="s">
        <v>1256</v>
      </c>
      <c r="AF78" s="213" t="str">
        <f>Table1[[#This Row],[2019 Scope 1 (MeT Co2)]]</f>
        <v>#ERROR!</v>
      </c>
      <c r="AG78" s="214" t="str">
        <f t="shared" si="1"/>
        <v>#ERROR!</v>
      </c>
      <c r="AH78" s="215" t="str">
        <f t="shared" si="2"/>
        <v>#ERROR!</v>
      </c>
      <c r="AI78" s="209"/>
      <c r="AJ78" s="209"/>
      <c r="AK78" s="212" t="s">
        <v>1255</v>
      </c>
      <c r="AL78" s="212" t="s">
        <v>1256</v>
      </c>
      <c r="AM78" s="213" t="str">
        <f>Table1[[#This Row],[2019 Scope 2 ]]</f>
        <v>#ERROR!</v>
      </c>
      <c r="AN78" s="214" t="str">
        <f t="shared" si="3"/>
        <v>#ERROR!</v>
      </c>
      <c r="AO78" s="215" t="str">
        <f t="shared" si="4"/>
        <v>#ERROR!</v>
      </c>
      <c r="AP78" s="214" t="str">
        <f t="shared" si="5"/>
        <v>#ERROR!</v>
      </c>
      <c r="AQ78" s="215" t="str">
        <f t="shared" si="6"/>
        <v>#ERROR!</v>
      </c>
      <c r="AR78" s="216" t="str">
        <f>Table1[[#This Row],[2019 Scope 3 ]]</f>
        <v>#ERROR!</v>
      </c>
      <c r="AS78" s="217" t="str">
        <f t="shared" si="7"/>
        <v>#ERROR!</v>
      </c>
      <c r="AT78" s="218" t="str">
        <f t="shared" si="8"/>
        <v>#ERROR!</v>
      </c>
      <c r="BI78" s="4">
        <v>14683.0</v>
      </c>
    </row>
    <row r="79" ht="12.75" customHeight="1">
      <c r="A79" s="5">
        <f>companies!A79</f>
        <v>78</v>
      </c>
      <c r="B79" s="199" t="s">
        <v>1254</v>
      </c>
      <c r="C79" s="210">
        <v>408162.0</v>
      </c>
      <c r="D79" s="210">
        <v>175785.0</v>
      </c>
      <c r="E79" s="210">
        <v>175785.0</v>
      </c>
      <c r="F79" s="210"/>
      <c r="G79" s="210"/>
      <c r="H79" s="210"/>
      <c r="I79" s="210"/>
      <c r="J79" s="210"/>
      <c r="K79" s="210"/>
      <c r="L79" s="210"/>
      <c r="M79" s="211"/>
      <c r="N79" s="211"/>
      <c r="O79" s="211"/>
      <c r="P79" s="211"/>
      <c r="Q79" s="211"/>
      <c r="R79" s="210"/>
      <c r="S79" s="211"/>
      <c r="T79" s="211"/>
      <c r="U79" s="211"/>
      <c r="V79" s="211"/>
      <c r="W79" s="210">
        <v>4920000.0</v>
      </c>
      <c r="X79" s="199">
        <v>175785.0</v>
      </c>
      <c r="Y79" s="199">
        <v>5503947.0</v>
      </c>
      <c r="Z79" s="199"/>
      <c r="AA79" s="199"/>
      <c r="AB79" s="199"/>
      <c r="AC79" s="199"/>
      <c r="AD79" s="212" t="s">
        <v>683</v>
      </c>
      <c r="AE79" s="212" t="s">
        <v>683</v>
      </c>
      <c r="AF79" s="213" t="str">
        <f>Table1[[#This Row],[2019 Scope 1 (MeT Co2)]]</f>
        <v>#ERROR!</v>
      </c>
      <c r="AG79" s="214" t="str">
        <f t="shared" si="1"/>
        <v>#ERROR!</v>
      </c>
      <c r="AH79" s="215" t="str">
        <f t="shared" si="2"/>
        <v>#ERROR!</v>
      </c>
      <c r="AI79" s="209"/>
      <c r="AJ79" s="209"/>
      <c r="AK79" s="212" t="s">
        <v>683</v>
      </c>
      <c r="AL79" s="212" t="s">
        <v>683</v>
      </c>
      <c r="AM79" s="213" t="str">
        <f>Table1[[#This Row],[2019 Scope 2 ]]</f>
        <v>#ERROR!</v>
      </c>
      <c r="AN79" s="214" t="str">
        <f t="shared" si="3"/>
        <v>#ERROR!</v>
      </c>
      <c r="AO79" s="215" t="str">
        <f t="shared" si="4"/>
        <v>#ERROR!</v>
      </c>
      <c r="AP79" s="214" t="str">
        <f t="shared" si="5"/>
        <v>#ERROR!</v>
      </c>
      <c r="AQ79" s="215" t="str">
        <f t="shared" si="6"/>
        <v>#ERROR!</v>
      </c>
      <c r="AR79" s="216" t="str">
        <f>Table1[[#This Row],[2019 Scope 3 ]]</f>
        <v>#ERROR!</v>
      </c>
      <c r="AS79" s="217" t="str">
        <f t="shared" si="7"/>
        <v>#ERROR!</v>
      </c>
      <c r="AT79" s="218" t="str">
        <f t="shared" si="8"/>
        <v>#ERROR!</v>
      </c>
      <c r="BI79" s="199">
        <v>14712.0</v>
      </c>
    </row>
    <row r="80" ht="12.75" customHeight="1">
      <c r="A80" s="5">
        <f>companies!A80</f>
        <v>79</v>
      </c>
      <c r="B80" s="199" t="s">
        <v>1254</v>
      </c>
      <c r="C80" s="210">
        <v>2143000.0</v>
      </c>
      <c r="D80" s="210">
        <v>1910000.0</v>
      </c>
      <c r="E80" s="210">
        <v>1910000.0</v>
      </c>
      <c r="F80" s="210"/>
      <c r="G80" s="210"/>
      <c r="H80" s="210"/>
      <c r="I80" s="210"/>
      <c r="J80" s="210"/>
      <c r="K80" s="210"/>
      <c r="L80" s="210"/>
      <c r="M80" s="211"/>
      <c r="N80" s="211"/>
      <c r="O80" s="211"/>
      <c r="P80" s="211"/>
      <c r="Q80" s="211"/>
      <c r="R80" s="210"/>
      <c r="S80" s="211"/>
      <c r="T80" s="211"/>
      <c r="U80" s="211"/>
      <c r="V80" s="211"/>
      <c r="W80" s="210">
        <v>2.35218042E8</v>
      </c>
      <c r="X80" s="199">
        <v>1910000.0</v>
      </c>
      <c r="Y80" s="199">
        <v>2.39271042E8</v>
      </c>
      <c r="Z80" s="199"/>
      <c r="AA80" s="199"/>
      <c r="AB80" s="199"/>
      <c r="AC80" s="199"/>
      <c r="AD80" s="212" t="s">
        <v>683</v>
      </c>
      <c r="AE80" s="212" t="s">
        <v>683</v>
      </c>
      <c r="AF80" s="213" t="str">
        <f>Table1[[#This Row],[2019 Scope 1 (MeT Co2)]]</f>
        <v>#ERROR!</v>
      </c>
      <c r="AG80" s="214" t="str">
        <f t="shared" si="1"/>
        <v>#ERROR!</v>
      </c>
      <c r="AH80" s="215" t="str">
        <f t="shared" si="2"/>
        <v>#ERROR!</v>
      </c>
      <c r="AI80" s="209"/>
      <c r="AJ80" s="209"/>
      <c r="AK80" s="212" t="s">
        <v>683</v>
      </c>
      <c r="AL80" s="212" t="s">
        <v>683</v>
      </c>
      <c r="AM80" s="213" t="str">
        <f>Table1[[#This Row],[2019 Scope 2 ]]</f>
        <v>#ERROR!</v>
      </c>
      <c r="AN80" s="214" t="str">
        <f t="shared" si="3"/>
        <v>#ERROR!</v>
      </c>
      <c r="AO80" s="215" t="str">
        <f t="shared" si="4"/>
        <v>#ERROR!</v>
      </c>
      <c r="AP80" s="214" t="str">
        <f t="shared" si="5"/>
        <v>#ERROR!</v>
      </c>
      <c r="AQ80" s="215" t="str">
        <f t="shared" si="6"/>
        <v>#ERROR!</v>
      </c>
      <c r="AR80" s="216" t="str">
        <f>Table1[[#This Row],[2019 Scope 3 ]]</f>
        <v>#ERROR!</v>
      </c>
      <c r="AS80" s="217" t="str">
        <f t="shared" si="7"/>
        <v>#ERROR!</v>
      </c>
      <c r="AT80" s="218" t="str">
        <f t="shared" si="8"/>
        <v>#ERROR!</v>
      </c>
      <c r="BI80" s="199">
        <v>15132.0</v>
      </c>
    </row>
    <row r="81" ht="12.75" customHeight="1">
      <c r="A81" s="5">
        <f>companies!A81</f>
        <v>80</v>
      </c>
      <c r="B81" s="199" t="s">
        <v>1254</v>
      </c>
      <c r="C81" s="210">
        <v>73832.0</v>
      </c>
      <c r="D81" s="210">
        <v>120771.0</v>
      </c>
      <c r="E81" s="210">
        <v>120771.0</v>
      </c>
      <c r="F81" s="210"/>
      <c r="G81" s="210"/>
      <c r="H81" s="210"/>
      <c r="I81" s="210"/>
      <c r="J81" s="210"/>
      <c r="K81" s="210"/>
      <c r="L81" s="210"/>
      <c r="M81" s="211"/>
      <c r="N81" s="211"/>
      <c r="O81" s="211"/>
      <c r="P81" s="211"/>
      <c r="Q81" s="211"/>
      <c r="R81" s="210"/>
      <c r="S81" s="211"/>
      <c r="T81" s="211"/>
      <c r="U81" s="211"/>
      <c r="V81" s="211"/>
      <c r="W81" s="210">
        <v>112252.0</v>
      </c>
      <c r="X81" s="199">
        <v>120771.0</v>
      </c>
      <c r="Y81" s="199">
        <v>306855.0</v>
      </c>
      <c r="Z81" s="199"/>
      <c r="AA81" s="199"/>
      <c r="AB81" s="199"/>
      <c r="AC81" s="199"/>
      <c r="AD81" s="212" t="s">
        <v>683</v>
      </c>
      <c r="AE81" s="212" t="s">
        <v>683</v>
      </c>
      <c r="AF81" s="213" t="str">
        <f>Table1[[#This Row],[2019 Scope 1 (MeT Co2)]]</f>
        <v>#ERROR!</v>
      </c>
      <c r="AG81" s="214" t="str">
        <f t="shared" si="1"/>
        <v>#ERROR!</v>
      </c>
      <c r="AH81" s="215" t="str">
        <f t="shared" si="2"/>
        <v>#ERROR!</v>
      </c>
      <c r="AI81" s="209"/>
      <c r="AJ81" s="209"/>
      <c r="AK81" s="212" t="s">
        <v>683</v>
      </c>
      <c r="AL81" s="212" t="s">
        <v>683</v>
      </c>
      <c r="AM81" s="213" t="str">
        <f>Table1[[#This Row],[2019 Scope 2 ]]</f>
        <v>#ERROR!</v>
      </c>
      <c r="AN81" s="214" t="str">
        <f t="shared" si="3"/>
        <v>#ERROR!</v>
      </c>
      <c r="AO81" s="215" t="str">
        <f t="shared" si="4"/>
        <v>#ERROR!</v>
      </c>
      <c r="AP81" s="214" t="str">
        <f t="shared" si="5"/>
        <v>#ERROR!</v>
      </c>
      <c r="AQ81" s="215" t="str">
        <f t="shared" si="6"/>
        <v>#ERROR!</v>
      </c>
      <c r="AR81" s="216" t="str">
        <f>Table1[[#This Row],[2019 Scope 3 ]]</f>
        <v>#ERROR!</v>
      </c>
      <c r="AS81" s="217" t="str">
        <f t="shared" si="7"/>
        <v>#ERROR!</v>
      </c>
      <c r="AT81" s="218" t="str">
        <f t="shared" si="8"/>
        <v>#ERROR!</v>
      </c>
      <c r="BI81" s="199">
        <v>15419.0</v>
      </c>
    </row>
    <row r="82" ht="12.75" customHeight="1">
      <c r="A82" s="5">
        <f>companies!A82</f>
        <v>81</v>
      </c>
      <c r="B82" s="199" t="s">
        <v>1254</v>
      </c>
      <c r="C82" s="210" t="s">
        <v>536</v>
      </c>
      <c r="D82" s="210" t="s">
        <v>536</v>
      </c>
      <c r="E82" s="210" t="s">
        <v>536</v>
      </c>
      <c r="F82" s="210"/>
      <c r="G82" s="210"/>
      <c r="H82" s="210"/>
      <c r="I82" s="210"/>
      <c r="J82" s="210"/>
      <c r="K82" s="210"/>
      <c r="L82" s="210"/>
      <c r="M82" s="211"/>
      <c r="N82" s="211"/>
      <c r="O82" s="211"/>
      <c r="P82" s="211"/>
      <c r="Q82" s="211"/>
      <c r="R82" s="210"/>
      <c r="S82" s="211"/>
      <c r="T82" s="211"/>
      <c r="U82" s="211"/>
      <c r="V82" s="211"/>
      <c r="W82" s="210" t="s">
        <v>536</v>
      </c>
      <c r="X82" s="199">
        <v>0.0</v>
      </c>
      <c r="Y82" s="199"/>
      <c r="Z82" s="212"/>
      <c r="AA82" s="212"/>
      <c r="AB82" s="212"/>
      <c r="AC82" s="212"/>
      <c r="AD82" s="212" t="e">
        <v>#N/A</v>
      </c>
      <c r="AE82" s="212" t="e">
        <v>#N/A</v>
      </c>
      <c r="AF82" s="213" t="str">
        <f>Table1[[#This Row],[2019 Scope 1 (MeT Co2)]]</f>
        <v>#ERROR!</v>
      </c>
      <c r="AG82" s="214" t="str">
        <f t="shared" si="1"/>
        <v>#ERROR!</v>
      </c>
      <c r="AH82" s="215" t="str">
        <f t="shared" si="2"/>
        <v>#ERROR!</v>
      </c>
      <c r="AI82" s="209"/>
      <c r="AJ82" s="209"/>
      <c r="AK82" s="212" t="e">
        <v>#N/A</v>
      </c>
      <c r="AL82" s="212" t="e">
        <v>#N/A</v>
      </c>
      <c r="AM82" s="213" t="str">
        <f>Table1[[#This Row],[2019 Scope 2 ]]</f>
        <v>#ERROR!</v>
      </c>
      <c r="AN82" s="214" t="str">
        <f t="shared" si="3"/>
        <v>#ERROR!</v>
      </c>
      <c r="AO82" s="215" t="str">
        <f t="shared" si="4"/>
        <v>#ERROR!</v>
      </c>
      <c r="AP82" s="214" t="str">
        <f t="shared" si="5"/>
        <v>#ERROR!</v>
      </c>
      <c r="AQ82" s="215" t="str">
        <f t="shared" si="6"/>
        <v>#ERROR!</v>
      </c>
      <c r="AR82" s="216" t="str">
        <f>Table1[[#This Row],[2019 Scope 3 ]]</f>
        <v>#ERROR!</v>
      </c>
      <c r="AS82" s="217" t="str">
        <f t="shared" si="7"/>
        <v>#ERROR!</v>
      </c>
      <c r="AT82" s="218" t="str">
        <f t="shared" si="8"/>
        <v>#ERROR!</v>
      </c>
    </row>
    <row r="83" ht="12.75" customHeight="1">
      <c r="A83" s="5">
        <f>companies!A83</f>
        <v>82</v>
      </c>
      <c r="B83" s="199" t="s">
        <v>1254</v>
      </c>
      <c r="C83" s="210">
        <v>4000.0</v>
      </c>
      <c r="D83" s="210">
        <v>236000.0</v>
      </c>
      <c r="E83" s="210">
        <v>236000.0</v>
      </c>
      <c r="F83" s="210"/>
      <c r="G83" s="210"/>
      <c r="H83" s="210"/>
      <c r="I83" s="210"/>
      <c r="J83" s="210"/>
      <c r="K83" s="210"/>
      <c r="L83" s="210"/>
      <c r="M83" s="211"/>
      <c r="N83" s="211"/>
      <c r="O83" s="211"/>
      <c r="P83" s="211"/>
      <c r="Q83" s="211"/>
      <c r="R83" s="210"/>
      <c r="S83" s="211"/>
      <c r="T83" s="211"/>
      <c r="U83" s="211"/>
      <c r="V83" s="211"/>
      <c r="W83" s="210">
        <v>134000.0</v>
      </c>
      <c r="X83" s="199">
        <v>236000.0</v>
      </c>
      <c r="Y83" s="199">
        <v>374000.0</v>
      </c>
      <c r="Z83" s="199"/>
      <c r="AA83" s="199"/>
      <c r="AB83" s="199"/>
      <c r="AC83" s="199"/>
      <c r="AD83" s="212" t="s">
        <v>683</v>
      </c>
      <c r="AE83" s="212" t="s">
        <v>683</v>
      </c>
      <c r="AF83" s="213" t="str">
        <f>Table1[[#This Row],[2019 Scope 1 (MeT Co2)]]</f>
        <v>#ERROR!</v>
      </c>
      <c r="AG83" s="214" t="str">
        <f t="shared" si="1"/>
        <v>#ERROR!</v>
      </c>
      <c r="AH83" s="219" t="str">
        <f t="shared" si="2"/>
        <v>#ERROR!</v>
      </c>
      <c r="AI83" s="209"/>
      <c r="AJ83" s="209"/>
      <c r="AK83" s="212" t="s">
        <v>683</v>
      </c>
      <c r="AL83" s="212" t="s">
        <v>683</v>
      </c>
      <c r="AM83" s="213" t="str">
        <f>Table1[[#This Row],[2019 Scope 2 ]]</f>
        <v>#ERROR!</v>
      </c>
      <c r="AN83" s="214" t="str">
        <f t="shared" si="3"/>
        <v>#ERROR!</v>
      </c>
      <c r="AO83" s="219" t="str">
        <f t="shared" si="4"/>
        <v>#ERROR!</v>
      </c>
      <c r="AP83" s="214" t="str">
        <f t="shared" si="5"/>
        <v>#ERROR!</v>
      </c>
      <c r="AQ83" s="219" t="str">
        <f t="shared" si="6"/>
        <v>#ERROR!</v>
      </c>
      <c r="AR83" s="216" t="str">
        <f>Table1[[#This Row],[2019 Scope 3 ]]</f>
        <v>#ERROR!</v>
      </c>
      <c r="AS83" s="217" t="str">
        <f t="shared" si="7"/>
        <v>#ERROR!</v>
      </c>
      <c r="AT83" s="218" t="str">
        <f t="shared" si="8"/>
        <v>#ERROR!</v>
      </c>
      <c r="BI83" s="199">
        <v>16158.0</v>
      </c>
    </row>
    <row r="84" ht="12.75" customHeight="1">
      <c r="A84" s="5">
        <f>companies!A84</f>
        <v>83</v>
      </c>
      <c r="B84" s="199" t="s">
        <v>1254</v>
      </c>
      <c r="C84" s="210">
        <v>1423000.0</v>
      </c>
      <c r="D84" s="210">
        <v>642000.0</v>
      </c>
      <c r="E84" s="210">
        <v>642000.0</v>
      </c>
      <c r="F84" s="210"/>
      <c r="G84" s="210"/>
      <c r="H84" s="210"/>
      <c r="I84" s="210"/>
      <c r="J84" s="210"/>
      <c r="K84" s="210"/>
      <c r="L84" s="210"/>
      <c r="M84" s="211"/>
      <c r="N84" s="211"/>
      <c r="O84" s="211"/>
      <c r="P84" s="211"/>
      <c r="Q84" s="211"/>
      <c r="R84" s="210"/>
      <c r="S84" s="211"/>
      <c r="T84" s="211"/>
      <c r="U84" s="211"/>
      <c r="V84" s="211"/>
      <c r="W84" s="210">
        <v>1185000.0</v>
      </c>
      <c r="X84" s="199">
        <v>642000.0</v>
      </c>
      <c r="Y84" s="199">
        <v>3250000.0</v>
      </c>
      <c r="Z84" s="212"/>
      <c r="AA84" s="212"/>
      <c r="AB84" s="212"/>
      <c r="AC84" s="212"/>
      <c r="AD84" s="212" t="e">
        <v>#N/A</v>
      </c>
      <c r="AE84" s="212" t="e">
        <v>#N/A</v>
      </c>
      <c r="AF84" s="213" t="str">
        <f>Table1[[#This Row],[2019 Scope 1 (MeT Co2)]]</f>
        <v>#ERROR!</v>
      </c>
      <c r="AG84" s="214" t="str">
        <f t="shared" si="1"/>
        <v>#ERROR!</v>
      </c>
      <c r="AH84" s="215" t="str">
        <f t="shared" si="2"/>
        <v>#ERROR!</v>
      </c>
      <c r="AI84" s="209"/>
      <c r="AJ84" s="209"/>
      <c r="AK84" s="212" t="e">
        <v>#N/A</v>
      </c>
      <c r="AL84" s="212" t="e">
        <v>#N/A</v>
      </c>
      <c r="AM84" s="213" t="str">
        <f>Table1[[#This Row],[2019 Scope 2 ]]</f>
        <v>#ERROR!</v>
      </c>
      <c r="AN84" s="214" t="str">
        <f t="shared" si="3"/>
        <v>#ERROR!</v>
      </c>
      <c r="AO84" s="215" t="str">
        <f t="shared" si="4"/>
        <v>#ERROR!</v>
      </c>
      <c r="AP84" s="214" t="str">
        <f t="shared" si="5"/>
        <v>#ERROR!</v>
      </c>
      <c r="AQ84" s="215" t="str">
        <f t="shared" si="6"/>
        <v>#ERROR!</v>
      </c>
      <c r="AR84" s="216" t="str">
        <f>Table1[[#This Row],[2019 Scope 3 ]]</f>
        <v>#ERROR!</v>
      </c>
      <c r="AS84" s="217" t="str">
        <f t="shared" si="7"/>
        <v>#ERROR!</v>
      </c>
      <c r="AT84" s="218" t="str">
        <f t="shared" si="8"/>
        <v>#ERROR!</v>
      </c>
    </row>
    <row r="85" ht="12.75" customHeight="1">
      <c r="A85" s="5">
        <f>companies!A85</f>
        <v>84</v>
      </c>
      <c r="B85" s="199" t="s">
        <v>1254</v>
      </c>
      <c r="C85" s="210">
        <v>21923.0</v>
      </c>
      <c r="D85" s="210">
        <v>287974.0</v>
      </c>
      <c r="E85" s="210">
        <v>287974.0</v>
      </c>
      <c r="F85" s="210"/>
      <c r="G85" s="210"/>
      <c r="H85" s="210"/>
      <c r="I85" s="210"/>
      <c r="J85" s="210"/>
      <c r="K85" s="210"/>
      <c r="L85" s="210"/>
      <c r="M85" s="211"/>
      <c r="N85" s="211"/>
      <c r="O85" s="211"/>
      <c r="P85" s="211"/>
      <c r="Q85" s="211"/>
      <c r="R85" s="210"/>
      <c r="S85" s="211"/>
      <c r="T85" s="211"/>
      <c r="U85" s="211"/>
      <c r="V85" s="211"/>
      <c r="W85" s="210">
        <v>591378.0</v>
      </c>
      <c r="X85" s="199">
        <v>287974.0</v>
      </c>
      <c r="Y85" s="199">
        <v>901275.0</v>
      </c>
      <c r="Z85" s="212"/>
      <c r="AA85" s="212"/>
      <c r="AB85" s="212"/>
      <c r="AC85" s="212"/>
      <c r="AD85" s="212" t="s">
        <v>1255</v>
      </c>
      <c r="AE85" s="212" t="s">
        <v>1256</v>
      </c>
      <c r="AF85" s="213" t="str">
        <f>Table1[[#This Row],[2019 Scope 1 (MeT Co2)]]</f>
        <v>#ERROR!</v>
      </c>
      <c r="AG85" s="214" t="str">
        <f t="shared" si="1"/>
        <v>#ERROR!</v>
      </c>
      <c r="AH85" s="215" t="str">
        <f t="shared" si="2"/>
        <v>#ERROR!</v>
      </c>
      <c r="AI85" s="209"/>
      <c r="AJ85" s="209"/>
      <c r="AK85" s="212" t="s">
        <v>1255</v>
      </c>
      <c r="AL85" s="212" t="s">
        <v>1256</v>
      </c>
      <c r="AM85" s="213" t="str">
        <f>Table1[[#This Row],[2019 Scope 2 ]]</f>
        <v>#ERROR!</v>
      </c>
      <c r="AN85" s="214" t="str">
        <f t="shared" si="3"/>
        <v>#ERROR!</v>
      </c>
      <c r="AO85" s="215" t="str">
        <f t="shared" si="4"/>
        <v>#ERROR!</v>
      </c>
      <c r="AP85" s="214" t="str">
        <f t="shared" si="5"/>
        <v>#ERROR!</v>
      </c>
      <c r="AQ85" s="215" t="str">
        <f t="shared" si="6"/>
        <v>#ERROR!</v>
      </c>
      <c r="AR85" s="216" t="str">
        <f>Table1[[#This Row],[2019 Scope 3 ]]</f>
        <v>#ERROR!</v>
      </c>
      <c r="AS85" s="217" t="str">
        <f t="shared" si="7"/>
        <v>#ERROR!</v>
      </c>
      <c r="AT85" s="218" t="str">
        <f t="shared" si="8"/>
        <v>#ERROR!</v>
      </c>
      <c r="BI85" s="4">
        <v>17069.0</v>
      </c>
    </row>
    <row r="86" ht="12.75" customHeight="1">
      <c r="A86" s="5">
        <f>companies!A86</f>
        <v>85</v>
      </c>
      <c r="B86" s="199" t="s">
        <v>1254</v>
      </c>
      <c r="C86" s="210">
        <v>1.02232275E8</v>
      </c>
      <c r="D86" s="210">
        <v>2142130.48</v>
      </c>
      <c r="E86" s="210">
        <v>2142130.48</v>
      </c>
      <c r="F86" s="210"/>
      <c r="G86" s="210"/>
      <c r="H86" s="210"/>
      <c r="I86" s="210"/>
      <c r="J86" s="210"/>
      <c r="K86" s="210"/>
      <c r="L86" s="210"/>
      <c r="M86" s="211"/>
      <c r="N86" s="211"/>
      <c r="O86" s="211"/>
      <c r="P86" s="211"/>
      <c r="Q86" s="211"/>
      <c r="R86" s="210"/>
      <c r="S86" s="211"/>
      <c r="T86" s="211"/>
      <c r="U86" s="211"/>
      <c r="V86" s="211"/>
      <c r="W86" s="210">
        <v>3.7299499E7</v>
      </c>
      <c r="X86" s="199">
        <v>2142130.48</v>
      </c>
      <c r="Y86" s="199">
        <v>1.4167390448000002E8</v>
      </c>
      <c r="Z86" s="199"/>
      <c r="AA86" s="199"/>
      <c r="AB86" s="199"/>
      <c r="AC86" s="199"/>
      <c r="AD86" s="212" t="s">
        <v>683</v>
      </c>
      <c r="AE86" s="212" t="s">
        <v>683</v>
      </c>
      <c r="AF86" s="213" t="str">
        <f>Table1[[#This Row],[2019 Scope 1 (MeT Co2)]]</f>
        <v>#ERROR!</v>
      </c>
      <c r="AG86" s="214" t="str">
        <f t="shared" si="1"/>
        <v>#ERROR!</v>
      </c>
      <c r="AH86" s="215" t="str">
        <f t="shared" si="2"/>
        <v>#ERROR!</v>
      </c>
      <c r="AI86" s="209"/>
      <c r="AJ86" s="209"/>
      <c r="AK86" s="212" t="s">
        <v>683</v>
      </c>
      <c r="AL86" s="212" t="s">
        <v>683</v>
      </c>
      <c r="AM86" s="213" t="str">
        <f>Table1[[#This Row],[2019 Scope 2 ]]</f>
        <v>#ERROR!</v>
      </c>
      <c r="AN86" s="214" t="str">
        <f t="shared" si="3"/>
        <v>#ERROR!</v>
      </c>
      <c r="AO86" s="215" t="str">
        <f t="shared" si="4"/>
        <v>#ERROR!</v>
      </c>
      <c r="AP86" s="214" t="str">
        <f t="shared" si="5"/>
        <v>#ERROR!</v>
      </c>
      <c r="AQ86" s="215" t="str">
        <f t="shared" si="6"/>
        <v>#ERROR!</v>
      </c>
      <c r="AR86" s="216" t="str">
        <f>Table1[[#This Row],[2019 Scope 3 ]]</f>
        <v>#ERROR!</v>
      </c>
      <c r="AS86" s="217" t="str">
        <f t="shared" si="7"/>
        <v>#ERROR!</v>
      </c>
      <c r="AT86" s="218" t="str">
        <f t="shared" si="8"/>
        <v>#ERROR!</v>
      </c>
      <c r="BI86" s="4">
        <v>18951.0</v>
      </c>
    </row>
    <row r="87" ht="12.75" customHeight="1">
      <c r="A87" s="5">
        <f>companies!A87</f>
        <v>86</v>
      </c>
      <c r="B87" s="199" t="s">
        <v>1254</v>
      </c>
      <c r="C87" s="210">
        <v>319600.0</v>
      </c>
      <c r="D87" s="210">
        <v>285600.0</v>
      </c>
      <c r="E87" s="210">
        <v>285600.0</v>
      </c>
      <c r="F87" s="210"/>
      <c r="G87" s="210"/>
      <c r="H87" s="210"/>
      <c r="I87" s="210"/>
      <c r="J87" s="210"/>
      <c r="K87" s="210"/>
      <c r="L87" s="210"/>
      <c r="M87" s="211"/>
      <c r="N87" s="211"/>
      <c r="O87" s="211"/>
      <c r="P87" s="211"/>
      <c r="Q87" s="211"/>
      <c r="R87" s="210"/>
      <c r="S87" s="211"/>
      <c r="T87" s="211"/>
      <c r="U87" s="211"/>
      <c r="V87" s="211"/>
      <c r="W87" s="210">
        <v>1.499E7</v>
      </c>
      <c r="X87" s="199">
        <v>285600.0</v>
      </c>
      <c r="Y87" s="199">
        <v>1.55952E7</v>
      </c>
      <c r="Z87" s="212"/>
      <c r="AA87" s="212"/>
      <c r="AB87" s="212"/>
      <c r="AC87" s="212"/>
      <c r="AD87" s="212" t="s">
        <v>683</v>
      </c>
      <c r="AE87" s="212" t="s">
        <v>683</v>
      </c>
      <c r="AF87" s="213" t="str">
        <f>Table1[[#This Row],[2019 Scope 1 (MeT Co2)]]</f>
        <v>#ERROR!</v>
      </c>
      <c r="AG87" s="214" t="str">
        <f t="shared" si="1"/>
        <v>#ERROR!</v>
      </c>
      <c r="AH87" s="215" t="str">
        <f t="shared" si="2"/>
        <v>#ERROR!</v>
      </c>
      <c r="AI87" s="209"/>
      <c r="AJ87" s="209"/>
      <c r="AK87" s="212" t="s">
        <v>683</v>
      </c>
      <c r="AL87" s="212" t="s">
        <v>683</v>
      </c>
      <c r="AM87" s="213" t="str">
        <f>Table1[[#This Row],[2019 Scope 2 ]]</f>
        <v>#ERROR!</v>
      </c>
      <c r="AN87" s="214" t="str">
        <f t="shared" si="3"/>
        <v>#ERROR!</v>
      </c>
      <c r="AO87" s="215" t="str">
        <f t="shared" si="4"/>
        <v>#ERROR!</v>
      </c>
      <c r="AP87" s="214" t="str">
        <f t="shared" si="5"/>
        <v>#ERROR!</v>
      </c>
      <c r="AQ87" s="215" t="str">
        <f t="shared" si="6"/>
        <v>#ERROR!</v>
      </c>
      <c r="AR87" s="216" t="str">
        <f>Table1[[#This Row],[2019 Scope 3 ]]</f>
        <v>#ERROR!</v>
      </c>
      <c r="AS87" s="217" t="str">
        <f t="shared" si="7"/>
        <v>#ERROR!</v>
      </c>
      <c r="AT87" s="218" t="str">
        <f t="shared" si="8"/>
        <v>#ERROR!</v>
      </c>
      <c r="BI87" s="4">
        <v>17652.0</v>
      </c>
    </row>
    <row r="88" ht="12.75" customHeight="1">
      <c r="A88" s="5">
        <f>companies!A88</f>
        <v>87</v>
      </c>
      <c r="B88" s="199" t="s">
        <v>1254</v>
      </c>
      <c r="C88" s="210">
        <v>755484.0</v>
      </c>
      <c r="D88" s="210">
        <v>2108893.0</v>
      </c>
      <c r="E88" s="210">
        <v>2108893.0</v>
      </c>
      <c r="F88" s="210"/>
      <c r="G88" s="210"/>
      <c r="H88" s="210"/>
      <c r="I88" s="210"/>
      <c r="J88" s="210"/>
      <c r="K88" s="210"/>
      <c r="L88" s="210"/>
      <c r="M88" s="211"/>
      <c r="N88" s="211"/>
      <c r="O88" s="211"/>
      <c r="P88" s="211"/>
      <c r="Q88" s="211"/>
      <c r="R88" s="210"/>
      <c r="S88" s="211"/>
      <c r="T88" s="211"/>
      <c r="U88" s="211"/>
      <c r="V88" s="211"/>
      <c r="W88" s="210">
        <v>7.84E7</v>
      </c>
      <c r="X88" s="199">
        <v>2108893.0</v>
      </c>
      <c r="Y88" s="199">
        <v>8.1264377E7</v>
      </c>
      <c r="Z88" s="199"/>
      <c r="AA88" s="199"/>
      <c r="AB88" s="199"/>
      <c r="AC88" s="199"/>
      <c r="AD88" s="212" t="s">
        <v>683</v>
      </c>
      <c r="AE88" s="212" t="s">
        <v>683</v>
      </c>
      <c r="AF88" s="213" t="str">
        <f>Table1[[#This Row],[2019 Scope 1 (MeT Co2)]]</f>
        <v>#ERROR!</v>
      </c>
      <c r="AG88" s="214" t="str">
        <f t="shared" si="1"/>
        <v>#ERROR!</v>
      </c>
      <c r="AH88" s="215" t="str">
        <f t="shared" si="2"/>
        <v>#ERROR!</v>
      </c>
      <c r="AI88" s="209"/>
      <c r="AJ88" s="209"/>
      <c r="AK88" s="212" t="s">
        <v>683</v>
      </c>
      <c r="AL88" s="212" t="s">
        <v>683</v>
      </c>
      <c r="AM88" s="213" t="str">
        <f>Table1[[#This Row],[2019 Scope 2 ]]</f>
        <v>#ERROR!</v>
      </c>
      <c r="AN88" s="214" t="str">
        <f t="shared" si="3"/>
        <v>#ERROR!</v>
      </c>
      <c r="AO88" s="215" t="str">
        <f t="shared" si="4"/>
        <v>#ERROR!</v>
      </c>
      <c r="AP88" s="214" t="str">
        <f t="shared" si="5"/>
        <v>#ERROR!</v>
      </c>
      <c r="AQ88" s="215" t="str">
        <f t="shared" si="6"/>
        <v>#ERROR!</v>
      </c>
      <c r="AR88" s="216" t="str">
        <f>Table1[[#This Row],[2019 Scope 3 ]]</f>
        <v>#ERROR!</v>
      </c>
      <c r="AS88" s="217" t="str">
        <f t="shared" si="7"/>
        <v>#ERROR!</v>
      </c>
      <c r="AT88" s="218" t="str">
        <f t="shared" si="8"/>
        <v>#ERROR!</v>
      </c>
      <c r="BI88" s="4">
        <v>18320.0</v>
      </c>
    </row>
    <row r="89" ht="12.75" customHeight="1">
      <c r="A89" s="5">
        <f>companies!A89</f>
        <v>88</v>
      </c>
      <c r="B89" s="199" t="s">
        <v>1254</v>
      </c>
      <c r="C89" s="210">
        <v>1157549.0</v>
      </c>
      <c r="D89" s="210">
        <v>1110819.0</v>
      </c>
      <c r="E89" s="210">
        <v>1110819.0</v>
      </c>
      <c r="F89" s="210"/>
      <c r="G89" s="210"/>
      <c r="H89" s="210"/>
      <c r="I89" s="210"/>
      <c r="J89" s="210"/>
      <c r="K89" s="210"/>
      <c r="L89" s="210"/>
      <c r="M89" s="211"/>
      <c r="N89" s="211"/>
      <c r="O89" s="211"/>
      <c r="P89" s="211"/>
      <c r="Q89" s="211"/>
      <c r="R89" s="210"/>
      <c r="S89" s="211"/>
      <c r="T89" s="211"/>
      <c r="U89" s="211"/>
      <c r="V89" s="211"/>
      <c r="W89" s="210" t="s">
        <v>536</v>
      </c>
      <c r="X89" s="199">
        <v>1110819.0</v>
      </c>
      <c r="Y89" s="199"/>
      <c r="Z89" s="199"/>
      <c r="AA89" s="199"/>
      <c r="AB89" s="199"/>
      <c r="AC89" s="199"/>
      <c r="AD89" s="212" t="s">
        <v>683</v>
      </c>
      <c r="AE89" s="212" t="s">
        <v>683</v>
      </c>
      <c r="AF89" s="213" t="str">
        <f>Table1[[#This Row],[2019 Scope 1 (MeT Co2)]]</f>
        <v>#ERROR!</v>
      </c>
      <c r="AG89" s="214" t="str">
        <f t="shared" si="1"/>
        <v>#ERROR!</v>
      </c>
      <c r="AH89" s="215" t="str">
        <f t="shared" si="2"/>
        <v>#ERROR!</v>
      </c>
      <c r="AI89" s="209"/>
      <c r="AJ89" s="209"/>
      <c r="AK89" s="212" t="s">
        <v>683</v>
      </c>
      <c r="AL89" s="212" t="s">
        <v>683</v>
      </c>
      <c r="AM89" s="213" t="str">
        <f>Table1[[#This Row],[2019 Scope 2 ]]</f>
        <v>#ERROR!</v>
      </c>
      <c r="AN89" s="214" t="str">
        <f t="shared" si="3"/>
        <v>#ERROR!</v>
      </c>
      <c r="AO89" s="215" t="str">
        <f t="shared" si="4"/>
        <v>#ERROR!</v>
      </c>
      <c r="AP89" s="214" t="str">
        <f t="shared" si="5"/>
        <v>#ERROR!</v>
      </c>
      <c r="AQ89" s="215" t="str">
        <f t="shared" si="6"/>
        <v>#ERROR!</v>
      </c>
      <c r="AR89" s="216" t="str">
        <f>Table1[[#This Row],[2019 Scope 3 ]]</f>
        <v>#ERROR!</v>
      </c>
      <c r="AS89" s="217" t="str">
        <f t="shared" si="7"/>
        <v>#ERROR!</v>
      </c>
      <c r="AT89" s="218" t="str">
        <f t="shared" si="8"/>
        <v>#ERROR!</v>
      </c>
      <c r="BI89" s="4">
        <v>18640.0</v>
      </c>
    </row>
    <row r="90" ht="12.75" customHeight="1">
      <c r="A90" s="5">
        <f>companies!A90</f>
        <v>89</v>
      </c>
      <c r="B90" s="199" t="s">
        <v>1254</v>
      </c>
      <c r="C90" s="210">
        <v>8000.0</v>
      </c>
      <c r="D90" s="210">
        <v>2500.0</v>
      </c>
      <c r="E90" s="210">
        <v>2500.0</v>
      </c>
      <c r="F90" s="210"/>
      <c r="G90" s="210"/>
      <c r="H90" s="210"/>
      <c r="I90" s="210"/>
      <c r="J90" s="210"/>
      <c r="K90" s="210"/>
      <c r="L90" s="210"/>
      <c r="M90" s="211"/>
      <c r="N90" s="211"/>
      <c r="O90" s="211"/>
      <c r="P90" s="211"/>
      <c r="Q90" s="211"/>
      <c r="R90" s="210"/>
      <c r="S90" s="211"/>
      <c r="T90" s="211"/>
      <c r="U90" s="211"/>
      <c r="V90" s="211"/>
      <c r="W90" s="210">
        <v>17200.0</v>
      </c>
      <c r="X90" s="199">
        <v>2500.0</v>
      </c>
      <c r="Y90" s="199">
        <v>27700.0</v>
      </c>
      <c r="Z90" s="199"/>
      <c r="AA90" s="199"/>
      <c r="AB90" s="199"/>
      <c r="AC90" s="199"/>
      <c r="AD90" s="212" t="s">
        <v>683</v>
      </c>
      <c r="AE90" s="212" t="s">
        <v>683</v>
      </c>
      <c r="AF90" s="213" t="str">
        <f>Table1[[#This Row],[2019 Scope 1 (MeT Co2)]]</f>
        <v>#ERROR!</v>
      </c>
      <c r="AG90" s="214" t="str">
        <f t="shared" si="1"/>
        <v>#ERROR!</v>
      </c>
      <c r="AH90" s="215" t="str">
        <f t="shared" si="2"/>
        <v>#ERROR!</v>
      </c>
      <c r="AI90" s="209"/>
      <c r="AJ90" s="209"/>
      <c r="AK90" s="212" t="s">
        <v>683</v>
      </c>
      <c r="AL90" s="212" t="s">
        <v>683</v>
      </c>
      <c r="AM90" s="213" t="str">
        <f>Table1[[#This Row],[2019 Scope 2 ]]</f>
        <v>#ERROR!</v>
      </c>
      <c r="AN90" s="214" t="str">
        <f t="shared" si="3"/>
        <v>#ERROR!</v>
      </c>
      <c r="AO90" s="215" t="str">
        <f t="shared" si="4"/>
        <v>#ERROR!</v>
      </c>
      <c r="AP90" s="214" t="str">
        <f t="shared" si="5"/>
        <v>#ERROR!</v>
      </c>
      <c r="AQ90" s="215" t="str">
        <f t="shared" si="6"/>
        <v>#ERROR!</v>
      </c>
      <c r="AR90" s="216" t="str">
        <f>Table1[[#This Row],[2019 Scope 3 ]]</f>
        <v>#ERROR!</v>
      </c>
      <c r="AS90" s="217" t="str">
        <f t="shared" si="7"/>
        <v>#ERROR!</v>
      </c>
      <c r="AT90" s="218" t="str">
        <f t="shared" si="8"/>
        <v>#ERROR!</v>
      </c>
      <c r="BI90" s="4">
        <v>1464.0</v>
      </c>
    </row>
    <row r="91" ht="12.75" customHeight="1">
      <c r="A91" s="5">
        <f>companies!A91</f>
        <v>90</v>
      </c>
      <c r="B91" s="199" t="s">
        <v>1254</v>
      </c>
      <c r="C91" s="210">
        <v>897523.0</v>
      </c>
      <c r="D91" s="210">
        <v>975778.0</v>
      </c>
      <c r="E91" s="210">
        <v>975778.0</v>
      </c>
      <c r="F91" s="210"/>
      <c r="G91" s="210"/>
      <c r="H91" s="210"/>
      <c r="I91" s="210"/>
      <c r="J91" s="210"/>
      <c r="K91" s="210"/>
      <c r="L91" s="210"/>
      <c r="M91" s="211"/>
      <c r="N91" s="211"/>
      <c r="O91" s="211"/>
      <c r="P91" s="211"/>
      <c r="Q91" s="211"/>
      <c r="R91" s="210"/>
      <c r="S91" s="211"/>
      <c r="T91" s="211"/>
      <c r="U91" s="211"/>
      <c r="V91" s="211"/>
      <c r="W91" s="210" t="s">
        <v>536</v>
      </c>
      <c r="X91" s="199">
        <v>975778.0</v>
      </c>
      <c r="Y91" s="199"/>
      <c r="Z91" s="199"/>
      <c r="AA91" s="199"/>
      <c r="AB91" s="199"/>
      <c r="AC91" s="199"/>
      <c r="AD91" s="212" t="s">
        <v>683</v>
      </c>
      <c r="AE91" s="212" t="s">
        <v>683</v>
      </c>
      <c r="AF91" s="213" t="str">
        <f>Table1[[#This Row],[2019 Scope 1 (MeT Co2)]]</f>
        <v>#ERROR!</v>
      </c>
      <c r="AG91" s="214" t="str">
        <f t="shared" si="1"/>
        <v>#ERROR!</v>
      </c>
      <c r="AH91" s="215" t="str">
        <f t="shared" si="2"/>
        <v>#ERROR!</v>
      </c>
      <c r="AI91" s="209"/>
      <c r="AJ91" s="209"/>
      <c r="AK91" s="212" t="s">
        <v>683</v>
      </c>
      <c r="AL91" s="212" t="s">
        <v>683</v>
      </c>
      <c r="AM91" s="213" t="str">
        <f>Table1[[#This Row],[2019 Scope 2 ]]</f>
        <v>#ERROR!</v>
      </c>
      <c r="AN91" s="214" t="str">
        <f t="shared" si="3"/>
        <v>#ERROR!</v>
      </c>
      <c r="AO91" s="215" t="str">
        <f t="shared" si="4"/>
        <v>#ERROR!</v>
      </c>
      <c r="AP91" s="214" t="str">
        <f t="shared" si="5"/>
        <v>#ERROR!</v>
      </c>
      <c r="AQ91" s="215" t="str">
        <f t="shared" si="6"/>
        <v>#ERROR!</v>
      </c>
      <c r="AR91" s="216" t="str">
        <f>Table1[[#This Row],[2019 Scope 3 ]]</f>
        <v>#ERROR!</v>
      </c>
      <c r="AS91" s="217" t="str">
        <f t="shared" si="7"/>
        <v>#ERROR!</v>
      </c>
      <c r="AT91" s="218" t="str">
        <f t="shared" si="8"/>
        <v>#ERROR!</v>
      </c>
      <c r="BI91" s="4">
        <v>20384.0</v>
      </c>
    </row>
    <row r="92" ht="12.75" customHeight="1">
      <c r="A92" s="5">
        <f>companies!A92</f>
        <v>91</v>
      </c>
      <c r="B92" s="199" t="s">
        <v>1254</v>
      </c>
      <c r="C92" s="210">
        <v>147521.62</v>
      </c>
      <c r="D92" s="210">
        <v>690767.33</v>
      </c>
      <c r="E92" s="210">
        <v>690767.33</v>
      </c>
      <c r="F92" s="210"/>
      <c r="G92" s="210"/>
      <c r="H92" s="210"/>
      <c r="I92" s="210"/>
      <c r="J92" s="210"/>
      <c r="K92" s="210"/>
      <c r="L92" s="210"/>
      <c r="M92" s="211"/>
      <c r="N92" s="211"/>
      <c r="O92" s="211"/>
      <c r="P92" s="211"/>
      <c r="Q92" s="211"/>
      <c r="R92" s="210"/>
      <c r="S92" s="211"/>
      <c r="T92" s="211"/>
      <c r="U92" s="211"/>
      <c r="V92" s="211"/>
      <c r="W92" s="210" t="s">
        <v>536</v>
      </c>
      <c r="X92" s="199">
        <v>690767.33</v>
      </c>
      <c r="Y92" s="199"/>
      <c r="Z92" s="212"/>
      <c r="AA92" s="212"/>
      <c r="AB92" s="212"/>
      <c r="AC92" s="212"/>
      <c r="AD92" s="212" t="e">
        <v>#N/A</v>
      </c>
      <c r="AE92" s="212" t="e">
        <v>#N/A</v>
      </c>
      <c r="AF92" s="213" t="str">
        <f>Table1[[#This Row],[2019 Scope 1 (MeT Co2)]]</f>
        <v>#ERROR!</v>
      </c>
      <c r="AG92" s="214" t="str">
        <f t="shared" si="1"/>
        <v>#ERROR!</v>
      </c>
      <c r="AH92" s="215" t="str">
        <f t="shared" si="2"/>
        <v>#ERROR!</v>
      </c>
      <c r="AI92" s="209"/>
      <c r="AJ92" s="209"/>
      <c r="AK92" s="212" t="e">
        <v>#N/A</v>
      </c>
      <c r="AL92" s="212" t="e">
        <v>#N/A</v>
      </c>
      <c r="AM92" s="213" t="str">
        <f>Table1[[#This Row],[2019 Scope 2 ]]</f>
        <v>#ERROR!</v>
      </c>
      <c r="AN92" s="214" t="str">
        <f t="shared" si="3"/>
        <v>#ERROR!</v>
      </c>
      <c r="AO92" s="215" t="str">
        <f t="shared" si="4"/>
        <v>#ERROR!</v>
      </c>
      <c r="AP92" s="214" t="str">
        <f t="shared" si="5"/>
        <v>#ERROR!</v>
      </c>
      <c r="AQ92" s="215" t="str">
        <f t="shared" si="6"/>
        <v>#ERROR!</v>
      </c>
      <c r="AR92" s="216" t="str">
        <f>Table1[[#This Row],[2019 Scope 3 ]]</f>
        <v>#ERROR!</v>
      </c>
      <c r="AS92" s="217" t="str">
        <f t="shared" si="7"/>
        <v>#ERROR!</v>
      </c>
      <c r="AT92" s="218" t="str">
        <f t="shared" si="8"/>
        <v>#ERROR!</v>
      </c>
    </row>
    <row r="93" ht="12.75" customHeight="1">
      <c r="A93" s="5">
        <f>companies!A93</f>
        <v>92</v>
      </c>
      <c r="B93" s="199" t="s">
        <v>1254</v>
      </c>
      <c r="C93" s="210">
        <v>1.0874731E7</v>
      </c>
      <c r="D93" s="210">
        <v>885635.0</v>
      </c>
      <c r="E93" s="210">
        <v>885635.0</v>
      </c>
      <c r="F93" s="210"/>
      <c r="G93" s="210"/>
      <c r="H93" s="210"/>
      <c r="I93" s="210"/>
      <c r="J93" s="210"/>
      <c r="K93" s="210"/>
      <c r="L93" s="210"/>
      <c r="M93" s="211"/>
      <c r="N93" s="211"/>
      <c r="O93" s="211"/>
      <c r="P93" s="211"/>
      <c r="Q93" s="211"/>
      <c r="R93" s="210"/>
      <c r="S93" s="211"/>
      <c r="T93" s="211"/>
      <c r="U93" s="211"/>
      <c r="V93" s="211"/>
      <c r="W93" s="210">
        <v>17138.0</v>
      </c>
      <c r="X93" s="199">
        <v>885635.0</v>
      </c>
      <c r="Y93" s="199">
        <v>1.1777504E7</v>
      </c>
      <c r="Z93" s="199"/>
      <c r="AA93" s="199"/>
      <c r="AB93" s="199"/>
      <c r="AC93" s="199"/>
      <c r="AD93" s="212" t="s">
        <v>683</v>
      </c>
      <c r="AE93" s="212" t="s">
        <v>683</v>
      </c>
      <c r="AF93" s="213" t="str">
        <f>Table1[[#This Row],[2019 Scope 1 (MeT Co2)]]</f>
        <v>#ERROR!</v>
      </c>
      <c r="AG93" s="214" t="str">
        <f t="shared" si="1"/>
        <v>#ERROR!</v>
      </c>
      <c r="AH93" s="215" t="str">
        <f t="shared" si="2"/>
        <v>#ERROR!</v>
      </c>
      <c r="AI93" s="209"/>
      <c r="AJ93" s="209"/>
      <c r="AK93" s="212" t="s">
        <v>683</v>
      </c>
      <c r="AL93" s="212" t="s">
        <v>683</v>
      </c>
      <c r="AM93" s="213" t="str">
        <f>Table1[[#This Row],[2019 Scope 2 ]]</f>
        <v>#ERROR!</v>
      </c>
      <c r="AN93" s="214" t="str">
        <f t="shared" si="3"/>
        <v>#ERROR!</v>
      </c>
      <c r="AO93" s="219" t="str">
        <f t="shared" si="4"/>
        <v>#ERROR!</v>
      </c>
      <c r="AP93" s="214" t="str">
        <f t="shared" si="5"/>
        <v>#ERROR!</v>
      </c>
      <c r="AQ93" s="219" t="str">
        <f t="shared" si="6"/>
        <v>#ERROR!</v>
      </c>
      <c r="AR93" s="216" t="str">
        <f>Table1[[#This Row],[2019 Scope 3 ]]</f>
        <v>#ERROR!</v>
      </c>
      <c r="AS93" s="217" t="str">
        <f t="shared" si="7"/>
        <v>#ERROR!</v>
      </c>
      <c r="AT93" s="218" t="str">
        <f t="shared" si="8"/>
        <v>#ERROR!</v>
      </c>
      <c r="BI93" s="199">
        <v>19845.0</v>
      </c>
    </row>
    <row r="94" ht="12.75" customHeight="1">
      <c r="A94" s="5">
        <f>companies!A94</f>
        <v>93</v>
      </c>
      <c r="B94" s="199" t="s">
        <v>1254</v>
      </c>
      <c r="C94" s="210">
        <v>13924.0</v>
      </c>
      <c r="D94" s="210">
        <v>158042.0</v>
      </c>
      <c r="E94" s="210">
        <v>158042.0</v>
      </c>
      <c r="F94" s="210"/>
      <c r="G94" s="210"/>
      <c r="H94" s="210"/>
      <c r="I94" s="210"/>
      <c r="J94" s="210"/>
      <c r="K94" s="210"/>
      <c r="L94" s="210"/>
      <c r="M94" s="211"/>
      <c r="N94" s="211"/>
      <c r="O94" s="211"/>
      <c r="P94" s="211"/>
      <c r="Q94" s="211"/>
      <c r="R94" s="210"/>
      <c r="S94" s="211"/>
      <c r="T94" s="211"/>
      <c r="U94" s="211"/>
      <c r="V94" s="211"/>
      <c r="W94" s="210">
        <v>301410.0</v>
      </c>
      <c r="X94" s="199">
        <v>158042.0</v>
      </c>
      <c r="Y94" s="199">
        <v>473376.0</v>
      </c>
      <c r="Z94" s="199"/>
      <c r="AA94" s="199"/>
      <c r="AB94" s="199"/>
      <c r="AC94" s="199"/>
      <c r="AD94" s="212" t="s">
        <v>683</v>
      </c>
      <c r="AE94" s="212" t="s">
        <v>683</v>
      </c>
      <c r="AF94" s="213" t="str">
        <f>Table1[[#This Row],[2019 Scope 1 (MeT Co2)]]</f>
        <v>#ERROR!</v>
      </c>
      <c r="AG94" s="214" t="str">
        <f t="shared" si="1"/>
        <v>#ERROR!</v>
      </c>
      <c r="AH94" s="215" t="str">
        <f t="shared" si="2"/>
        <v>#ERROR!</v>
      </c>
      <c r="AI94" s="209"/>
      <c r="AJ94" s="209"/>
      <c r="AK94" s="212" t="s">
        <v>683</v>
      </c>
      <c r="AL94" s="212" t="s">
        <v>683</v>
      </c>
      <c r="AM94" s="213" t="str">
        <f>Table1[[#This Row],[2019 Scope 2 ]]</f>
        <v>#ERROR!</v>
      </c>
      <c r="AN94" s="214" t="str">
        <f t="shared" si="3"/>
        <v>#ERROR!</v>
      </c>
      <c r="AO94" s="215" t="str">
        <f t="shared" si="4"/>
        <v>#ERROR!</v>
      </c>
      <c r="AP94" s="214" t="str">
        <f t="shared" si="5"/>
        <v>#ERROR!</v>
      </c>
      <c r="AQ94" s="215" t="str">
        <f t="shared" si="6"/>
        <v>#ERROR!</v>
      </c>
      <c r="AR94" s="216" t="str">
        <f>Table1[[#This Row],[2019 Scope 3 ]]</f>
        <v>#ERROR!</v>
      </c>
      <c r="AS94" s="217" t="str">
        <f t="shared" si="7"/>
        <v>#ERROR!</v>
      </c>
      <c r="AT94" s="218" t="str">
        <f t="shared" si="8"/>
        <v>#ERROR!</v>
      </c>
      <c r="BI94" s="4">
        <v>19858.0</v>
      </c>
    </row>
    <row r="95" ht="12.75" customHeight="1">
      <c r="A95" s="5">
        <f>companies!A95</f>
        <v>94</v>
      </c>
      <c r="B95" s="199" t="s">
        <v>1254</v>
      </c>
      <c r="C95" s="210">
        <v>1.3851E7</v>
      </c>
      <c r="D95" s="210">
        <v>784000.0</v>
      </c>
      <c r="E95" s="210">
        <v>784000.0</v>
      </c>
      <c r="F95" s="210"/>
      <c r="G95" s="210"/>
      <c r="H95" s="210"/>
      <c r="I95" s="210"/>
      <c r="J95" s="210"/>
      <c r="K95" s="210"/>
      <c r="L95" s="210"/>
      <c r="M95" s="211"/>
      <c r="N95" s="211"/>
      <c r="O95" s="211"/>
      <c r="P95" s="211"/>
      <c r="Q95" s="211"/>
      <c r="R95" s="210"/>
      <c r="S95" s="211"/>
      <c r="T95" s="211"/>
      <c r="U95" s="211"/>
      <c r="V95" s="211"/>
      <c r="W95" s="210">
        <v>2.1783E7</v>
      </c>
      <c r="X95" s="199">
        <v>784000.0</v>
      </c>
      <c r="Y95" s="199">
        <v>3.6418E7</v>
      </c>
      <c r="Z95" s="199"/>
      <c r="AA95" s="199"/>
      <c r="AB95" s="199"/>
      <c r="AC95" s="199"/>
      <c r="AD95" s="212" t="s">
        <v>683</v>
      </c>
      <c r="AE95" s="212" t="s">
        <v>683</v>
      </c>
      <c r="AF95" s="213" t="str">
        <f>Table1[[#This Row],[2019 Scope 1 (MeT Co2)]]</f>
        <v>#ERROR!</v>
      </c>
      <c r="AG95" s="214" t="str">
        <f t="shared" si="1"/>
        <v>#ERROR!</v>
      </c>
      <c r="AH95" s="215" t="str">
        <f t="shared" si="2"/>
        <v>#ERROR!</v>
      </c>
      <c r="AI95" s="209"/>
      <c r="AJ95" s="209"/>
      <c r="AK95" s="212" t="s">
        <v>683</v>
      </c>
      <c r="AL95" s="212" t="s">
        <v>683</v>
      </c>
      <c r="AM95" s="213" t="str">
        <f>Table1[[#This Row],[2019 Scope 2 ]]</f>
        <v>#ERROR!</v>
      </c>
      <c r="AN95" s="214" t="str">
        <f t="shared" si="3"/>
        <v>#ERROR!</v>
      </c>
      <c r="AO95" s="215" t="str">
        <f t="shared" si="4"/>
        <v>#ERROR!</v>
      </c>
      <c r="AP95" s="214" t="str">
        <f t="shared" si="5"/>
        <v>#ERROR!</v>
      </c>
      <c r="AQ95" s="215" t="str">
        <f t="shared" si="6"/>
        <v>#ERROR!</v>
      </c>
      <c r="AR95" s="216" t="str">
        <f>Table1[[#This Row],[2019 Scope 3 ]]</f>
        <v>#ERROR!</v>
      </c>
      <c r="AS95" s="217" t="str">
        <f t="shared" si="7"/>
        <v>#ERROR!</v>
      </c>
      <c r="AT95" s="218" t="str">
        <f t="shared" si="8"/>
        <v>#ERROR!</v>
      </c>
      <c r="BI95" s="4">
        <v>19898.0</v>
      </c>
    </row>
    <row r="96" ht="12.75" customHeight="1">
      <c r="A96" s="5">
        <f>companies!A96</f>
        <v>95</v>
      </c>
      <c r="B96" s="199" t="s">
        <v>1254</v>
      </c>
      <c r="C96" s="210">
        <v>63333.0</v>
      </c>
      <c r="D96" s="210">
        <v>233322.0</v>
      </c>
      <c r="E96" s="210">
        <v>233322.0</v>
      </c>
      <c r="F96" s="210"/>
      <c r="G96" s="210"/>
      <c r="H96" s="210"/>
      <c r="I96" s="210"/>
      <c r="J96" s="210"/>
      <c r="K96" s="210"/>
      <c r="L96" s="210"/>
      <c r="M96" s="211"/>
      <c r="N96" s="211"/>
      <c r="O96" s="211"/>
      <c r="P96" s="211"/>
      <c r="Q96" s="211"/>
      <c r="R96" s="210"/>
      <c r="S96" s="211"/>
      <c r="T96" s="211"/>
      <c r="U96" s="211"/>
      <c r="V96" s="211"/>
      <c r="W96" s="210">
        <v>382519.0</v>
      </c>
      <c r="X96" s="199">
        <v>233322.0</v>
      </c>
      <c r="Y96" s="199">
        <v>679174.0</v>
      </c>
      <c r="Z96" s="199"/>
      <c r="AA96" s="199"/>
      <c r="AB96" s="199"/>
      <c r="AC96" s="199"/>
      <c r="AD96" s="212" t="s">
        <v>1255</v>
      </c>
      <c r="AE96" s="212" t="s">
        <v>1256</v>
      </c>
      <c r="AF96" s="213" t="str">
        <f>Table1[[#This Row],[2019 Scope 1 (MeT Co2)]]</f>
        <v>#ERROR!</v>
      </c>
      <c r="AG96" s="214" t="str">
        <f t="shared" si="1"/>
        <v>#ERROR!</v>
      </c>
      <c r="AH96" s="215" t="str">
        <f t="shared" si="2"/>
        <v>#ERROR!</v>
      </c>
      <c r="AI96" s="209"/>
      <c r="AJ96" s="209"/>
      <c r="AK96" s="212" t="s">
        <v>1255</v>
      </c>
      <c r="AL96" s="212" t="s">
        <v>1256</v>
      </c>
      <c r="AM96" s="213" t="str">
        <f>Table1[[#This Row],[2019 Scope 2 ]]</f>
        <v>#ERROR!</v>
      </c>
      <c r="AN96" s="214" t="str">
        <f t="shared" si="3"/>
        <v>#ERROR!</v>
      </c>
      <c r="AO96" s="215" t="str">
        <f t="shared" si="4"/>
        <v>#ERROR!</v>
      </c>
      <c r="AP96" s="214" t="str">
        <f t="shared" si="5"/>
        <v>#ERROR!</v>
      </c>
      <c r="AQ96" s="215" t="str">
        <f t="shared" si="6"/>
        <v>#ERROR!</v>
      </c>
      <c r="AR96" s="216" t="str">
        <f>Table1[[#This Row],[2019 Scope 3 ]]</f>
        <v>#ERROR!</v>
      </c>
      <c r="AS96" s="217" t="str">
        <f t="shared" si="7"/>
        <v>#ERROR!</v>
      </c>
      <c r="AT96" s="218" t="str">
        <f t="shared" si="8"/>
        <v>#ERROR!</v>
      </c>
      <c r="BI96" s="4">
        <v>19593.0</v>
      </c>
    </row>
    <row r="97" ht="12.75" customHeight="1">
      <c r="A97" s="5">
        <f>companies!A97</f>
        <v>96</v>
      </c>
      <c r="B97" s="199" t="s">
        <v>1254</v>
      </c>
      <c r="C97" s="210">
        <v>385241.0</v>
      </c>
      <c r="D97" s="210">
        <v>4033579.0</v>
      </c>
      <c r="E97" s="210">
        <v>4033579.0</v>
      </c>
      <c r="F97" s="210"/>
      <c r="G97" s="210"/>
      <c r="H97" s="210"/>
      <c r="I97" s="210"/>
      <c r="J97" s="210"/>
      <c r="K97" s="210"/>
      <c r="L97" s="210"/>
      <c r="M97" s="211"/>
      <c r="N97" s="211"/>
      <c r="O97" s="211"/>
      <c r="P97" s="211"/>
      <c r="Q97" s="211"/>
      <c r="R97" s="210"/>
      <c r="S97" s="211"/>
      <c r="T97" s="211"/>
      <c r="U97" s="211"/>
      <c r="V97" s="211"/>
      <c r="W97" s="210" t="s">
        <v>536</v>
      </c>
      <c r="X97" s="199">
        <v>4033579.0</v>
      </c>
      <c r="Y97" s="199"/>
      <c r="Z97" s="199"/>
      <c r="AA97" s="199"/>
      <c r="AB97" s="199"/>
      <c r="AC97" s="199"/>
      <c r="AD97" s="212" t="s">
        <v>683</v>
      </c>
      <c r="AE97" s="212" t="s">
        <v>683</v>
      </c>
      <c r="AF97" s="213" t="str">
        <f>Table1[[#This Row],[2019 Scope 1 (MeT Co2)]]</f>
        <v>#ERROR!</v>
      </c>
      <c r="AG97" s="214" t="str">
        <f t="shared" si="1"/>
        <v>#ERROR!</v>
      </c>
      <c r="AH97" s="215" t="str">
        <f t="shared" si="2"/>
        <v>#ERROR!</v>
      </c>
      <c r="AI97" s="209"/>
      <c r="AJ97" s="209"/>
      <c r="AK97" s="212" t="s">
        <v>683</v>
      </c>
      <c r="AL97" s="212" t="s">
        <v>683</v>
      </c>
      <c r="AM97" s="213" t="str">
        <f>Table1[[#This Row],[2019 Scope 2 ]]</f>
        <v>#ERROR!</v>
      </c>
      <c r="AN97" s="214" t="str">
        <f t="shared" si="3"/>
        <v>#ERROR!</v>
      </c>
      <c r="AO97" s="215" t="str">
        <f t="shared" si="4"/>
        <v>#ERROR!</v>
      </c>
      <c r="AP97" s="214" t="str">
        <f t="shared" si="5"/>
        <v>#ERROR!</v>
      </c>
      <c r="AQ97" s="215" t="str">
        <f t="shared" si="6"/>
        <v>#ERROR!</v>
      </c>
      <c r="AR97" s="216" t="str">
        <f>Table1[[#This Row],[2019 Scope 3 ]]</f>
        <v>#ERROR!</v>
      </c>
      <c r="AS97" s="217" t="str">
        <f t="shared" si="7"/>
        <v>#ERROR!</v>
      </c>
      <c r="AT97" s="218" t="str">
        <f t="shared" si="8"/>
        <v>#ERROR!</v>
      </c>
      <c r="BI97" s="4">
        <v>20175.0</v>
      </c>
    </row>
    <row r="98" ht="12.75" customHeight="1">
      <c r="A98" s="5">
        <f>companies!A98</f>
        <v>97</v>
      </c>
      <c r="B98" s="199" t="s">
        <v>1254</v>
      </c>
      <c r="C98" s="210">
        <v>8621.699999999999</v>
      </c>
      <c r="D98" s="210">
        <v>54604.1</v>
      </c>
      <c r="E98" s="210">
        <v>54604.1</v>
      </c>
      <c r="F98" s="210"/>
      <c r="G98" s="210"/>
      <c r="H98" s="210"/>
      <c r="I98" s="210"/>
      <c r="J98" s="210"/>
      <c r="K98" s="210"/>
      <c r="L98" s="210"/>
      <c r="M98" s="211"/>
      <c r="N98" s="211"/>
      <c r="O98" s="211"/>
      <c r="P98" s="211"/>
      <c r="Q98" s="211"/>
      <c r="R98" s="210"/>
      <c r="S98" s="211"/>
      <c r="T98" s="211"/>
      <c r="U98" s="211"/>
      <c r="V98" s="211"/>
      <c r="W98" s="210">
        <v>232156.0</v>
      </c>
      <c r="X98" s="199">
        <v>54604.1</v>
      </c>
      <c r="Y98" s="199">
        <v>295381.8</v>
      </c>
      <c r="Z98" s="199"/>
      <c r="AA98" s="199"/>
      <c r="AB98" s="199"/>
      <c r="AC98" s="199"/>
      <c r="AD98" s="212" t="s">
        <v>683</v>
      </c>
      <c r="AE98" s="212" t="s">
        <v>683</v>
      </c>
      <c r="AF98" s="213" t="str">
        <f>Table1[[#This Row],[2019 Scope 1 (MeT Co2)]]</f>
        <v>#ERROR!</v>
      </c>
      <c r="AG98" s="214" t="str">
        <f t="shared" si="1"/>
        <v>#ERROR!</v>
      </c>
      <c r="AH98" s="215" t="str">
        <f t="shared" si="2"/>
        <v>#ERROR!</v>
      </c>
      <c r="AI98" s="209"/>
      <c r="AJ98" s="209"/>
      <c r="AK98" s="212" t="s">
        <v>683</v>
      </c>
      <c r="AL98" s="212" t="s">
        <v>683</v>
      </c>
      <c r="AM98" s="213" t="str">
        <f>Table1[[#This Row],[2019 Scope 2 ]]</f>
        <v>#ERROR!</v>
      </c>
      <c r="AN98" s="214" t="str">
        <f t="shared" si="3"/>
        <v>#ERROR!</v>
      </c>
      <c r="AO98" s="215" t="str">
        <f t="shared" si="4"/>
        <v>#ERROR!</v>
      </c>
      <c r="AP98" s="214" t="str">
        <f t="shared" si="5"/>
        <v>#ERROR!</v>
      </c>
      <c r="AQ98" s="215" t="str">
        <f t="shared" si="6"/>
        <v>#ERROR!</v>
      </c>
      <c r="AR98" s="216" t="str">
        <f>Table1[[#This Row],[2019 Scope 3 ]]</f>
        <v>#ERROR!</v>
      </c>
      <c r="AS98" s="217" t="str">
        <f t="shared" si="7"/>
        <v>#ERROR!</v>
      </c>
      <c r="AT98" s="218" t="str">
        <f t="shared" si="8"/>
        <v>#ERROR!</v>
      </c>
      <c r="BI98" s="4">
        <v>22867.0</v>
      </c>
    </row>
    <row r="99" ht="12.75" customHeight="1">
      <c r="A99" s="5">
        <f>companies!A99</f>
        <v>98</v>
      </c>
      <c r="B99" s="199" t="s">
        <v>1254</v>
      </c>
      <c r="C99" s="210">
        <v>370000.0</v>
      </c>
      <c r="D99" s="210">
        <v>1639000.0</v>
      </c>
      <c r="E99" s="210">
        <v>1639000.0</v>
      </c>
      <c r="F99" s="210"/>
      <c r="G99" s="210"/>
      <c r="H99" s="210"/>
      <c r="I99" s="210"/>
      <c r="J99" s="210"/>
      <c r="K99" s="210"/>
      <c r="L99" s="210"/>
      <c r="M99" s="211"/>
      <c r="N99" s="211"/>
      <c r="O99" s="211"/>
      <c r="P99" s="211"/>
      <c r="Q99" s="211"/>
      <c r="R99" s="210"/>
      <c r="S99" s="211"/>
      <c r="T99" s="211"/>
      <c r="U99" s="211"/>
      <c r="V99" s="211"/>
      <c r="W99" s="210">
        <v>120000.0</v>
      </c>
      <c r="X99" s="199">
        <v>1639000.0</v>
      </c>
      <c r="Y99" s="199">
        <v>2129000.0</v>
      </c>
      <c r="Z99" s="199"/>
      <c r="AA99" s="199"/>
      <c r="AB99" s="199"/>
      <c r="AC99" s="199"/>
      <c r="AD99" s="212" t="s">
        <v>683</v>
      </c>
      <c r="AE99" s="212" t="s">
        <v>683</v>
      </c>
      <c r="AF99" s="213" t="str">
        <f>Table1[[#This Row],[2019 Scope 1 (MeT Co2)]]</f>
        <v>#ERROR!</v>
      </c>
      <c r="AG99" s="214" t="str">
        <f t="shared" si="1"/>
        <v>#ERROR!</v>
      </c>
      <c r="AH99" s="215" t="str">
        <f t="shared" si="2"/>
        <v>#ERROR!</v>
      </c>
      <c r="AI99" s="209"/>
      <c r="AJ99" s="209"/>
      <c r="AK99" s="212" t="s">
        <v>683</v>
      </c>
      <c r="AL99" s="212" t="s">
        <v>683</v>
      </c>
      <c r="AM99" s="213" t="str">
        <f>Table1[[#This Row],[2019 Scope 2 ]]</f>
        <v>#ERROR!</v>
      </c>
      <c r="AN99" s="214" t="str">
        <f t="shared" si="3"/>
        <v>#ERROR!</v>
      </c>
      <c r="AO99" s="215" t="str">
        <f t="shared" si="4"/>
        <v>#ERROR!</v>
      </c>
      <c r="AP99" s="214" t="str">
        <f t="shared" si="5"/>
        <v>#ERROR!</v>
      </c>
      <c r="AQ99" s="215" t="str">
        <f t="shared" si="6"/>
        <v>#ERROR!</v>
      </c>
      <c r="AR99" s="216" t="str">
        <f>Table1[[#This Row],[2019 Scope 3 ]]</f>
        <v>#ERROR!</v>
      </c>
      <c r="AS99" s="217" t="str">
        <f t="shared" si="7"/>
        <v>#ERROR!</v>
      </c>
      <c r="AT99" s="218" t="str">
        <f t="shared" si="8"/>
        <v>#ERROR!</v>
      </c>
      <c r="BI99" s="199">
        <v>20398.0</v>
      </c>
    </row>
    <row r="100" ht="12.75" customHeight="1">
      <c r="A100" s="5">
        <f>companies!A100</f>
        <v>99</v>
      </c>
      <c r="B100" s="199" t="s">
        <v>1254</v>
      </c>
      <c r="C100" s="210">
        <v>6101641.0</v>
      </c>
      <c r="D100" s="210">
        <v>1.2022083E7</v>
      </c>
      <c r="E100" s="210">
        <v>1.2022083E7</v>
      </c>
      <c r="F100" s="210"/>
      <c r="G100" s="210"/>
      <c r="H100" s="210"/>
      <c r="I100" s="210"/>
      <c r="J100" s="210"/>
      <c r="K100" s="210"/>
      <c r="L100" s="210"/>
      <c r="M100" s="211"/>
      <c r="N100" s="211"/>
      <c r="O100" s="211"/>
      <c r="P100" s="211"/>
      <c r="Q100" s="211"/>
      <c r="R100" s="210"/>
      <c r="S100" s="211"/>
      <c r="T100" s="211"/>
      <c r="U100" s="211"/>
      <c r="V100" s="211"/>
      <c r="W100" s="210">
        <v>1.84474411E8</v>
      </c>
      <c r="X100" s="199">
        <v>1.2022083E7</v>
      </c>
      <c r="Y100" s="199">
        <v>2.02598135E8</v>
      </c>
      <c r="Z100" s="199"/>
      <c r="AA100" s="199"/>
      <c r="AB100" s="199"/>
      <c r="AC100" s="199"/>
      <c r="AD100" s="212" t="s">
        <v>683</v>
      </c>
      <c r="AE100" s="212" t="s">
        <v>683</v>
      </c>
      <c r="AF100" s="213" t="str">
        <f>Table1[[#This Row],[2019 Scope 1 (MeT Co2)]]</f>
        <v>#ERROR!</v>
      </c>
      <c r="AG100" s="214" t="str">
        <f t="shared" si="1"/>
        <v>#ERROR!</v>
      </c>
      <c r="AH100" s="215" t="str">
        <f t="shared" si="2"/>
        <v>#ERROR!</v>
      </c>
      <c r="AI100" s="209"/>
      <c r="AJ100" s="209"/>
      <c r="AK100" s="212" t="s">
        <v>683</v>
      </c>
      <c r="AL100" s="212" t="s">
        <v>683</v>
      </c>
      <c r="AM100" s="213" t="str">
        <f>Table1[[#This Row],[2019 Scope 2 ]]</f>
        <v>#ERROR!</v>
      </c>
      <c r="AN100" s="214" t="str">
        <f t="shared" si="3"/>
        <v>#ERROR!</v>
      </c>
      <c r="AO100" s="215" t="str">
        <f t="shared" si="4"/>
        <v>#ERROR!</v>
      </c>
      <c r="AP100" s="214" t="str">
        <f t="shared" si="5"/>
        <v>#ERROR!</v>
      </c>
      <c r="AQ100" s="215" t="str">
        <f t="shared" si="6"/>
        <v>#ERROR!</v>
      </c>
      <c r="AR100" s="216" t="str">
        <f>Table1[[#This Row],[2019 Scope 3 ]]</f>
        <v>#ERROR!</v>
      </c>
      <c r="AS100" s="217" t="str">
        <f t="shared" si="7"/>
        <v>#ERROR!</v>
      </c>
      <c r="AT100" s="218" t="str">
        <f t="shared" si="8"/>
        <v>#ERROR!</v>
      </c>
      <c r="BI100" s="4">
        <v>20402.0</v>
      </c>
    </row>
    <row r="101" ht="12.75" customHeight="1">
      <c r="A101" s="5">
        <f>companies!A101</f>
        <v>100</v>
      </c>
      <c r="B101" s="199" t="s">
        <v>1254</v>
      </c>
      <c r="C101" s="210">
        <v>95316.0</v>
      </c>
      <c r="D101" s="210">
        <v>833204.0</v>
      </c>
      <c r="E101" s="210">
        <v>833204.0</v>
      </c>
      <c r="F101" s="210"/>
      <c r="G101" s="210"/>
      <c r="H101" s="210"/>
      <c r="I101" s="210"/>
      <c r="J101" s="210"/>
      <c r="K101" s="210"/>
      <c r="L101" s="210"/>
      <c r="M101" s="211"/>
      <c r="N101" s="211"/>
      <c r="O101" s="211"/>
      <c r="P101" s="211"/>
      <c r="Q101" s="211"/>
      <c r="R101" s="210"/>
      <c r="S101" s="211"/>
      <c r="T101" s="211"/>
      <c r="U101" s="211"/>
      <c r="V101" s="211"/>
      <c r="W101" s="210">
        <v>3781802.0</v>
      </c>
      <c r="X101" s="199">
        <v>833204.0</v>
      </c>
      <c r="Y101" s="199">
        <v>4710322.0</v>
      </c>
      <c r="Z101" s="199"/>
      <c r="AA101" s="199"/>
      <c r="AB101" s="199"/>
      <c r="AC101" s="199"/>
      <c r="AD101" s="212" t="s">
        <v>683</v>
      </c>
      <c r="AE101" s="212" t="s">
        <v>683</v>
      </c>
      <c r="AF101" s="213" t="str">
        <f>Table1[[#This Row],[2019 Scope 1 (MeT Co2)]]</f>
        <v>#ERROR!</v>
      </c>
      <c r="AG101" s="214" t="str">
        <f t="shared" si="1"/>
        <v>#ERROR!</v>
      </c>
      <c r="AH101" s="215" t="str">
        <f t="shared" si="2"/>
        <v>#ERROR!</v>
      </c>
      <c r="AI101" s="209"/>
      <c r="AJ101" s="209"/>
      <c r="AK101" s="212" t="s">
        <v>683</v>
      </c>
      <c r="AL101" s="212" t="s">
        <v>683</v>
      </c>
      <c r="AM101" s="213" t="str">
        <f>Table1[[#This Row],[2019 Scope 2 ]]</f>
        <v>#ERROR!</v>
      </c>
      <c r="AN101" s="214" t="str">
        <f t="shared" si="3"/>
        <v>#ERROR!</v>
      </c>
      <c r="AO101" s="215" t="str">
        <f t="shared" si="4"/>
        <v>#ERROR!</v>
      </c>
      <c r="AP101" s="214" t="str">
        <f t="shared" si="5"/>
        <v>#ERROR!</v>
      </c>
      <c r="AQ101" s="215" t="str">
        <f t="shared" si="6"/>
        <v>#ERROR!</v>
      </c>
      <c r="AR101" s="216" t="str">
        <f>Table1[[#This Row],[2019 Scope 3 ]]</f>
        <v>#ERROR!</v>
      </c>
      <c r="AS101" s="217" t="str">
        <f t="shared" si="7"/>
        <v>#ERROR!</v>
      </c>
      <c r="AT101" s="218" t="str">
        <f t="shared" si="8"/>
        <v>#ERROR!</v>
      </c>
      <c r="BI101" s="4">
        <v>20575.0</v>
      </c>
    </row>
    <row r="102" ht="12.75" customHeight="1">
      <c r="A102" s="4"/>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I102" s="209"/>
      <c r="AJ102" s="209"/>
    </row>
    <row r="103" ht="12.75" customHeight="1">
      <c r="A103" s="4"/>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I103" s="209"/>
      <c r="AJ103" s="209"/>
    </row>
    <row r="104" ht="12.75" customHeight="1">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I104" s="209"/>
      <c r="AJ104" s="209"/>
    </row>
    <row r="105" ht="12.75" customHeight="1">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I105" s="209"/>
      <c r="AJ105" s="209"/>
    </row>
    <row r="106" ht="12.75" customHeight="1">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I106" s="209"/>
      <c r="AJ106" s="209"/>
    </row>
    <row r="107" ht="12.75" customHeight="1">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I107" s="209"/>
      <c r="AJ107" s="209"/>
    </row>
    <row r="108" ht="12.75" customHeight="1">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I108" s="209"/>
      <c r="AJ108" s="209"/>
    </row>
    <row r="109" ht="12.75" customHeight="1">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I109" s="209"/>
      <c r="AJ109" s="209"/>
    </row>
    <row r="110" ht="12.75" customHeight="1">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I110" s="209"/>
      <c r="AJ110" s="209"/>
    </row>
    <row r="111" ht="12.75" customHeight="1">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I111" s="209"/>
      <c r="AJ111" s="209"/>
    </row>
    <row r="112" ht="12.75" customHeight="1">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I112" s="209"/>
      <c r="AJ112" s="209"/>
    </row>
    <row r="113" ht="12.75" customHeight="1">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I113" s="209"/>
      <c r="AJ113" s="209"/>
    </row>
    <row r="114" ht="12.75" customHeight="1">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I114" s="209"/>
      <c r="AJ114" s="209"/>
    </row>
    <row r="115" ht="12.75" customHeight="1">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I115" s="209"/>
      <c r="AJ115" s="209"/>
    </row>
    <row r="116" ht="12.75" customHeight="1">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I116" s="209"/>
      <c r="AJ116" s="209"/>
    </row>
    <row r="117" ht="12.75" customHeight="1">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I117" s="209"/>
      <c r="AJ117" s="209"/>
    </row>
    <row r="118" ht="12.75" customHeight="1">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I118" s="209"/>
      <c r="AJ118" s="209"/>
    </row>
    <row r="119" ht="12.75" customHeight="1">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I119" s="209"/>
      <c r="AJ119" s="209"/>
    </row>
    <row r="120" ht="12.75" customHeight="1">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I120" s="209"/>
      <c r="AJ120" s="209"/>
    </row>
    <row r="121" ht="12.75" customHeight="1">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I121" s="209"/>
      <c r="AJ121" s="209"/>
    </row>
    <row r="122" ht="12.75" customHeight="1">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I122" s="209"/>
      <c r="AJ122" s="209"/>
    </row>
    <row r="123" ht="12.75" customHeight="1">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I123" s="209"/>
      <c r="AJ123" s="209"/>
    </row>
    <row r="124" ht="12.75" customHeight="1">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I124" s="209"/>
      <c r="AJ124" s="209"/>
    </row>
    <row r="125" ht="12.75" customHeight="1">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I125" s="209"/>
      <c r="AJ125" s="209"/>
    </row>
    <row r="126" ht="12.75" customHeight="1">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I126" s="209"/>
      <c r="AJ126" s="209"/>
    </row>
    <row r="127" ht="12.75" customHeight="1">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I127" s="209"/>
      <c r="AJ127" s="209"/>
    </row>
    <row r="128" ht="12.75" customHeight="1">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I128" s="209"/>
      <c r="AJ128" s="209"/>
    </row>
    <row r="129" ht="12.75" customHeight="1">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I129" s="209"/>
      <c r="AJ129" s="209"/>
    </row>
    <row r="130" ht="12.75" customHeight="1">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I130" s="209"/>
      <c r="AJ130" s="209"/>
    </row>
    <row r="131" ht="12.75" customHeight="1">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I131" s="209"/>
      <c r="AJ131" s="209"/>
    </row>
    <row r="132" ht="12.75" customHeight="1">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I132" s="209"/>
      <c r="AJ132" s="209"/>
    </row>
    <row r="133" ht="12.75" customHeight="1">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I133" s="209"/>
      <c r="AJ133" s="209"/>
    </row>
    <row r="134" ht="12.75" customHeight="1">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I134" s="209"/>
      <c r="AJ134" s="209"/>
    </row>
    <row r="135" ht="12.75" customHeight="1">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I135" s="209"/>
      <c r="AJ135" s="209"/>
    </row>
    <row r="136" ht="12.75" customHeight="1">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I136" s="209"/>
      <c r="AJ136" s="209"/>
    </row>
    <row r="137" ht="12.75" customHeight="1">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I137" s="209"/>
      <c r="AJ137" s="209"/>
    </row>
    <row r="138" ht="12.75" customHeight="1">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I138" s="209"/>
      <c r="AJ138" s="209"/>
    </row>
    <row r="139" ht="12.75" customHeight="1">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I139" s="209"/>
      <c r="AJ139" s="209"/>
    </row>
    <row r="140" ht="12.75" customHeight="1">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I140" s="209"/>
      <c r="AJ140" s="209"/>
    </row>
    <row r="141" ht="12.75" customHeight="1">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I141" s="209"/>
      <c r="AJ141" s="209"/>
    </row>
    <row r="142" ht="12.75" customHeight="1">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I142" s="209"/>
      <c r="AJ142" s="209"/>
    </row>
    <row r="143" ht="12.75" customHeight="1">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I143" s="209"/>
      <c r="AJ143" s="209"/>
    </row>
    <row r="144" ht="12.75" customHeight="1">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I144" s="209"/>
      <c r="AJ144" s="209"/>
    </row>
    <row r="145" ht="12.75" customHeight="1">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I145" s="209"/>
      <c r="AJ145" s="209"/>
    </row>
    <row r="146" ht="12.75" customHeight="1">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I146" s="209"/>
      <c r="AJ146" s="209"/>
    </row>
    <row r="147" ht="12.75" customHeight="1">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I147" s="209"/>
      <c r="AJ147" s="209"/>
    </row>
    <row r="148" ht="12.75" customHeight="1">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I148" s="209"/>
      <c r="AJ148" s="209"/>
    </row>
    <row r="149" ht="12.75" customHeight="1">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I149" s="209"/>
      <c r="AJ149" s="209"/>
    </row>
    <row r="150" ht="12.75" customHeight="1">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I150" s="209"/>
      <c r="AJ150" s="209"/>
    </row>
    <row r="151" ht="12.75" customHeight="1">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I151" s="209"/>
      <c r="AJ151" s="209"/>
    </row>
    <row r="152" ht="12.75" customHeight="1">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I152" s="209"/>
      <c r="AJ152" s="209"/>
    </row>
    <row r="153" ht="12.75" customHeight="1">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I153" s="209"/>
      <c r="AJ153" s="209"/>
    </row>
    <row r="154" ht="12.75" customHeight="1">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I154" s="209"/>
      <c r="AJ154" s="209"/>
    </row>
    <row r="155" ht="12.75" customHeight="1">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I155" s="209"/>
      <c r="AJ155" s="209"/>
    </row>
    <row r="156" ht="12.75" customHeight="1">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I156" s="209"/>
      <c r="AJ156" s="209"/>
    </row>
    <row r="157" ht="12.75" customHeight="1">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I157" s="209"/>
      <c r="AJ157" s="209"/>
    </row>
    <row r="158" ht="12.75" customHeight="1">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I158" s="209"/>
      <c r="AJ158" s="209"/>
    </row>
    <row r="159" ht="12.75" customHeight="1">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I159" s="209"/>
      <c r="AJ159" s="209"/>
    </row>
    <row r="160" ht="12.75" customHeight="1">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I160" s="209"/>
      <c r="AJ160" s="209"/>
    </row>
    <row r="161" ht="12.75" customHeight="1">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I161" s="209"/>
      <c r="AJ161" s="209"/>
    </row>
    <row r="162" ht="12.75" customHeight="1">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I162" s="209"/>
      <c r="AJ162" s="209"/>
    </row>
    <row r="163" ht="12.75" customHeight="1">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I163" s="209"/>
      <c r="AJ163" s="209"/>
    </row>
    <row r="164" ht="12.75" customHeight="1">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I164" s="209"/>
      <c r="AJ164" s="209"/>
    </row>
    <row r="165" ht="12.75" customHeight="1">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I165" s="209"/>
      <c r="AJ165" s="209"/>
    </row>
    <row r="166" ht="12.75" customHeight="1">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I166" s="209"/>
      <c r="AJ166" s="209"/>
    </row>
    <row r="167" ht="12.75" customHeight="1">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I167" s="209"/>
      <c r="AJ167" s="209"/>
    </row>
    <row r="168" ht="12.75" customHeight="1">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I168" s="209"/>
      <c r="AJ168" s="209"/>
    </row>
    <row r="169" ht="12.75" customHeight="1">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I169" s="209"/>
      <c r="AJ169" s="209"/>
    </row>
    <row r="170" ht="12.75" customHeight="1">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I170" s="209"/>
      <c r="AJ170" s="209"/>
    </row>
    <row r="171" ht="12.75" customHeight="1">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I171" s="209"/>
      <c r="AJ171" s="209"/>
    </row>
    <row r="172" ht="12.75" customHeight="1">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I172" s="209"/>
      <c r="AJ172" s="209"/>
    </row>
    <row r="173" ht="12.75" customHeight="1">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I173" s="209"/>
      <c r="AJ173" s="209"/>
    </row>
    <row r="174" ht="12.75" customHeight="1">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I174" s="209"/>
      <c r="AJ174" s="209"/>
    </row>
    <row r="175" ht="12.75" customHeight="1">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I175" s="209"/>
      <c r="AJ175" s="209"/>
    </row>
    <row r="176" ht="12.75" customHeight="1">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I176" s="209"/>
      <c r="AJ176" s="209"/>
    </row>
    <row r="177" ht="12.75" customHeight="1">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I177" s="209"/>
      <c r="AJ177" s="209"/>
    </row>
    <row r="178" ht="12.75" customHeight="1">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I178" s="209"/>
      <c r="AJ178" s="209"/>
    </row>
    <row r="179" ht="12.75" customHeight="1">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I179" s="209"/>
      <c r="AJ179" s="209"/>
    </row>
    <row r="180" ht="12.75" customHeight="1">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I180" s="209"/>
      <c r="AJ180" s="209"/>
    </row>
    <row r="181" ht="12.75" customHeight="1">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I181" s="209"/>
      <c r="AJ181" s="209"/>
    </row>
    <row r="182" ht="12.75" customHeight="1">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I182" s="209"/>
      <c r="AJ182" s="209"/>
    </row>
    <row r="183" ht="12.75" customHeight="1">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I183" s="209"/>
      <c r="AJ183" s="209"/>
    </row>
    <row r="184" ht="12.75" customHeight="1">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I184" s="209"/>
      <c r="AJ184" s="209"/>
    </row>
    <row r="185" ht="12.75" customHeight="1">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I185" s="209"/>
      <c r="AJ185" s="209"/>
    </row>
    <row r="186" ht="12.75" customHeight="1">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I186" s="209"/>
      <c r="AJ186" s="209"/>
    </row>
    <row r="187" ht="12.75" customHeight="1">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I187" s="209"/>
      <c r="AJ187" s="209"/>
    </row>
    <row r="188" ht="12.75" customHeight="1">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I188" s="209"/>
      <c r="AJ188" s="209"/>
    </row>
    <row r="189" ht="12.75" customHeight="1">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I189" s="209"/>
      <c r="AJ189" s="209"/>
    </row>
    <row r="190" ht="12.75" customHeight="1">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I190" s="209"/>
      <c r="AJ190" s="209"/>
    </row>
    <row r="191" ht="12.75" customHeight="1">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I191" s="209"/>
      <c r="AJ191" s="209"/>
    </row>
    <row r="192" ht="12.75" customHeight="1">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I192" s="209"/>
      <c r="AJ192" s="209"/>
    </row>
    <row r="193" ht="12.75" customHeight="1">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I193" s="209"/>
      <c r="AJ193" s="209"/>
    </row>
    <row r="194" ht="12.75" customHeight="1">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I194" s="209"/>
      <c r="AJ194" s="209"/>
    </row>
    <row r="195" ht="12.75" customHeight="1">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I195" s="209"/>
      <c r="AJ195" s="209"/>
    </row>
    <row r="196" ht="12.75" customHeight="1">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I196" s="209"/>
      <c r="AJ196" s="209"/>
    </row>
    <row r="197" ht="12.75" customHeight="1">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I197" s="209"/>
      <c r="AJ197" s="209"/>
    </row>
    <row r="198" ht="12.75" customHeight="1">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I198" s="209"/>
      <c r="AJ198" s="209"/>
    </row>
    <row r="199" ht="12.75" customHeight="1">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I199" s="209"/>
      <c r="AJ199" s="209"/>
    </row>
    <row r="200" ht="12.75" customHeight="1">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I200" s="209"/>
      <c r="AJ200" s="209"/>
    </row>
    <row r="201" ht="12.75" customHeight="1">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I201" s="209"/>
      <c r="AJ201" s="209"/>
    </row>
    <row r="202" ht="12.75" customHeight="1">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I202" s="209"/>
      <c r="AJ202" s="209"/>
    </row>
    <row r="203" ht="12.75" customHeight="1">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I203" s="209"/>
      <c r="AJ203" s="209"/>
    </row>
    <row r="204" ht="12.75" customHeight="1">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I204" s="209"/>
      <c r="AJ204" s="209"/>
    </row>
    <row r="205" ht="12.75" customHeight="1">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I205" s="209"/>
      <c r="AJ205" s="209"/>
    </row>
    <row r="206" ht="12.75" customHeight="1">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I206" s="209"/>
      <c r="AJ206" s="209"/>
    </row>
    <row r="207" ht="12.75" customHeight="1">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I207" s="209"/>
      <c r="AJ207" s="209"/>
    </row>
    <row r="208" ht="12.75" customHeight="1">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I208" s="209"/>
      <c r="AJ208" s="209"/>
    </row>
    <row r="209" ht="12.75" customHeight="1">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I209" s="209"/>
      <c r="AJ209" s="209"/>
    </row>
    <row r="210" ht="12.75" customHeight="1">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I210" s="209"/>
      <c r="AJ210" s="209"/>
    </row>
    <row r="211" ht="12.75" customHeight="1">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I211" s="209"/>
      <c r="AJ211" s="209"/>
    </row>
    <row r="212" ht="12.75" customHeight="1">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I212" s="209"/>
      <c r="AJ212" s="209"/>
    </row>
    <row r="213" ht="12.75" customHeight="1">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I213" s="209"/>
      <c r="AJ213" s="209"/>
    </row>
    <row r="214" ht="12.75" customHeight="1">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I214" s="209"/>
      <c r="AJ214" s="209"/>
    </row>
    <row r="215" ht="12.75" customHeight="1">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I215" s="209"/>
      <c r="AJ215" s="209"/>
    </row>
    <row r="216" ht="12.75" customHeight="1">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I216" s="209"/>
      <c r="AJ216" s="209"/>
    </row>
    <row r="217" ht="12.75" customHeight="1">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I217" s="209"/>
      <c r="AJ217" s="209"/>
    </row>
    <row r="218" ht="12.75" customHeight="1">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I218" s="209"/>
      <c r="AJ218" s="209"/>
    </row>
    <row r="219" ht="12.75" customHeight="1">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I219" s="209"/>
      <c r="AJ219" s="209"/>
    </row>
    <row r="220" ht="12.75" customHeight="1">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I220" s="209"/>
      <c r="AJ220" s="209"/>
    </row>
    <row r="221" ht="12.75" customHeight="1">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I221" s="209"/>
      <c r="AJ221" s="209"/>
    </row>
    <row r="222" ht="12.75" customHeight="1">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I222" s="209"/>
      <c r="AJ222" s="209"/>
    </row>
    <row r="223" ht="12.75" customHeight="1">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I223" s="209"/>
      <c r="AJ223" s="209"/>
    </row>
    <row r="224" ht="12.75" customHeight="1">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I224" s="209"/>
      <c r="AJ224" s="209"/>
    </row>
    <row r="225" ht="12.75" customHeight="1">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I225" s="209"/>
      <c r="AJ225" s="209"/>
    </row>
    <row r="226" ht="12.75" customHeight="1">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I226" s="209"/>
      <c r="AJ226" s="209"/>
    </row>
    <row r="227" ht="12.75" customHeight="1">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I227" s="209"/>
      <c r="AJ227" s="209"/>
    </row>
    <row r="228" ht="12.75" customHeight="1">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I228" s="209"/>
      <c r="AJ228" s="209"/>
    </row>
    <row r="229" ht="12.75" customHeight="1">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I229" s="209"/>
      <c r="AJ229" s="209"/>
    </row>
    <row r="230" ht="12.75" customHeight="1">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I230" s="209"/>
      <c r="AJ230" s="209"/>
    </row>
    <row r="231" ht="12.75" customHeight="1">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I231" s="209"/>
      <c r="AJ231" s="209"/>
    </row>
    <row r="232" ht="12.75" customHeight="1">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I232" s="209"/>
      <c r="AJ232" s="209"/>
    </row>
    <row r="233" ht="12.75" customHeight="1">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I233" s="209"/>
      <c r="AJ233" s="209"/>
    </row>
    <row r="234" ht="12.75" customHeight="1">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I234" s="209"/>
      <c r="AJ234" s="209"/>
    </row>
    <row r="235" ht="12.75" customHeight="1">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I235" s="209"/>
      <c r="AJ235" s="209"/>
    </row>
    <row r="236" ht="12.75" customHeight="1">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I236" s="209"/>
      <c r="AJ236" s="209"/>
    </row>
    <row r="237" ht="12.75" customHeight="1">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I237" s="209"/>
      <c r="AJ237" s="209"/>
    </row>
    <row r="238" ht="12.75" customHeight="1">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I238" s="209"/>
      <c r="AJ238" s="209"/>
    </row>
    <row r="239" ht="12.75" customHeight="1">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I239" s="209"/>
      <c r="AJ239" s="209"/>
    </row>
    <row r="240" ht="12.75" customHeight="1">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I240" s="209"/>
      <c r="AJ240" s="209"/>
    </row>
    <row r="241" ht="12.75" customHeight="1">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I241" s="209"/>
      <c r="AJ241" s="209"/>
    </row>
    <row r="242" ht="12.75" customHeight="1">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I242" s="209"/>
      <c r="AJ242" s="209"/>
    </row>
    <row r="243" ht="12.75" customHeight="1">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I243" s="209"/>
      <c r="AJ243" s="209"/>
    </row>
    <row r="244" ht="12.75" customHeight="1">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I244" s="209"/>
      <c r="AJ244" s="209"/>
    </row>
    <row r="245" ht="12.75" customHeight="1">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I245" s="209"/>
      <c r="AJ245" s="209"/>
    </row>
    <row r="246" ht="12.75" customHeight="1">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I246" s="209"/>
      <c r="AJ246" s="209"/>
    </row>
    <row r="247" ht="12.75" customHeight="1">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I247" s="209"/>
      <c r="AJ247" s="209"/>
    </row>
    <row r="248" ht="12.75" customHeight="1">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I248" s="209"/>
      <c r="AJ248" s="209"/>
    </row>
    <row r="249" ht="12.75" customHeight="1">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I249" s="209"/>
      <c r="AJ249" s="209"/>
    </row>
    <row r="250" ht="12.75" customHeight="1">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I250" s="209"/>
      <c r="AJ250" s="209"/>
    </row>
    <row r="251" ht="12.75" customHeight="1">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I251" s="209"/>
      <c r="AJ251" s="209"/>
    </row>
    <row r="252" ht="12.75" customHeight="1">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I252" s="209"/>
      <c r="AJ252" s="209"/>
    </row>
    <row r="253" ht="12.75" customHeight="1">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I253" s="209"/>
      <c r="AJ253" s="209"/>
    </row>
    <row r="254" ht="12.75" customHeight="1">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I254" s="209"/>
      <c r="AJ254" s="209"/>
    </row>
    <row r="255" ht="12.75" customHeight="1">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I255" s="209"/>
      <c r="AJ255" s="209"/>
    </row>
    <row r="256" ht="12.75" customHeight="1">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I256" s="209"/>
      <c r="AJ256" s="209"/>
    </row>
    <row r="257" ht="12.75" customHeight="1">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I257" s="209"/>
      <c r="AJ257" s="209"/>
    </row>
    <row r="258" ht="12.75" customHeight="1">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I258" s="209"/>
      <c r="AJ258" s="209"/>
    </row>
    <row r="259" ht="12.75" customHeight="1">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I259" s="209"/>
      <c r="AJ259" s="209"/>
    </row>
    <row r="260" ht="12.75" customHeight="1">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I260" s="209"/>
      <c r="AJ260" s="209"/>
    </row>
    <row r="261" ht="12.75" customHeight="1">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I261" s="209"/>
      <c r="AJ261" s="209"/>
    </row>
    <row r="262" ht="12.75" customHeight="1">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I262" s="209"/>
      <c r="AJ262" s="209"/>
    </row>
    <row r="263" ht="12.75" customHeight="1">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I263" s="209"/>
      <c r="AJ263" s="209"/>
    </row>
    <row r="264" ht="12.75" customHeight="1">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I264" s="209"/>
      <c r="AJ264" s="209"/>
    </row>
    <row r="265" ht="12.75" customHeight="1">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I265" s="209"/>
      <c r="AJ265" s="209"/>
    </row>
    <row r="266" ht="12.75" customHeight="1">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I266" s="209"/>
      <c r="AJ266" s="209"/>
    </row>
    <row r="267" ht="12.75" customHeight="1">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I267" s="209"/>
      <c r="AJ267" s="209"/>
    </row>
    <row r="268" ht="12.75" customHeight="1">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I268" s="209"/>
      <c r="AJ268" s="209"/>
    </row>
    <row r="269" ht="12.75" customHeight="1">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I269" s="209"/>
      <c r="AJ269" s="209"/>
    </row>
    <row r="270" ht="12.75" customHeight="1">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I270" s="209"/>
      <c r="AJ270" s="209"/>
    </row>
    <row r="271" ht="12.75" customHeight="1">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I271" s="209"/>
      <c r="AJ271" s="209"/>
    </row>
    <row r="272" ht="12.75" customHeight="1">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I272" s="209"/>
      <c r="AJ272" s="209"/>
    </row>
    <row r="273" ht="12.75" customHeight="1">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I273" s="209"/>
      <c r="AJ273" s="209"/>
    </row>
    <row r="274" ht="12.75" customHeight="1">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I274" s="209"/>
      <c r="AJ274" s="209"/>
    </row>
    <row r="275" ht="12.75" customHeight="1">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I275" s="209"/>
      <c r="AJ275" s="209"/>
    </row>
    <row r="276" ht="12.75" customHeight="1">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I276" s="209"/>
      <c r="AJ276" s="209"/>
    </row>
    <row r="277" ht="12.75" customHeight="1">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I277" s="209"/>
      <c r="AJ277" s="209"/>
    </row>
    <row r="278" ht="12.75" customHeight="1">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I278" s="209"/>
      <c r="AJ278" s="209"/>
    </row>
    <row r="279" ht="12.75" customHeight="1">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I279" s="209"/>
      <c r="AJ279" s="209"/>
    </row>
    <row r="280" ht="12.75" customHeight="1">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I280" s="209"/>
      <c r="AJ280" s="209"/>
    </row>
    <row r="281" ht="12.75" customHeight="1">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I281" s="209"/>
      <c r="AJ281" s="209"/>
    </row>
    <row r="282" ht="12.75" customHeight="1">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I282" s="209"/>
      <c r="AJ282" s="209"/>
    </row>
    <row r="283" ht="12.75" customHeight="1">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I283" s="209"/>
      <c r="AJ283" s="209"/>
    </row>
    <row r="284" ht="12.75" customHeight="1">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I284" s="209"/>
      <c r="AJ284" s="209"/>
    </row>
    <row r="285" ht="12.75" customHeight="1">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I285" s="209"/>
      <c r="AJ285" s="209"/>
    </row>
    <row r="286" ht="12.75" customHeight="1">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I286" s="209"/>
      <c r="AJ286" s="209"/>
    </row>
    <row r="287" ht="12.75" customHeight="1">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I287" s="209"/>
      <c r="AJ287" s="209"/>
    </row>
    <row r="288" ht="12.75" customHeight="1">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I288" s="209"/>
      <c r="AJ288" s="209"/>
    </row>
    <row r="289" ht="12.75" customHeight="1">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I289" s="209"/>
      <c r="AJ289" s="209"/>
    </row>
    <row r="290" ht="12.75" customHeight="1">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I290" s="209"/>
      <c r="AJ290" s="209"/>
    </row>
    <row r="291" ht="12.75" customHeight="1">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I291" s="209"/>
      <c r="AJ291" s="209"/>
    </row>
    <row r="292" ht="12.75" customHeight="1">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I292" s="209"/>
      <c r="AJ292" s="209"/>
    </row>
    <row r="293" ht="12.75" customHeight="1">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I293" s="209"/>
      <c r="AJ293" s="209"/>
    </row>
    <row r="294" ht="12.75" customHeight="1">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I294" s="209"/>
      <c r="AJ294" s="209"/>
    </row>
    <row r="295" ht="12.75" customHeight="1">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I295" s="209"/>
      <c r="AJ295" s="209"/>
    </row>
    <row r="296" ht="12.75" customHeight="1">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I296" s="209"/>
      <c r="AJ296" s="209"/>
    </row>
    <row r="297" ht="12.75" customHeight="1">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I297" s="209"/>
      <c r="AJ297" s="209"/>
    </row>
    <row r="298" ht="12.75" customHeight="1">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I298" s="209"/>
      <c r="AJ298" s="209"/>
    </row>
    <row r="299" ht="12.75" customHeight="1">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I299" s="209"/>
      <c r="AJ299" s="209"/>
    </row>
    <row r="300" ht="12.75" customHeight="1">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I300" s="209"/>
      <c r="AJ300" s="209"/>
    </row>
    <row r="301" ht="12.75" customHeight="1">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I301" s="209"/>
      <c r="AJ301" s="209"/>
    </row>
    <row r="302" ht="12.75" customHeight="1">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I302" s="209"/>
      <c r="AJ302" s="209"/>
    </row>
    <row r="303" ht="12.75" customHeight="1">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I303" s="209"/>
      <c r="AJ303" s="209"/>
    </row>
    <row r="304" ht="12.75" customHeight="1">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I304" s="209"/>
      <c r="AJ304" s="209"/>
    </row>
    <row r="305" ht="12.75" customHeight="1">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I305" s="209"/>
      <c r="AJ305" s="209"/>
    </row>
    <row r="306" ht="12.75" customHeight="1">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I306" s="209"/>
      <c r="AJ306" s="209"/>
    </row>
    <row r="307" ht="12.75" customHeight="1">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I307" s="209"/>
      <c r="AJ307" s="209"/>
    </row>
    <row r="308" ht="12.75" customHeight="1">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I308" s="209"/>
      <c r="AJ308" s="209"/>
    </row>
    <row r="309" ht="12.75" customHeight="1">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I309" s="209"/>
      <c r="AJ309" s="209"/>
    </row>
    <row r="310" ht="12.75" customHeight="1">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I310" s="209"/>
      <c r="AJ310" s="209"/>
    </row>
    <row r="311" ht="12.75" customHeight="1">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I311" s="209"/>
      <c r="AJ311" s="209"/>
    </row>
    <row r="312" ht="12.75" customHeight="1">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I312" s="209"/>
      <c r="AJ312" s="209"/>
    </row>
    <row r="313" ht="12.75" customHeight="1">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I313" s="209"/>
      <c r="AJ313" s="209"/>
    </row>
    <row r="314" ht="12.75" customHeight="1">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I314" s="209"/>
      <c r="AJ314" s="209"/>
    </row>
    <row r="315" ht="12.75" customHeight="1">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I315" s="209"/>
      <c r="AJ315" s="209"/>
    </row>
    <row r="316" ht="12.75" customHeight="1">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I316" s="209"/>
      <c r="AJ316" s="209"/>
    </row>
    <row r="317" ht="12.75" customHeight="1">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I317" s="209"/>
      <c r="AJ317" s="209"/>
    </row>
    <row r="318" ht="12.75" customHeight="1">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I318" s="209"/>
      <c r="AJ318" s="209"/>
    </row>
    <row r="319" ht="12.75" customHeight="1">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I319" s="209"/>
      <c r="AJ319" s="209"/>
    </row>
    <row r="320" ht="12.75" customHeight="1">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I320" s="209"/>
      <c r="AJ320" s="209"/>
    </row>
    <row r="321" ht="12.75" customHeight="1">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I321" s="209"/>
      <c r="AJ321" s="209"/>
    </row>
    <row r="322" ht="12.75" customHeight="1">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I322" s="209"/>
      <c r="AJ322" s="209"/>
    </row>
    <row r="323" ht="12.75" customHeight="1">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I323" s="209"/>
      <c r="AJ323" s="209"/>
    </row>
    <row r="324" ht="12.75" customHeight="1">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I324" s="209"/>
      <c r="AJ324" s="209"/>
    </row>
    <row r="325" ht="12.75" customHeight="1">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I325" s="209"/>
      <c r="AJ325" s="209"/>
    </row>
    <row r="326" ht="12.75" customHeight="1">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I326" s="209"/>
      <c r="AJ326" s="209"/>
    </row>
    <row r="327" ht="12.75" customHeight="1">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I327" s="209"/>
      <c r="AJ327" s="209"/>
    </row>
    <row r="328" ht="12.75" customHeight="1">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I328" s="209"/>
      <c r="AJ328" s="209"/>
    </row>
    <row r="329" ht="12.75" customHeight="1">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I329" s="209"/>
      <c r="AJ329" s="209"/>
    </row>
    <row r="330" ht="12.75" customHeight="1">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I330" s="209"/>
      <c r="AJ330" s="209"/>
    </row>
    <row r="331" ht="12.75" customHeight="1">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I331" s="209"/>
      <c r="AJ331" s="209"/>
    </row>
    <row r="332" ht="12.75" customHeight="1">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I332" s="209"/>
      <c r="AJ332" s="209"/>
    </row>
    <row r="333" ht="12.75" customHeight="1">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I333" s="209"/>
      <c r="AJ333" s="209"/>
    </row>
    <row r="334" ht="12.75" customHeight="1">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I334" s="209"/>
      <c r="AJ334" s="209"/>
    </row>
    <row r="335" ht="12.75" customHeight="1">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I335" s="209"/>
      <c r="AJ335" s="209"/>
    </row>
    <row r="336" ht="12.75" customHeight="1">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I336" s="209"/>
      <c r="AJ336" s="209"/>
    </row>
    <row r="337" ht="12.75" customHeight="1">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I337" s="209"/>
      <c r="AJ337" s="209"/>
    </row>
    <row r="338" ht="12.75" customHeight="1">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I338" s="209"/>
      <c r="AJ338" s="209"/>
    </row>
    <row r="339" ht="12.75" customHeight="1">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I339" s="209"/>
      <c r="AJ339" s="209"/>
    </row>
    <row r="340" ht="12.75" customHeight="1">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I340" s="209"/>
      <c r="AJ340" s="209"/>
    </row>
    <row r="341" ht="12.75" customHeight="1">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I341" s="209"/>
      <c r="AJ341" s="209"/>
    </row>
    <row r="342" ht="12.75" customHeight="1">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I342" s="209"/>
      <c r="AJ342" s="209"/>
    </row>
    <row r="343" ht="12.75" customHeight="1">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I343" s="209"/>
      <c r="AJ343" s="209"/>
    </row>
    <row r="344" ht="12.75" customHeight="1">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I344" s="209"/>
      <c r="AJ344" s="209"/>
    </row>
    <row r="345" ht="12.75" customHeight="1">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I345" s="209"/>
      <c r="AJ345" s="209"/>
    </row>
    <row r="346" ht="12.75" customHeight="1">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I346" s="209"/>
      <c r="AJ346" s="209"/>
    </row>
    <row r="347" ht="12.75" customHeight="1">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I347" s="209"/>
      <c r="AJ347" s="209"/>
    </row>
    <row r="348" ht="12.75" customHeight="1">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I348" s="209"/>
      <c r="AJ348" s="209"/>
    </row>
    <row r="349" ht="12.75" customHeight="1">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I349" s="209"/>
      <c r="AJ349" s="209"/>
    </row>
    <row r="350" ht="12.75" customHeight="1">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I350" s="209"/>
      <c r="AJ350" s="209"/>
    </row>
    <row r="351" ht="12.75" customHeight="1">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I351" s="209"/>
      <c r="AJ351" s="209"/>
    </row>
    <row r="352" ht="12.75" customHeight="1">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I352" s="209"/>
      <c r="AJ352" s="209"/>
    </row>
    <row r="353" ht="12.75" customHeight="1">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I353" s="209"/>
      <c r="AJ353" s="209"/>
    </row>
    <row r="354" ht="12.75" customHeight="1">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I354" s="209"/>
      <c r="AJ354" s="209"/>
    </row>
    <row r="355" ht="12.75" customHeight="1">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I355" s="209"/>
      <c r="AJ355" s="209"/>
    </row>
    <row r="356" ht="12.75" customHeight="1">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I356" s="209"/>
      <c r="AJ356" s="209"/>
    </row>
    <row r="357" ht="12.75" customHeight="1">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I357" s="209"/>
      <c r="AJ357" s="209"/>
    </row>
    <row r="358" ht="12.75" customHeight="1">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I358" s="209"/>
      <c r="AJ358" s="209"/>
    </row>
    <row r="359" ht="12.75" customHeight="1">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I359" s="209"/>
      <c r="AJ359" s="209"/>
    </row>
    <row r="360" ht="12.75" customHeight="1">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I360" s="209"/>
      <c r="AJ360" s="209"/>
    </row>
    <row r="361" ht="12.75" customHeight="1">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I361" s="209"/>
      <c r="AJ361" s="209"/>
    </row>
    <row r="362" ht="12.75" customHeight="1">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I362" s="209"/>
      <c r="AJ362" s="209"/>
    </row>
    <row r="363" ht="12.75" customHeight="1">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I363" s="209"/>
      <c r="AJ363" s="209"/>
    </row>
    <row r="364" ht="12.75" customHeight="1">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I364" s="209"/>
      <c r="AJ364" s="209"/>
    </row>
    <row r="365" ht="12.75" customHeight="1">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I365" s="209"/>
      <c r="AJ365" s="209"/>
    </row>
    <row r="366" ht="12.75" customHeight="1">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I366" s="209"/>
      <c r="AJ366" s="209"/>
    </row>
    <row r="367" ht="12.75" customHeight="1">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I367" s="209"/>
      <c r="AJ367" s="209"/>
    </row>
    <row r="368" ht="12.75" customHeight="1">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I368" s="209"/>
      <c r="AJ368" s="209"/>
    </row>
    <row r="369" ht="12.75" customHeight="1">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I369" s="209"/>
      <c r="AJ369" s="209"/>
    </row>
    <row r="370" ht="12.75" customHeight="1">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I370" s="209"/>
      <c r="AJ370" s="209"/>
    </row>
    <row r="371" ht="12.75" customHeight="1">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I371" s="209"/>
      <c r="AJ371" s="209"/>
    </row>
    <row r="372" ht="12.75" customHeight="1">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I372" s="209"/>
      <c r="AJ372" s="209"/>
    </row>
    <row r="373" ht="12.75" customHeight="1">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I373" s="209"/>
      <c r="AJ373" s="209"/>
    </row>
    <row r="374" ht="12.75" customHeight="1">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I374" s="209"/>
      <c r="AJ374" s="209"/>
    </row>
    <row r="375" ht="12.75" customHeight="1">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I375" s="209"/>
      <c r="AJ375" s="209"/>
    </row>
    <row r="376" ht="12.75" customHeight="1">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I376" s="209"/>
      <c r="AJ376" s="209"/>
    </row>
    <row r="377" ht="12.75" customHeight="1">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I377" s="209"/>
      <c r="AJ377" s="209"/>
    </row>
    <row r="378" ht="12.75" customHeight="1">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I378" s="209"/>
      <c r="AJ378" s="209"/>
    </row>
    <row r="379" ht="12.75" customHeight="1">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I379" s="209"/>
      <c r="AJ379" s="209"/>
    </row>
    <row r="380" ht="12.75" customHeight="1">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I380" s="209"/>
      <c r="AJ380" s="209"/>
    </row>
    <row r="381" ht="12.75" customHeight="1">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I381" s="209"/>
      <c r="AJ381" s="209"/>
    </row>
    <row r="382" ht="12.75" customHeight="1">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I382" s="209"/>
      <c r="AJ382" s="209"/>
    </row>
    <row r="383" ht="12.75" customHeight="1">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I383" s="209"/>
      <c r="AJ383" s="209"/>
    </row>
    <row r="384" ht="12.75" customHeight="1">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I384" s="209"/>
      <c r="AJ384" s="209"/>
    </row>
    <row r="385" ht="12.75" customHeight="1">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I385" s="209"/>
      <c r="AJ385" s="209"/>
    </row>
    <row r="386" ht="12.75" customHeight="1">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I386" s="209"/>
      <c r="AJ386" s="209"/>
    </row>
    <row r="387" ht="12.75" customHeight="1">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I387" s="209"/>
      <c r="AJ387" s="209"/>
    </row>
    <row r="388" ht="12.75" customHeight="1">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I388" s="209"/>
      <c r="AJ388" s="209"/>
    </row>
    <row r="389" ht="12.75" customHeight="1">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I389" s="209"/>
      <c r="AJ389" s="209"/>
    </row>
    <row r="390" ht="12.75" customHeight="1">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I390" s="209"/>
      <c r="AJ390" s="209"/>
    </row>
    <row r="391" ht="12.75" customHeight="1">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I391" s="209"/>
      <c r="AJ391" s="209"/>
    </row>
    <row r="392" ht="12.75" customHeight="1">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I392" s="209"/>
      <c r="AJ392" s="209"/>
    </row>
    <row r="393" ht="12.75" customHeight="1">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I393" s="209"/>
      <c r="AJ393" s="209"/>
    </row>
    <row r="394" ht="12.75" customHeight="1">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I394" s="209"/>
      <c r="AJ394" s="209"/>
    </row>
    <row r="395" ht="12.75" customHeight="1">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I395" s="209"/>
      <c r="AJ395" s="209"/>
    </row>
    <row r="396" ht="12.75" customHeight="1">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I396" s="209"/>
      <c r="AJ396" s="209"/>
    </row>
    <row r="397" ht="12.75" customHeight="1">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I397" s="209"/>
      <c r="AJ397" s="209"/>
    </row>
    <row r="398" ht="12.75" customHeight="1">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I398" s="209"/>
      <c r="AJ398" s="209"/>
    </row>
    <row r="399" ht="12.75" customHeight="1">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I399" s="209"/>
      <c r="AJ399" s="209"/>
    </row>
    <row r="400" ht="12.75" customHeight="1">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I400" s="209"/>
      <c r="AJ400" s="209"/>
    </row>
    <row r="401" ht="12.75" customHeight="1">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I401" s="209"/>
      <c r="AJ401" s="209"/>
    </row>
    <row r="402" ht="12.75" customHeight="1">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I402" s="209"/>
      <c r="AJ402" s="209"/>
    </row>
    <row r="403" ht="12.75" customHeight="1">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I403" s="209"/>
      <c r="AJ403" s="209"/>
    </row>
    <row r="404" ht="12.75" customHeight="1">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I404" s="209"/>
      <c r="AJ404" s="209"/>
    </row>
    <row r="405" ht="12.75" customHeight="1">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I405" s="209"/>
      <c r="AJ405" s="209"/>
    </row>
    <row r="406" ht="12.75" customHeight="1">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I406" s="209"/>
      <c r="AJ406" s="209"/>
    </row>
    <row r="407" ht="12.75" customHeight="1">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I407" s="209"/>
      <c r="AJ407" s="209"/>
    </row>
    <row r="408" ht="12.75" customHeight="1">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I408" s="209"/>
      <c r="AJ408" s="209"/>
    </row>
    <row r="409" ht="12.75" customHeight="1">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I409" s="209"/>
      <c r="AJ409" s="209"/>
    </row>
    <row r="410" ht="12.75" customHeight="1">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I410" s="209"/>
      <c r="AJ410" s="209"/>
    </row>
    <row r="411" ht="12.75" customHeight="1">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I411" s="209"/>
      <c r="AJ411" s="209"/>
    </row>
    <row r="412" ht="12.75" customHeight="1">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I412" s="209"/>
      <c r="AJ412" s="209"/>
    </row>
    <row r="413" ht="12.75" customHeight="1">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I413" s="209"/>
      <c r="AJ413" s="209"/>
    </row>
    <row r="414" ht="12.75" customHeight="1">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I414" s="209"/>
      <c r="AJ414" s="209"/>
    </row>
    <row r="415" ht="12.75" customHeight="1">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I415" s="209"/>
      <c r="AJ415" s="209"/>
    </row>
    <row r="416" ht="12.75" customHeight="1">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I416" s="209"/>
      <c r="AJ416" s="209"/>
    </row>
    <row r="417" ht="12.75" customHeight="1">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I417" s="209"/>
      <c r="AJ417" s="209"/>
    </row>
    <row r="418" ht="12.75" customHeight="1">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I418" s="209"/>
      <c r="AJ418" s="209"/>
    </row>
    <row r="419" ht="12.75" customHeight="1">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I419" s="209"/>
      <c r="AJ419" s="209"/>
    </row>
    <row r="420" ht="12.75" customHeight="1">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I420" s="209"/>
      <c r="AJ420" s="209"/>
    </row>
    <row r="421" ht="12.75" customHeight="1">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I421" s="209"/>
      <c r="AJ421" s="209"/>
    </row>
    <row r="422" ht="12.75" customHeight="1">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I422" s="209"/>
      <c r="AJ422" s="209"/>
    </row>
    <row r="423" ht="12.75" customHeight="1">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I423" s="209"/>
      <c r="AJ423" s="209"/>
    </row>
    <row r="424" ht="12.75" customHeight="1">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I424" s="209"/>
      <c r="AJ424" s="209"/>
    </row>
    <row r="425" ht="12.75" customHeight="1">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I425" s="209"/>
      <c r="AJ425" s="209"/>
    </row>
    <row r="426" ht="12.75" customHeight="1">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I426" s="209"/>
      <c r="AJ426" s="209"/>
    </row>
    <row r="427" ht="12.75" customHeight="1">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I427" s="209"/>
      <c r="AJ427" s="209"/>
    </row>
    <row r="428" ht="12.75" customHeight="1">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I428" s="209"/>
      <c r="AJ428" s="209"/>
    </row>
    <row r="429" ht="12.75" customHeight="1">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I429" s="209"/>
      <c r="AJ429" s="209"/>
    </row>
    <row r="430" ht="12.75" customHeight="1">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I430" s="209"/>
      <c r="AJ430" s="209"/>
    </row>
    <row r="431" ht="12.75" customHeight="1">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I431" s="209"/>
      <c r="AJ431" s="209"/>
    </row>
    <row r="432" ht="12.75" customHeight="1">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I432" s="209"/>
      <c r="AJ432" s="209"/>
    </row>
    <row r="433" ht="12.75" customHeight="1">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I433" s="209"/>
      <c r="AJ433" s="209"/>
    </row>
    <row r="434" ht="12.75" customHeight="1">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I434" s="209"/>
      <c r="AJ434" s="209"/>
    </row>
    <row r="435" ht="12.75" customHeight="1">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I435" s="209"/>
      <c r="AJ435" s="209"/>
    </row>
    <row r="436" ht="12.75" customHeight="1">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I436" s="209"/>
      <c r="AJ436" s="209"/>
    </row>
    <row r="437" ht="12.75" customHeight="1">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I437" s="209"/>
      <c r="AJ437" s="209"/>
    </row>
    <row r="438" ht="12.75" customHeight="1">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I438" s="209"/>
      <c r="AJ438" s="209"/>
    </row>
    <row r="439" ht="12.75" customHeight="1">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I439" s="209"/>
      <c r="AJ439" s="209"/>
    </row>
    <row r="440" ht="12.75" customHeight="1">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I440" s="209"/>
      <c r="AJ440" s="209"/>
    </row>
    <row r="441" ht="12.75" customHeight="1">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I441" s="209"/>
      <c r="AJ441" s="209"/>
    </row>
    <row r="442" ht="12.75" customHeight="1">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I442" s="209"/>
      <c r="AJ442" s="209"/>
    </row>
    <row r="443" ht="12.75" customHeight="1">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I443" s="209"/>
      <c r="AJ443" s="209"/>
    </row>
    <row r="444" ht="12.75" customHeight="1">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I444" s="209"/>
      <c r="AJ444" s="209"/>
    </row>
    <row r="445" ht="12.75" customHeight="1">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I445" s="209"/>
      <c r="AJ445" s="209"/>
    </row>
    <row r="446" ht="12.75" customHeight="1">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I446" s="209"/>
      <c r="AJ446" s="209"/>
    </row>
    <row r="447" ht="12.75" customHeight="1">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I447" s="209"/>
      <c r="AJ447" s="209"/>
    </row>
    <row r="448" ht="12.75" customHeight="1">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I448" s="209"/>
      <c r="AJ448" s="209"/>
    </row>
    <row r="449" ht="12.75" customHeight="1">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I449" s="209"/>
      <c r="AJ449" s="209"/>
    </row>
    <row r="450" ht="12.75" customHeight="1">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I450" s="209"/>
      <c r="AJ450" s="209"/>
    </row>
    <row r="451" ht="12.75" customHeight="1">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I451" s="209"/>
      <c r="AJ451" s="209"/>
    </row>
    <row r="452" ht="12.75" customHeight="1">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I452" s="209"/>
      <c r="AJ452" s="209"/>
    </row>
    <row r="453" ht="12.75" customHeight="1">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I453" s="209"/>
      <c r="AJ453" s="209"/>
    </row>
    <row r="454" ht="12.75" customHeight="1">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I454" s="209"/>
      <c r="AJ454" s="209"/>
    </row>
    <row r="455" ht="12.75" customHeight="1">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I455" s="209"/>
      <c r="AJ455" s="209"/>
    </row>
    <row r="456" ht="12.75" customHeight="1">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I456" s="209"/>
      <c r="AJ456" s="209"/>
    </row>
    <row r="457" ht="12.75" customHeight="1">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I457" s="209"/>
      <c r="AJ457" s="209"/>
    </row>
    <row r="458" ht="12.75" customHeight="1">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I458" s="209"/>
      <c r="AJ458" s="209"/>
    </row>
    <row r="459" ht="12.75" customHeight="1">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I459" s="209"/>
      <c r="AJ459" s="209"/>
    </row>
    <row r="460" ht="12.75" customHeight="1">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I460" s="209"/>
      <c r="AJ460" s="209"/>
    </row>
    <row r="461" ht="12.75" customHeight="1">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I461" s="209"/>
      <c r="AJ461" s="209"/>
    </row>
    <row r="462" ht="12.75" customHeight="1">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I462" s="209"/>
      <c r="AJ462" s="209"/>
    </row>
    <row r="463" ht="12.75" customHeight="1">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I463" s="209"/>
      <c r="AJ463" s="209"/>
    </row>
    <row r="464" ht="12.75" customHeight="1">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I464" s="209"/>
      <c r="AJ464" s="209"/>
    </row>
    <row r="465" ht="12.75" customHeight="1">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I465" s="209"/>
      <c r="AJ465" s="209"/>
    </row>
    <row r="466" ht="12.75" customHeight="1">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I466" s="209"/>
      <c r="AJ466" s="209"/>
    </row>
    <row r="467" ht="12.75" customHeight="1">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I467" s="209"/>
      <c r="AJ467" s="209"/>
    </row>
    <row r="468" ht="12.75" customHeight="1">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I468" s="209"/>
      <c r="AJ468" s="209"/>
    </row>
    <row r="469" ht="12.75" customHeight="1">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I469" s="209"/>
      <c r="AJ469" s="209"/>
    </row>
    <row r="470" ht="12.75" customHeight="1">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I470" s="209"/>
      <c r="AJ470" s="209"/>
    </row>
    <row r="471" ht="12.75" customHeight="1">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I471" s="209"/>
      <c r="AJ471" s="209"/>
    </row>
    <row r="472" ht="12.75" customHeight="1">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I472" s="209"/>
      <c r="AJ472" s="209"/>
    </row>
    <row r="473" ht="12.75" customHeight="1">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I473" s="209"/>
      <c r="AJ473" s="209"/>
    </row>
    <row r="474" ht="12.75" customHeight="1">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I474" s="209"/>
      <c r="AJ474" s="209"/>
    </row>
    <row r="475" ht="12.75" customHeight="1">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I475" s="209"/>
      <c r="AJ475" s="209"/>
    </row>
    <row r="476" ht="12.75" customHeight="1">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I476" s="209"/>
      <c r="AJ476" s="209"/>
    </row>
    <row r="477" ht="12.75" customHeight="1">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I477" s="209"/>
      <c r="AJ477" s="209"/>
    </row>
    <row r="478" ht="12.75" customHeight="1">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I478" s="209"/>
      <c r="AJ478" s="209"/>
    </row>
    <row r="479" ht="12.75" customHeight="1">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I479" s="209"/>
      <c r="AJ479" s="209"/>
    </row>
    <row r="480" ht="12.75" customHeight="1">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I480" s="209"/>
      <c r="AJ480" s="209"/>
    </row>
    <row r="481" ht="12.75" customHeight="1">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I481" s="209"/>
      <c r="AJ481" s="209"/>
    </row>
    <row r="482" ht="12.75" customHeight="1">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I482" s="209"/>
      <c r="AJ482" s="209"/>
    </row>
    <row r="483" ht="12.75" customHeight="1">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I483" s="209"/>
      <c r="AJ483" s="209"/>
    </row>
    <row r="484" ht="12.75" customHeight="1">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I484" s="209"/>
      <c r="AJ484" s="209"/>
    </row>
    <row r="485" ht="12.75" customHeight="1">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I485" s="209"/>
      <c r="AJ485" s="209"/>
    </row>
    <row r="486" ht="12.75" customHeight="1">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I486" s="209"/>
      <c r="AJ486" s="209"/>
    </row>
    <row r="487" ht="12.75" customHeight="1">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I487" s="209"/>
      <c r="AJ487" s="209"/>
    </row>
    <row r="488" ht="12.75" customHeight="1">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I488" s="209"/>
      <c r="AJ488" s="209"/>
    </row>
    <row r="489" ht="12.75" customHeight="1">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I489" s="209"/>
      <c r="AJ489" s="209"/>
    </row>
    <row r="490" ht="12.75" customHeight="1">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I490" s="209"/>
      <c r="AJ490" s="209"/>
    </row>
    <row r="491" ht="12.75" customHeight="1">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I491" s="209"/>
      <c r="AJ491" s="209"/>
    </row>
    <row r="492" ht="12.75" customHeight="1">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I492" s="209"/>
      <c r="AJ492" s="209"/>
    </row>
    <row r="493" ht="12.75" customHeight="1">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I493" s="209"/>
      <c r="AJ493" s="209"/>
    </row>
    <row r="494" ht="12.75" customHeight="1">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I494" s="209"/>
      <c r="AJ494" s="209"/>
    </row>
    <row r="495" ht="12.75" customHeight="1">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I495" s="209"/>
      <c r="AJ495" s="209"/>
    </row>
    <row r="496" ht="12.75" customHeight="1">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I496" s="209"/>
      <c r="AJ496" s="209"/>
    </row>
    <row r="497" ht="12.75" customHeight="1">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I497" s="209"/>
      <c r="AJ497" s="209"/>
    </row>
    <row r="498" ht="12.75" customHeight="1">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I498" s="209"/>
      <c r="AJ498" s="209"/>
    </row>
    <row r="499" ht="12.75" customHeight="1">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I499" s="209"/>
      <c r="AJ499" s="209"/>
    </row>
    <row r="500" ht="12.75" customHeight="1">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I500" s="209"/>
      <c r="AJ500" s="209"/>
    </row>
    <row r="501" ht="12.75" customHeight="1">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I501" s="209"/>
      <c r="AJ501" s="209"/>
    </row>
    <row r="502" ht="12.75" customHeight="1">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I502" s="209"/>
      <c r="AJ502" s="209"/>
    </row>
    <row r="503" ht="12.75" customHeight="1">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I503" s="209"/>
      <c r="AJ503" s="209"/>
    </row>
    <row r="504" ht="12.75" customHeight="1">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I504" s="209"/>
      <c r="AJ504" s="209"/>
    </row>
    <row r="505" ht="12.75" customHeight="1">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I505" s="209"/>
      <c r="AJ505" s="209"/>
    </row>
    <row r="506" ht="12.75" customHeight="1">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I506" s="209"/>
      <c r="AJ506" s="209"/>
    </row>
    <row r="507" ht="12.75" customHeight="1">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I507" s="209"/>
      <c r="AJ507" s="209"/>
    </row>
    <row r="508" ht="12.75" customHeight="1">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I508" s="209"/>
      <c r="AJ508" s="209"/>
    </row>
    <row r="509" ht="12.75" customHeight="1">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I509" s="209"/>
      <c r="AJ509" s="209"/>
    </row>
    <row r="510" ht="12.75" customHeight="1">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I510" s="209"/>
      <c r="AJ510" s="209"/>
    </row>
    <row r="511" ht="12.75" customHeight="1">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I511" s="209"/>
      <c r="AJ511" s="209"/>
    </row>
    <row r="512" ht="12.75" customHeight="1">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I512" s="209"/>
      <c r="AJ512" s="209"/>
    </row>
    <row r="513" ht="12.75" customHeight="1">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I513" s="209"/>
      <c r="AJ513" s="209"/>
    </row>
    <row r="514" ht="12.75" customHeight="1">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I514" s="209"/>
      <c r="AJ514" s="209"/>
    </row>
    <row r="515" ht="12.75" customHeight="1">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I515" s="209"/>
      <c r="AJ515" s="209"/>
    </row>
    <row r="516" ht="12.75" customHeight="1">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I516" s="209"/>
      <c r="AJ516" s="209"/>
    </row>
    <row r="517" ht="12.75" customHeight="1">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I517" s="209"/>
      <c r="AJ517" s="209"/>
    </row>
    <row r="518" ht="12.75" customHeight="1">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I518" s="209"/>
      <c r="AJ518" s="209"/>
    </row>
    <row r="519" ht="12.75" customHeight="1">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I519" s="209"/>
      <c r="AJ519" s="209"/>
    </row>
    <row r="520" ht="12.75" customHeight="1">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I520" s="209"/>
      <c r="AJ520" s="209"/>
    </row>
    <row r="521" ht="12.75" customHeight="1">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I521" s="209"/>
      <c r="AJ521" s="209"/>
    </row>
    <row r="522" ht="12.75" customHeight="1">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I522" s="209"/>
      <c r="AJ522" s="209"/>
    </row>
    <row r="523" ht="12.75" customHeight="1">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I523" s="209"/>
      <c r="AJ523" s="209"/>
    </row>
    <row r="524" ht="12.75" customHeight="1">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I524" s="209"/>
      <c r="AJ524" s="209"/>
    </row>
    <row r="525" ht="12.75" customHeight="1">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I525" s="209"/>
      <c r="AJ525" s="209"/>
    </row>
    <row r="526" ht="12.75" customHeight="1">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I526" s="209"/>
      <c r="AJ526" s="209"/>
    </row>
    <row r="527" ht="12.75" customHeight="1">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I527" s="209"/>
      <c r="AJ527" s="209"/>
    </row>
    <row r="528" ht="12.75" customHeight="1">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I528" s="209"/>
      <c r="AJ528" s="209"/>
    </row>
    <row r="529" ht="12.75" customHeight="1">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I529" s="209"/>
      <c r="AJ529" s="209"/>
    </row>
    <row r="530" ht="12.75" customHeight="1">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I530" s="209"/>
      <c r="AJ530" s="209"/>
    </row>
    <row r="531" ht="12.75" customHeight="1">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I531" s="209"/>
      <c r="AJ531" s="209"/>
    </row>
    <row r="532" ht="12.75" customHeight="1">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I532" s="209"/>
      <c r="AJ532" s="209"/>
    </row>
    <row r="533" ht="12.75" customHeight="1">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I533" s="209"/>
      <c r="AJ533" s="209"/>
    </row>
    <row r="534" ht="12.75" customHeight="1">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I534" s="209"/>
      <c r="AJ534" s="209"/>
    </row>
    <row r="535" ht="12.75" customHeight="1">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I535" s="209"/>
      <c r="AJ535" s="209"/>
    </row>
    <row r="536" ht="12.75" customHeight="1">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I536" s="209"/>
      <c r="AJ536" s="209"/>
    </row>
    <row r="537" ht="12.75" customHeight="1">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I537" s="209"/>
      <c r="AJ537" s="209"/>
    </row>
    <row r="538" ht="12.75" customHeight="1">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I538" s="209"/>
      <c r="AJ538" s="209"/>
    </row>
    <row r="539" ht="12.75" customHeight="1">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I539" s="209"/>
      <c r="AJ539" s="209"/>
    </row>
    <row r="540" ht="12.75" customHeight="1">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I540" s="209"/>
      <c r="AJ540" s="209"/>
    </row>
    <row r="541" ht="12.75" customHeight="1">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I541" s="209"/>
      <c r="AJ541" s="209"/>
    </row>
    <row r="542" ht="12.75" customHeight="1">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I542" s="209"/>
      <c r="AJ542" s="209"/>
    </row>
    <row r="543" ht="12.75" customHeight="1">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I543" s="209"/>
      <c r="AJ543" s="209"/>
    </row>
    <row r="544" ht="12.75" customHeight="1">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I544" s="209"/>
      <c r="AJ544" s="209"/>
    </row>
    <row r="545" ht="12.75" customHeight="1">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I545" s="209"/>
      <c r="AJ545" s="209"/>
    </row>
    <row r="546" ht="12.75" customHeight="1">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I546" s="209"/>
      <c r="AJ546" s="209"/>
    </row>
    <row r="547" ht="12.75" customHeight="1">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I547" s="209"/>
      <c r="AJ547" s="209"/>
    </row>
    <row r="548" ht="12.75" customHeight="1">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I548" s="209"/>
      <c r="AJ548" s="209"/>
    </row>
    <row r="549" ht="12.75" customHeight="1">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I549" s="209"/>
      <c r="AJ549" s="209"/>
    </row>
    <row r="550" ht="12.75" customHeight="1">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I550" s="209"/>
      <c r="AJ550" s="209"/>
    </row>
    <row r="551" ht="12.75" customHeight="1">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I551" s="209"/>
      <c r="AJ551" s="209"/>
    </row>
    <row r="552" ht="12.75" customHeight="1">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I552" s="209"/>
      <c r="AJ552" s="209"/>
    </row>
    <row r="553" ht="12.75" customHeight="1">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I553" s="209"/>
      <c r="AJ553" s="209"/>
    </row>
    <row r="554" ht="12.75" customHeight="1">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I554" s="209"/>
      <c r="AJ554" s="209"/>
    </row>
    <row r="555" ht="12.75" customHeight="1">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I555" s="209"/>
      <c r="AJ555" s="209"/>
    </row>
    <row r="556" ht="12.75" customHeight="1">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I556" s="209"/>
      <c r="AJ556" s="209"/>
    </row>
    <row r="557" ht="12.75" customHeight="1">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I557" s="209"/>
      <c r="AJ557" s="209"/>
    </row>
    <row r="558" ht="12.75" customHeight="1">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I558" s="209"/>
      <c r="AJ558" s="209"/>
    </row>
    <row r="559" ht="12.75" customHeight="1">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I559" s="209"/>
      <c r="AJ559" s="209"/>
    </row>
    <row r="560" ht="12.75" customHeight="1">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I560" s="209"/>
      <c r="AJ5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I561" s="209"/>
      <c r="AJ561" s="209"/>
    </row>
    <row r="562" ht="12.75" customHeight="1">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I562" s="209"/>
      <c r="AJ562" s="209"/>
    </row>
    <row r="563" ht="12.75" customHeight="1">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I563" s="209"/>
      <c r="AJ563" s="209"/>
    </row>
    <row r="564" ht="12.75" customHeight="1">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I564" s="209"/>
      <c r="AJ564" s="209"/>
    </row>
    <row r="565" ht="12.75" customHeight="1">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I565" s="209"/>
      <c r="AJ565" s="209"/>
    </row>
    <row r="566" ht="12.75" customHeight="1">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I566" s="209"/>
      <c r="AJ566" s="209"/>
    </row>
    <row r="567" ht="12.75" customHeight="1">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I567" s="209"/>
      <c r="AJ567" s="209"/>
    </row>
    <row r="568" ht="12.75" customHeight="1">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I568" s="209"/>
      <c r="AJ568" s="209"/>
    </row>
    <row r="569" ht="12.75" customHeight="1">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I569" s="209"/>
      <c r="AJ569" s="209"/>
    </row>
    <row r="570" ht="12.75" customHeight="1">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I570" s="209"/>
      <c r="AJ570" s="209"/>
    </row>
    <row r="571" ht="12.75" customHeight="1">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I571" s="209"/>
      <c r="AJ571" s="209"/>
    </row>
    <row r="572" ht="12.75" customHeight="1">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I572" s="209"/>
      <c r="AJ572" s="209"/>
    </row>
    <row r="573" ht="12.75" customHeight="1">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I573" s="209"/>
      <c r="AJ573" s="209"/>
    </row>
    <row r="574" ht="12.75" customHeight="1">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I574" s="209"/>
      <c r="AJ574" s="209"/>
    </row>
    <row r="575" ht="12.75" customHeight="1">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I575" s="209"/>
      <c r="AJ575" s="209"/>
    </row>
    <row r="576" ht="12.75" customHeight="1">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I576" s="209"/>
      <c r="AJ576" s="209"/>
    </row>
    <row r="577" ht="12.75" customHeight="1">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I577" s="209"/>
      <c r="AJ577" s="209"/>
    </row>
    <row r="578" ht="12.75" customHeight="1">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I578" s="209"/>
      <c r="AJ578" s="209"/>
    </row>
    <row r="579" ht="12.75" customHeight="1">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I579" s="209"/>
      <c r="AJ579" s="209"/>
    </row>
    <row r="580" ht="12.75" customHeight="1">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I580" s="209"/>
      <c r="AJ580" s="209"/>
    </row>
    <row r="581" ht="12.75" customHeight="1">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I581" s="209"/>
      <c r="AJ581" s="209"/>
    </row>
    <row r="582" ht="12.75" customHeight="1">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I582" s="209"/>
      <c r="AJ582" s="209"/>
    </row>
    <row r="583" ht="12.75" customHeight="1">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I583" s="209"/>
      <c r="AJ583" s="209"/>
    </row>
    <row r="584" ht="12.75" customHeight="1">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I584" s="209"/>
      <c r="AJ584" s="209"/>
    </row>
    <row r="585" ht="12.75" customHeight="1">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I585" s="209"/>
      <c r="AJ585" s="209"/>
    </row>
    <row r="586" ht="12.75" customHeight="1">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I586" s="209"/>
      <c r="AJ586" s="209"/>
    </row>
    <row r="587" ht="12.75" customHeight="1">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I587" s="209"/>
      <c r="AJ587" s="209"/>
    </row>
    <row r="588" ht="12.75" customHeight="1">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I588" s="209"/>
      <c r="AJ588" s="209"/>
    </row>
    <row r="589" ht="12.75" customHeight="1">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I589" s="209"/>
      <c r="AJ589" s="209"/>
    </row>
    <row r="590" ht="12.75" customHeight="1">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I590" s="209"/>
      <c r="AJ590" s="209"/>
    </row>
    <row r="591" ht="12.75" customHeight="1">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I591" s="209"/>
      <c r="AJ591" s="209"/>
    </row>
    <row r="592" ht="12.75" customHeight="1">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I592" s="209"/>
      <c r="AJ592" s="209"/>
    </row>
    <row r="593" ht="12.75" customHeight="1">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I593" s="209"/>
      <c r="AJ593" s="209"/>
    </row>
    <row r="594" ht="12.75" customHeight="1">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I594" s="209"/>
      <c r="AJ594" s="209"/>
    </row>
    <row r="595" ht="12.75" customHeight="1">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I595" s="209"/>
      <c r="AJ595" s="209"/>
    </row>
    <row r="596" ht="12.75" customHeight="1">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I596" s="209"/>
      <c r="AJ596" s="209"/>
    </row>
    <row r="597" ht="12.75" customHeight="1">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I597" s="209"/>
      <c r="AJ597" s="209"/>
    </row>
    <row r="598" ht="12.75" customHeight="1">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I598" s="209"/>
      <c r="AJ598" s="209"/>
    </row>
    <row r="599" ht="12.75" customHeight="1">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I599" s="209"/>
      <c r="AJ599" s="209"/>
    </row>
    <row r="600" ht="12.75" customHeight="1">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I600" s="209"/>
      <c r="AJ600" s="209"/>
    </row>
    <row r="601" ht="12.75" customHeight="1">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I601" s="209"/>
      <c r="AJ601" s="209"/>
    </row>
    <row r="602" ht="12.75" customHeight="1">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I602" s="209"/>
      <c r="AJ602" s="209"/>
    </row>
    <row r="603" ht="12.75" customHeight="1">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I603" s="209"/>
      <c r="AJ603" s="209"/>
    </row>
    <row r="604" ht="12.75" customHeight="1">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I604" s="209"/>
      <c r="AJ604" s="209"/>
    </row>
    <row r="605" ht="12.75" customHeight="1">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I605" s="209"/>
      <c r="AJ605" s="209"/>
    </row>
    <row r="606" ht="12.75" customHeight="1">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I606" s="209"/>
      <c r="AJ606" s="209"/>
    </row>
    <row r="607" ht="12.75" customHeight="1">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I607" s="209"/>
      <c r="AJ607" s="209"/>
    </row>
    <row r="608" ht="12.75" customHeight="1">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I608" s="209"/>
      <c r="AJ608" s="209"/>
    </row>
    <row r="609" ht="12.75" customHeight="1">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I609" s="209"/>
      <c r="AJ609" s="209"/>
    </row>
    <row r="610" ht="12.75" customHeight="1">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I610" s="209"/>
      <c r="AJ610" s="209"/>
    </row>
    <row r="611" ht="12.75" customHeight="1">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I611" s="209"/>
      <c r="AJ611" s="209"/>
    </row>
    <row r="612" ht="12.75" customHeight="1">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I612" s="209"/>
      <c r="AJ612" s="209"/>
    </row>
    <row r="613" ht="12.75" customHeight="1">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I613" s="209"/>
      <c r="AJ613" s="209"/>
    </row>
    <row r="614" ht="12.75" customHeight="1">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I614" s="209"/>
      <c r="AJ614" s="209"/>
    </row>
    <row r="615" ht="12.75" customHeight="1">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I615" s="209"/>
      <c r="AJ615" s="209"/>
    </row>
    <row r="616" ht="12.75" customHeight="1">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I616" s="209"/>
      <c r="AJ616" s="209"/>
    </row>
    <row r="617" ht="12.75" customHeight="1">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I617" s="209"/>
      <c r="AJ617" s="209"/>
    </row>
    <row r="618" ht="12.75" customHeight="1">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I618" s="209"/>
      <c r="AJ618" s="209"/>
    </row>
    <row r="619" ht="12.75" customHeight="1">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I619" s="209"/>
      <c r="AJ619" s="209"/>
    </row>
    <row r="620" ht="12.75" customHeight="1">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I620" s="209"/>
      <c r="AJ620" s="209"/>
    </row>
    <row r="621" ht="12.75" customHeight="1">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I621" s="209"/>
      <c r="AJ621" s="209"/>
    </row>
    <row r="622" ht="12.75" customHeight="1">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I622" s="209"/>
      <c r="AJ622" s="209"/>
    </row>
    <row r="623" ht="12.75" customHeight="1">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I623" s="209"/>
      <c r="AJ623" s="209"/>
    </row>
    <row r="624" ht="12.75" customHeight="1">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I624" s="209"/>
      <c r="AJ624" s="209"/>
    </row>
    <row r="625" ht="12.75" customHeight="1">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I625" s="209"/>
      <c r="AJ625" s="209"/>
    </row>
    <row r="626" ht="12.75" customHeight="1">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I626" s="209"/>
      <c r="AJ626" s="209"/>
    </row>
    <row r="627" ht="12.75" customHeight="1">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I627" s="209"/>
      <c r="AJ627" s="209"/>
    </row>
    <row r="628" ht="12.75" customHeight="1">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I628" s="209"/>
      <c r="AJ628" s="209"/>
    </row>
    <row r="629" ht="12.75" customHeight="1">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I629" s="209"/>
      <c r="AJ629" s="209"/>
    </row>
    <row r="630" ht="12.75" customHeight="1">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I630" s="209"/>
      <c r="AJ630" s="209"/>
    </row>
    <row r="631" ht="12.75" customHeight="1">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I631" s="209"/>
      <c r="AJ631" s="209"/>
    </row>
    <row r="632" ht="12.75" customHeight="1">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I632" s="209"/>
      <c r="AJ632" s="209"/>
    </row>
    <row r="633" ht="12.75" customHeight="1">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I633" s="209"/>
      <c r="AJ633" s="209"/>
    </row>
    <row r="634" ht="12.75" customHeight="1">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I634" s="209"/>
      <c r="AJ634" s="209"/>
    </row>
    <row r="635" ht="12.75" customHeight="1">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I635" s="209"/>
      <c r="AJ635" s="209"/>
    </row>
    <row r="636" ht="12.75" customHeight="1">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I636" s="209"/>
      <c r="AJ636" s="209"/>
    </row>
    <row r="637" ht="12.75" customHeight="1">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I637" s="209"/>
      <c r="AJ637" s="209"/>
    </row>
    <row r="638" ht="12.75" customHeight="1">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I638" s="209"/>
      <c r="AJ638" s="209"/>
    </row>
    <row r="639" ht="12.75" customHeight="1">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I639" s="209"/>
      <c r="AJ639" s="209"/>
    </row>
    <row r="640" ht="12.75" customHeight="1">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I640" s="209"/>
      <c r="AJ640" s="209"/>
    </row>
    <row r="641" ht="12.75" customHeight="1">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I641" s="209"/>
      <c r="AJ641" s="209"/>
    </row>
    <row r="642" ht="12.75" customHeight="1">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I642" s="209"/>
      <c r="AJ642" s="209"/>
    </row>
    <row r="643" ht="12.75" customHeight="1">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I643" s="209"/>
      <c r="AJ643" s="209"/>
    </row>
    <row r="644" ht="12.75" customHeight="1">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I644" s="209"/>
      <c r="AJ644" s="209"/>
    </row>
    <row r="645" ht="12.75" customHeight="1">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I645" s="209"/>
      <c r="AJ645" s="209"/>
    </row>
    <row r="646" ht="12.75" customHeight="1">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I646" s="209"/>
      <c r="AJ646" s="209"/>
    </row>
    <row r="647" ht="12.75" customHeight="1">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I647" s="209"/>
      <c r="AJ647" s="209"/>
    </row>
    <row r="648" ht="12.75" customHeight="1">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I648" s="209"/>
      <c r="AJ648" s="209"/>
    </row>
    <row r="649" ht="12.75" customHeight="1">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I649" s="209"/>
      <c r="AJ649" s="209"/>
    </row>
    <row r="650" ht="12.75" customHeight="1">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I650" s="209"/>
      <c r="AJ650" s="209"/>
    </row>
    <row r="651" ht="12.75" customHeight="1">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I651" s="209"/>
      <c r="AJ651" s="209"/>
    </row>
    <row r="652" ht="12.75" customHeight="1">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I652" s="209"/>
      <c r="AJ652" s="209"/>
    </row>
    <row r="653" ht="12.75" customHeight="1">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I653" s="209"/>
      <c r="AJ653" s="209"/>
    </row>
    <row r="654" ht="12.75" customHeight="1">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I654" s="209"/>
      <c r="AJ654" s="209"/>
    </row>
    <row r="655" ht="12.75" customHeight="1">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I655" s="209"/>
      <c r="AJ655" s="209"/>
    </row>
    <row r="656" ht="12.75" customHeight="1">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I656" s="209"/>
      <c r="AJ656" s="209"/>
    </row>
    <row r="657" ht="12.75" customHeight="1">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I657" s="209"/>
      <c r="AJ657" s="209"/>
    </row>
    <row r="658" ht="12.75" customHeight="1">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I658" s="209"/>
      <c r="AJ658" s="209"/>
    </row>
    <row r="659" ht="12.75" customHeight="1">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I659" s="209"/>
      <c r="AJ659" s="209"/>
    </row>
    <row r="660" ht="12.75" customHeight="1">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I660" s="209"/>
      <c r="AJ660" s="209"/>
    </row>
    <row r="661" ht="12.75" customHeight="1">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I661" s="209"/>
      <c r="AJ661" s="209"/>
    </row>
    <row r="662" ht="12.75" customHeight="1">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I662" s="209"/>
      <c r="AJ662" s="209"/>
    </row>
    <row r="663" ht="12.75" customHeight="1">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I663" s="209"/>
      <c r="AJ663" s="209"/>
    </row>
    <row r="664" ht="12.75" customHeight="1">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I664" s="209"/>
      <c r="AJ664" s="209"/>
    </row>
    <row r="665" ht="12.75" customHeight="1">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I665" s="209"/>
      <c r="AJ665" s="209"/>
    </row>
    <row r="666" ht="12.75" customHeight="1">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I666" s="209"/>
      <c r="AJ666" s="209"/>
    </row>
    <row r="667" ht="12.75" customHeight="1">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I667" s="209"/>
      <c r="AJ667" s="209"/>
    </row>
    <row r="668" ht="12.75" customHeight="1">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I668" s="209"/>
      <c r="AJ668" s="209"/>
    </row>
    <row r="669" ht="12.75" customHeight="1">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I669" s="209"/>
      <c r="AJ669" s="209"/>
    </row>
    <row r="670" ht="12.75" customHeight="1">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I670" s="209"/>
      <c r="AJ670" s="209"/>
    </row>
    <row r="671" ht="12.75" customHeight="1">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I671" s="209"/>
      <c r="AJ671" s="209"/>
    </row>
    <row r="672" ht="12.75" customHeight="1">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I672" s="209"/>
      <c r="AJ672" s="209"/>
    </row>
    <row r="673" ht="12.75" customHeight="1">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I673" s="209"/>
      <c r="AJ673" s="209"/>
    </row>
    <row r="674" ht="12.75" customHeight="1">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I674" s="209"/>
      <c r="AJ674" s="209"/>
    </row>
    <row r="675" ht="12.75" customHeight="1">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I675" s="209"/>
      <c r="AJ675" s="209"/>
    </row>
    <row r="676" ht="12.75" customHeight="1">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I676" s="209"/>
      <c r="AJ676" s="209"/>
    </row>
    <row r="677" ht="12.75" customHeight="1">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I677" s="209"/>
      <c r="AJ677" s="209"/>
    </row>
    <row r="678" ht="12.75" customHeight="1">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I678" s="209"/>
      <c r="AJ678" s="209"/>
    </row>
    <row r="679" ht="12.75" customHeight="1">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I679" s="209"/>
      <c r="AJ679" s="209"/>
    </row>
    <row r="680" ht="12.75" customHeight="1">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I680" s="209"/>
      <c r="AJ680" s="209"/>
    </row>
    <row r="681" ht="12.75" customHeight="1">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I681" s="209"/>
      <c r="AJ681" s="209"/>
    </row>
    <row r="682" ht="12.75" customHeight="1">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I682" s="209"/>
      <c r="AJ682" s="209"/>
    </row>
    <row r="683" ht="12.75" customHeight="1">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I683" s="209"/>
      <c r="AJ683" s="209"/>
    </row>
    <row r="684" ht="12.75" customHeight="1">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I684" s="209"/>
      <c r="AJ684" s="209"/>
    </row>
    <row r="685" ht="12.75" customHeight="1">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I685" s="209"/>
      <c r="AJ685" s="209"/>
    </row>
    <row r="686" ht="12.75" customHeight="1">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I686" s="209"/>
      <c r="AJ686" s="209"/>
    </row>
    <row r="687" ht="12.75" customHeight="1">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I687" s="209"/>
      <c r="AJ687" s="209"/>
    </row>
    <row r="688" ht="12.75" customHeight="1">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I688" s="209"/>
      <c r="AJ688" s="209"/>
    </row>
    <row r="689" ht="12.75" customHeight="1">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I689" s="209"/>
      <c r="AJ689" s="209"/>
    </row>
    <row r="690" ht="12.75" customHeight="1">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I690" s="209"/>
      <c r="AJ690" s="209"/>
    </row>
    <row r="691" ht="12.75" customHeight="1">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I691" s="209"/>
      <c r="AJ691" s="209"/>
    </row>
    <row r="692" ht="12.75" customHeight="1">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I692" s="209"/>
      <c r="AJ692" s="209"/>
    </row>
    <row r="693" ht="12.75" customHeight="1">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I693" s="209"/>
      <c r="AJ693" s="209"/>
    </row>
    <row r="694" ht="12.75" customHeight="1">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I694" s="209"/>
      <c r="AJ694" s="209"/>
    </row>
    <row r="695" ht="12.75" customHeight="1">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I695" s="209"/>
      <c r="AJ695" s="209"/>
    </row>
    <row r="696" ht="12.75" customHeight="1">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I696" s="209"/>
      <c r="AJ696" s="209"/>
    </row>
    <row r="697" ht="12.75" customHeight="1">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I697" s="209"/>
      <c r="AJ697" s="209"/>
    </row>
    <row r="698" ht="12.75" customHeight="1">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I698" s="209"/>
      <c r="AJ698" s="209"/>
    </row>
    <row r="699" ht="12.75" customHeight="1">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I699" s="209"/>
      <c r="AJ699" s="209"/>
    </row>
    <row r="700" ht="12.75" customHeight="1">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I700" s="209"/>
      <c r="AJ700" s="209"/>
    </row>
    <row r="701" ht="12.75" customHeight="1">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I701" s="209"/>
      <c r="AJ701" s="209"/>
    </row>
    <row r="702" ht="12.75" customHeight="1">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I702" s="209"/>
      <c r="AJ702" s="209"/>
    </row>
    <row r="703" ht="12.75" customHeight="1">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I703" s="209"/>
      <c r="AJ703" s="209"/>
    </row>
    <row r="704" ht="12.75" customHeight="1">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I704" s="209"/>
      <c r="AJ704" s="209"/>
    </row>
    <row r="705" ht="12.75" customHeight="1">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I705" s="209"/>
      <c r="AJ705" s="209"/>
    </row>
    <row r="706" ht="12.75" customHeight="1">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I706" s="209"/>
      <c r="AJ706" s="209"/>
    </row>
    <row r="707" ht="12.75" customHeight="1">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I707" s="209"/>
      <c r="AJ707" s="209"/>
    </row>
    <row r="708" ht="12.75" customHeight="1">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I708" s="209"/>
      <c r="AJ708" s="209"/>
    </row>
    <row r="709" ht="12.75" customHeight="1">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I709" s="209"/>
      <c r="AJ709" s="209"/>
    </row>
    <row r="710" ht="12.75" customHeight="1">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I710" s="209"/>
      <c r="AJ710" s="209"/>
    </row>
    <row r="711" ht="12.75" customHeight="1">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I711" s="209"/>
      <c r="AJ711" s="209"/>
    </row>
    <row r="712" ht="12.75" customHeight="1">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I712" s="209"/>
      <c r="AJ712" s="209"/>
    </row>
    <row r="713" ht="12.75" customHeight="1">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I713" s="209"/>
      <c r="AJ713" s="209"/>
    </row>
    <row r="714" ht="12.75" customHeight="1">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I714" s="209"/>
      <c r="AJ714" s="209"/>
    </row>
    <row r="715" ht="12.75" customHeight="1">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I715" s="209"/>
      <c r="AJ715" s="209"/>
    </row>
    <row r="716" ht="12.75" customHeight="1">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I716" s="209"/>
      <c r="AJ716" s="209"/>
    </row>
    <row r="717" ht="12.75" customHeight="1">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I717" s="209"/>
      <c r="AJ717" s="209"/>
    </row>
    <row r="718" ht="12.75" customHeight="1">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I718" s="209"/>
      <c r="AJ718" s="209"/>
    </row>
    <row r="719" ht="12.75" customHeight="1">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I719" s="209"/>
      <c r="AJ719" s="209"/>
    </row>
    <row r="720" ht="12.75" customHeight="1">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I720" s="209"/>
      <c r="AJ720" s="209"/>
    </row>
    <row r="721" ht="12.75" customHeight="1">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I721" s="209"/>
      <c r="AJ721" s="209"/>
    </row>
    <row r="722" ht="12.75" customHeight="1">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I722" s="209"/>
      <c r="AJ722" s="209"/>
    </row>
    <row r="723" ht="12.75" customHeight="1">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I723" s="209"/>
      <c r="AJ723" s="209"/>
    </row>
    <row r="724" ht="12.75" customHeight="1">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I724" s="209"/>
      <c r="AJ724" s="209"/>
    </row>
    <row r="725" ht="12.75" customHeight="1">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I725" s="209"/>
      <c r="AJ725" s="209"/>
    </row>
    <row r="726" ht="12.75" customHeight="1">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I726" s="209"/>
      <c r="AJ726" s="209"/>
    </row>
    <row r="727" ht="12.75" customHeight="1">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I727" s="209"/>
      <c r="AJ727" s="209"/>
    </row>
    <row r="728" ht="12.75" customHeight="1">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I728" s="209"/>
      <c r="AJ728" s="209"/>
    </row>
    <row r="729" ht="12.75" customHeight="1">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I729" s="209"/>
      <c r="AJ729" s="209"/>
    </row>
    <row r="730" ht="12.75" customHeight="1">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I730" s="209"/>
      <c r="AJ730" s="209"/>
    </row>
    <row r="731" ht="12.75" customHeight="1">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I731" s="209"/>
      <c r="AJ731" s="209"/>
    </row>
    <row r="732" ht="12.75" customHeight="1">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I732" s="209"/>
      <c r="AJ732" s="209"/>
    </row>
    <row r="733" ht="12.75" customHeight="1">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I733" s="209"/>
      <c r="AJ733" s="209"/>
    </row>
    <row r="734" ht="12.75" customHeight="1">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I734" s="209"/>
      <c r="AJ734" s="209"/>
    </row>
    <row r="735" ht="12.75" customHeight="1">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I735" s="209"/>
      <c r="AJ735" s="209"/>
    </row>
    <row r="736" ht="12.75" customHeight="1">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I736" s="209"/>
      <c r="AJ736" s="209"/>
    </row>
    <row r="737" ht="12.75" customHeight="1">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I737" s="209"/>
      <c r="AJ737" s="209"/>
    </row>
    <row r="738" ht="12.75" customHeight="1">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I738" s="209"/>
      <c r="AJ738" s="209"/>
    </row>
    <row r="739" ht="12.75" customHeight="1">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I739" s="209"/>
      <c r="AJ739" s="209"/>
    </row>
    <row r="740" ht="12.75" customHeight="1">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I740" s="209"/>
      <c r="AJ740" s="209"/>
    </row>
    <row r="741" ht="12.75" customHeight="1">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I741" s="209"/>
      <c r="AJ741" s="209"/>
    </row>
    <row r="742" ht="12.75" customHeight="1">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I742" s="209"/>
      <c r="AJ742" s="209"/>
    </row>
    <row r="743" ht="12.75" customHeight="1">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I743" s="209"/>
      <c r="AJ743" s="209"/>
    </row>
    <row r="744" ht="12.75" customHeight="1">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I744" s="209"/>
      <c r="AJ744" s="209"/>
    </row>
    <row r="745" ht="12.75" customHeight="1">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I745" s="209"/>
      <c r="AJ745" s="209"/>
    </row>
    <row r="746" ht="12.75" customHeight="1">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I746" s="209"/>
      <c r="AJ746" s="209"/>
    </row>
    <row r="747" ht="12.75" customHeight="1">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I747" s="209"/>
      <c r="AJ747" s="209"/>
    </row>
    <row r="748" ht="12.75" customHeight="1">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I748" s="209"/>
      <c r="AJ748" s="209"/>
    </row>
    <row r="749" ht="12.75" customHeight="1">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I749" s="209"/>
      <c r="AJ749" s="209"/>
    </row>
    <row r="750" ht="12.75" customHeight="1">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I750" s="209"/>
      <c r="AJ750" s="209"/>
    </row>
    <row r="751" ht="12.75" customHeight="1">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I751" s="209"/>
      <c r="AJ751" s="209"/>
    </row>
    <row r="752" ht="12.75" customHeight="1">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I752" s="209"/>
      <c r="AJ752" s="209"/>
    </row>
    <row r="753" ht="12.75" customHeight="1">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I753" s="209"/>
      <c r="AJ753" s="209"/>
    </row>
    <row r="754" ht="12.75" customHeight="1">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I754" s="209"/>
      <c r="AJ754" s="209"/>
    </row>
    <row r="755" ht="12.75" customHeight="1">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I755" s="209"/>
      <c r="AJ755" s="209"/>
    </row>
    <row r="756" ht="12.75" customHeight="1">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I756" s="209"/>
      <c r="AJ756" s="209"/>
    </row>
    <row r="757" ht="12.75" customHeight="1">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I757" s="209"/>
      <c r="AJ757" s="209"/>
    </row>
    <row r="758" ht="12.75" customHeight="1">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I758" s="209"/>
      <c r="AJ758" s="209"/>
    </row>
    <row r="759" ht="12.75" customHeight="1">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I759" s="209"/>
      <c r="AJ759" s="209"/>
    </row>
    <row r="760" ht="12.75" customHeight="1">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I760" s="209"/>
      <c r="AJ760" s="209"/>
    </row>
    <row r="761" ht="12.75" customHeight="1">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I761" s="209"/>
      <c r="AJ761" s="209"/>
    </row>
    <row r="762" ht="12.75" customHeight="1">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I762" s="209"/>
      <c r="AJ762" s="209"/>
    </row>
    <row r="763" ht="12.75" customHeight="1">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I763" s="209"/>
      <c r="AJ763" s="209"/>
    </row>
    <row r="764" ht="12.75" customHeight="1">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I764" s="209"/>
      <c r="AJ764" s="209"/>
    </row>
    <row r="765" ht="12.75" customHeight="1">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I765" s="209"/>
      <c r="AJ765" s="209"/>
    </row>
    <row r="766" ht="12.75" customHeight="1">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I766" s="209"/>
      <c r="AJ766" s="209"/>
    </row>
    <row r="767" ht="12.75" customHeight="1">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I767" s="209"/>
      <c r="AJ767" s="209"/>
    </row>
    <row r="768" ht="12.75" customHeight="1">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I768" s="209"/>
      <c r="AJ768" s="209"/>
    </row>
    <row r="769" ht="12.75" customHeight="1">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I769" s="209"/>
      <c r="AJ769" s="209"/>
    </row>
    <row r="770" ht="12.75" customHeight="1">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I770" s="209"/>
      <c r="AJ770" s="209"/>
    </row>
    <row r="771" ht="12.75" customHeight="1">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I771" s="209"/>
      <c r="AJ771" s="209"/>
    </row>
    <row r="772" ht="12.75" customHeight="1">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I772" s="209"/>
      <c r="AJ772" s="209"/>
    </row>
    <row r="773" ht="12.75" customHeight="1">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I773" s="209"/>
      <c r="AJ773" s="209"/>
    </row>
    <row r="774" ht="12.75" customHeight="1">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I774" s="209"/>
      <c r="AJ774" s="209"/>
    </row>
    <row r="775" ht="12.75" customHeight="1">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I775" s="209"/>
      <c r="AJ775" s="209"/>
    </row>
    <row r="776" ht="12.75" customHeight="1">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I776" s="209"/>
      <c r="AJ776" s="209"/>
    </row>
    <row r="777" ht="12.75" customHeight="1">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I777" s="209"/>
      <c r="AJ777" s="209"/>
    </row>
    <row r="778" ht="12.75" customHeight="1">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I778" s="209"/>
      <c r="AJ778" s="209"/>
    </row>
    <row r="779" ht="12.75" customHeight="1">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I779" s="209"/>
      <c r="AJ779" s="209"/>
    </row>
    <row r="780" ht="12.75" customHeight="1">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I780" s="209"/>
      <c r="AJ780" s="209"/>
    </row>
    <row r="781" ht="12.75" customHeight="1">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I781" s="209"/>
      <c r="AJ781" s="209"/>
    </row>
    <row r="782" ht="12.75" customHeight="1">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I782" s="209"/>
      <c r="AJ782" s="209"/>
    </row>
    <row r="783" ht="12.75" customHeight="1">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I783" s="209"/>
      <c r="AJ783" s="209"/>
    </row>
    <row r="784" ht="12.75" customHeight="1">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I784" s="209"/>
      <c r="AJ784" s="209"/>
    </row>
    <row r="785" ht="12.75" customHeight="1">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I785" s="209"/>
      <c r="AJ785" s="209"/>
    </row>
    <row r="786" ht="12.75" customHeight="1">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I786" s="209"/>
      <c r="AJ786" s="209"/>
    </row>
    <row r="787" ht="12.75" customHeight="1">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I787" s="209"/>
      <c r="AJ787" s="209"/>
    </row>
    <row r="788" ht="12.75" customHeight="1">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I788" s="209"/>
      <c r="AJ788" s="209"/>
    </row>
    <row r="789" ht="12.75" customHeight="1">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I789" s="209"/>
      <c r="AJ789" s="209"/>
    </row>
    <row r="790" ht="12.75" customHeight="1">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I790" s="209"/>
      <c r="AJ790" s="209"/>
    </row>
    <row r="791" ht="12.75" customHeight="1">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I791" s="209"/>
      <c r="AJ791" s="209"/>
    </row>
    <row r="792" ht="12.75" customHeight="1">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I792" s="209"/>
      <c r="AJ792" s="209"/>
    </row>
    <row r="793" ht="12.75" customHeight="1">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I793" s="209"/>
      <c r="AJ793" s="209"/>
    </row>
    <row r="794" ht="12.75" customHeight="1">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I794" s="209"/>
      <c r="AJ794" s="209"/>
    </row>
    <row r="795" ht="12.75" customHeight="1">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I795" s="209"/>
      <c r="AJ795" s="209"/>
    </row>
    <row r="796" ht="12.75" customHeight="1">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I796" s="209"/>
      <c r="AJ796" s="209"/>
    </row>
    <row r="797" ht="12.75" customHeight="1">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I797" s="209"/>
      <c r="AJ797" s="209"/>
    </row>
    <row r="798" ht="12.75" customHeight="1">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I798" s="209"/>
      <c r="AJ798" s="209"/>
    </row>
    <row r="799" ht="12.75" customHeight="1">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I799" s="209"/>
      <c r="AJ799" s="209"/>
    </row>
    <row r="800" ht="12.75" customHeight="1">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I800" s="209"/>
      <c r="AJ800" s="209"/>
    </row>
    <row r="801" ht="12.75" customHeight="1">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I801" s="209"/>
      <c r="AJ801" s="209"/>
    </row>
    <row r="802" ht="12.75" customHeight="1">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I802" s="209"/>
      <c r="AJ802" s="209"/>
    </row>
    <row r="803" ht="12.75" customHeight="1">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I803" s="209"/>
      <c r="AJ803" s="209"/>
    </row>
    <row r="804" ht="12.75" customHeight="1">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I804" s="209"/>
      <c r="AJ804" s="209"/>
    </row>
    <row r="805" ht="12.75" customHeight="1">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I805" s="209"/>
      <c r="AJ805" s="209"/>
    </row>
    <row r="806" ht="12.75" customHeight="1">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I806" s="209"/>
      <c r="AJ806" s="209"/>
    </row>
    <row r="807" ht="12.75" customHeight="1">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I807" s="209"/>
      <c r="AJ807" s="209"/>
    </row>
    <row r="808" ht="12.75" customHeight="1">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I808" s="209"/>
      <c r="AJ808" s="209"/>
    </row>
    <row r="809" ht="12.75" customHeight="1">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I809" s="209"/>
      <c r="AJ809" s="209"/>
    </row>
    <row r="810" ht="12.75" customHeight="1">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I810" s="209"/>
      <c r="AJ810" s="209"/>
    </row>
    <row r="811" ht="12.75" customHeight="1">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I811" s="209"/>
      <c r="AJ811" s="209"/>
    </row>
    <row r="812" ht="12.75" customHeight="1">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I812" s="209"/>
      <c r="AJ812" s="209"/>
    </row>
    <row r="813" ht="12.75" customHeight="1">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I813" s="209"/>
      <c r="AJ813" s="209"/>
    </row>
    <row r="814" ht="12.75" customHeight="1">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I814" s="209"/>
      <c r="AJ814" s="209"/>
    </row>
    <row r="815" ht="12.75" customHeight="1">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I815" s="209"/>
      <c r="AJ815" s="209"/>
    </row>
    <row r="816" ht="12.75" customHeight="1">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I816" s="209"/>
      <c r="AJ816" s="209"/>
    </row>
    <row r="817" ht="12.75" customHeight="1">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I817" s="209"/>
      <c r="AJ817" s="209"/>
    </row>
    <row r="818" ht="12.75" customHeight="1">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I818" s="209"/>
      <c r="AJ818" s="209"/>
    </row>
    <row r="819" ht="12.75" customHeight="1">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I819" s="209"/>
      <c r="AJ819" s="209"/>
    </row>
    <row r="820" ht="12.75" customHeight="1">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I820" s="209"/>
      <c r="AJ820" s="209"/>
    </row>
    <row r="821" ht="12.75" customHeight="1">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I821" s="209"/>
      <c r="AJ821" s="209"/>
    </row>
    <row r="822" ht="12.75" customHeight="1">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I822" s="209"/>
      <c r="AJ822" s="209"/>
    </row>
    <row r="823" ht="12.75" customHeight="1">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I823" s="209"/>
      <c r="AJ823" s="209"/>
    </row>
    <row r="824" ht="12.75" customHeight="1">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I824" s="209"/>
      <c r="AJ824" s="209"/>
    </row>
    <row r="825" ht="12.75" customHeight="1">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I825" s="209"/>
      <c r="AJ825" s="209"/>
    </row>
    <row r="826" ht="12.75" customHeight="1">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I826" s="209"/>
      <c r="AJ826" s="209"/>
    </row>
    <row r="827" ht="12.75" customHeight="1">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I827" s="209"/>
      <c r="AJ827" s="209"/>
    </row>
    <row r="828" ht="12.75" customHeight="1">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I828" s="209"/>
      <c r="AJ828" s="209"/>
    </row>
    <row r="829" ht="12.75" customHeight="1">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I829" s="209"/>
      <c r="AJ829" s="209"/>
    </row>
    <row r="830" ht="12.75" customHeight="1">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I830" s="209"/>
      <c r="AJ830" s="209"/>
    </row>
    <row r="831" ht="12.75" customHeight="1">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I831" s="209"/>
      <c r="AJ831" s="209"/>
    </row>
    <row r="832" ht="12.75" customHeight="1">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I832" s="209"/>
      <c r="AJ832" s="209"/>
    </row>
    <row r="833" ht="12.75" customHeight="1">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I833" s="209"/>
      <c r="AJ833" s="209"/>
    </row>
    <row r="834" ht="12.75" customHeight="1">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I834" s="209"/>
      <c r="AJ834" s="209"/>
    </row>
    <row r="835" ht="12.75" customHeight="1">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I835" s="209"/>
      <c r="AJ835" s="209"/>
    </row>
    <row r="836" ht="12.75" customHeight="1">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I836" s="209"/>
      <c r="AJ836" s="209"/>
    </row>
    <row r="837" ht="12.75" customHeight="1">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I837" s="209"/>
      <c r="AJ837" s="209"/>
    </row>
    <row r="838" ht="12.75" customHeight="1">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I838" s="209"/>
      <c r="AJ838" s="209"/>
    </row>
    <row r="839" ht="12.75" customHeight="1">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I839" s="209"/>
      <c r="AJ839" s="209"/>
    </row>
    <row r="840" ht="12.75" customHeight="1">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I840" s="209"/>
      <c r="AJ840" s="209"/>
    </row>
    <row r="841" ht="12.75" customHeight="1">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I841" s="209"/>
      <c r="AJ841" s="209"/>
    </row>
    <row r="842" ht="12.75" customHeight="1">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I842" s="209"/>
      <c r="AJ842" s="209"/>
    </row>
    <row r="843" ht="12.75" customHeight="1">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I843" s="209"/>
      <c r="AJ843" s="209"/>
    </row>
    <row r="844" ht="12.75" customHeight="1">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I844" s="209"/>
      <c r="AJ844" s="209"/>
    </row>
    <row r="845" ht="12.75" customHeight="1">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I845" s="209"/>
      <c r="AJ845" s="209"/>
    </row>
    <row r="846" ht="12.75" customHeight="1">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I846" s="209"/>
      <c r="AJ846" s="209"/>
    </row>
    <row r="847" ht="12.75" customHeight="1">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I847" s="209"/>
      <c r="AJ847" s="209"/>
    </row>
    <row r="848" ht="12.75" customHeight="1">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I848" s="209"/>
      <c r="AJ848" s="209"/>
    </row>
    <row r="849" ht="12.75" customHeight="1">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I849" s="209"/>
      <c r="AJ849" s="209"/>
    </row>
    <row r="850" ht="12.75" customHeight="1">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I850" s="209"/>
      <c r="AJ850" s="209"/>
    </row>
    <row r="851" ht="12.75" customHeight="1">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I851" s="209"/>
      <c r="AJ851" s="209"/>
    </row>
    <row r="852" ht="12.75" customHeight="1">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I852" s="209"/>
      <c r="AJ852" s="209"/>
    </row>
    <row r="853" ht="12.75" customHeight="1">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I853" s="209"/>
      <c r="AJ853" s="209"/>
    </row>
    <row r="854" ht="12.75" customHeight="1">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I854" s="209"/>
      <c r="AJ854" s="209"/>
    </row>
    <row r="855" ht="12.75" customHeight="1">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I855" s="209"/>
      <c r="AJ855" s="209"/>
    </row>
    <row r="856" ht="12.75" customHeight="1">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I856" s="209"/>
      <c r="AJ856" s="209"/>
    </row>
    <row r="857" ht="12.75" customHeight="1">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I857" s="209"/>
      <c r="AJ857" s="209"/>
    </row>
    <row r="858" ht="12.75" customHeight="1">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I858" s="209"/>
      <c r="AJ858" s="209"/>
    </row>
    <row r="859" ht="12.75" customHeight="1">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I859" s="209"/>
      <c r="AJ859" s="209"/>
    </row>
    <row r="860" ht="12.75" customHeight="1">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I860" s="209"/>
      <c r="AJ860" s="209"/>
    </row>
    <row r="861" ht="12.75" customHeight="1">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I861" s="209"/>
      <c r="AJ861" s="209"/>
    </row>
    <row r="862" ht="12.75" customHeight="1">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I862" s="209"/>
      <c r="AJ862" s="209"/>
    </row>
    <row r="863" ht="12.75" customHeight="1">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I863" s="209"/>
      <c r="AJ863" s="209"/>
    </row>
    <row r="864" ht="12.75" customHeight="1">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I864" s="209"/>
      <c r="AJ864" s="209"/>
    </row>
    <row r="865" ht="12.75" customHeight="1">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I865" s="209"/>
      <c r="AJ865" s="209"/>
    </row>
    <row r="866" ht="12.75" customHeight="1">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I866" s="209"/>
      <c r="AJ866" s="209"/>
    </row>
    <row r="867" ht="12.75" customHeight="1">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I867" s="209"/>
      <c r="AJ867" s="209"/>
    </row>
    <row r="868" ht="12.75" customHeight="1">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I868" s="209"/>
      <c r="AJ868" s="209"/>
    </row>
    <row r="869" ht="12.75" customHeight="1">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I869" s="209"/>
      <c r="AJ869" s="209"/>
    </row>
    <row r="870" ht="12.75" customHeight="1">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I870" s="209"/>
      <c r="AJ870" s="209"/>
    </row>
    <row r="871" ht="12.75" customHeight="1">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I871" s="209"/>
      <c r="AJ871" s="209"/>
    </row>
    <row r="872" ht="12.75" customHeight="1">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I872" s="209"/>
      <c r="AJ872" s="209"/>
    </row>
    <row r="873" ht="12.75" customHeight="1">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I873" s="209"/>
      <c r="AJ873" s="209"/>
    </row>
    <row r="874" ht="12.75" customHeight="1">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I874" s="209"/>
      <c r="AJ874" s="209"/>
    </row>
    <row r="875" ht="12.75" customHeight="1">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I875" s="209"/>
      <c r="AJ875" s="209"/>
    </row>
    <row r="876" ht="12.75" customHeight="1">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I876" s="209"/>
      <c r="AJ876" s="209"/>
    </row>
    <row r="877" ht="12.75" customHeight="1">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I877" s="209"/>
      <c r="AJ877" s="209"/>
    </row>
    <row r="878" ht="12.75" customHeight="1">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I878" s="209"/>
      <c r="AJ878" s="209"/>
    </row>
    <row r="879" ht="12.75" customHeight="1">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I879" s="209"/>
      <c r="AJ879" s="209"/>
    </row>
    <row r="880" ht="12.75" customHeight="1">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I880" s="209"/>
      <c r="AJ880" s="209"/>
    </row>
    <row r="881" ht="12.75" customHeight="1">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I881" s="209"/>
      <c r="AJ881" s="209"/>
    </row>
    <row r="882" ht="12.75" customHeight="1">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I882" s="209"/>
      <c r="AJ882" s="209"/>
    </row>
    <row r="883" ht="12.75" customHeight="1">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I883" s="209"/>
      <c r="AJ883" s="209"/>
    </row>
    <row r="884" ht="12.75" customHeight="1">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I884" s="209"/>
      <c r="AJ884" s="209"/>
    </row>
    <row r="885" ht="12.75" customHeight="1">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I885" s="209"/>
      <c r="AJ885" s="209"/>
    </row>
    <row r="886" ht="12.75" customHeight="1">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I886" s="209"/>
      <c r="AJ886" s="209"/>
    </row>
    <row r="887" ht="12.75" customHeight="1">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I887" s="209"/>
      <c r="AJ887" s="209"/>
    </row>
    <row r="888" ht="12.75" customHeight="1">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I888" s="209"/>
      <c r="AJ888" s="209"/>
    </row>
    <row r="889" ht="12.75" customHeight="1">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I889" s="209"/>
      <c r="AJ889" s="209"/>
    </row>
    <row r="890" ht="12.75" customHeight="1">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I890" s="209"/>
      <c r="AJ890" s="209"/>
    </row>
    <row r="891" ht="12.75" customHeight="1">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I891" s="209"/>
      <c r="AJ891" s="209"/>
    </row>
    <row r="892" ht="12.75" customHeight="1">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I892" s="209"/>
      <c r="AJ892" s="209"/>
    </row>
    <row r="893" ht="12.75" customHeight="1">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I893" s="209"/>
      <c r="AJ893" s="209"/>
    </row>
    <row r="894" ht="12.75" customHeight="1">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I894" s="209"/>
      <c r="AJ894" s="209"/>
    </row>
    <row r="895" ht="12.75" customHeight="1">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I895" s="209"/>
      <c r="AJ895" s="209"/>
    </row>
    <row r="896" ht="12.75" customHeight="1">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I896" s="209"/>
      <c r="AJ896" s="209"/>
    </row>
    <row r="897" ht="12.75" customHeight="1">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I897" s="209"/>
      <c r="AJ897" s="209"/>
    </row>
    <row r="898" ht="12.75" customHeight="1">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I898" s="209"/>
      <c r="AJ898" s="209"/>
    </row>
    <row r="899" ht="12.75" customHeight="1">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I899" s="209"/>
      <c r="AJ899" s="209"/>
    </row>
    <row r="900" ht="12.75" customHeight="1">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I900" s="209"/>
      <c r="AJ900" s="209"/>
    </row>
    <row r="901" ht="12.75" customHeight="1">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I901" s="209"/>
      <c r="AJ901" s="209"/>
    </row>
    <row r="902" ht="12.75" customHeight="1">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I902" s="209"/>
      <c r="AJ902" s="209"/>
    </row>
    <row r="903" ht="12.75" customHeight="1">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I903" s="209"/>
      <c r="AJ903" s="209"/>
    </row>
    <row r="904" ht="12.75" customHeight="1">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I904" s="209"/>
      <c r="AJ904" s="209"/>
    </row>
    <row r="905" ht="12.75" customHeight="1">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I905" s="209"/>
      <c r="AJ905" s="209"/>
    </row>
    <row r="906" ht="12.75" customHeight="1">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I906" s="209"/>
      <c r="AJ906" s="209"/>
    </row>
    <row r="907" ht="12.75" customHeight="1">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I907" s="209"/>
      <c r="AJ907" s="209"/>
    </row>
    <row r="908" ht="12.75" customHeight="1">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I908" s="209"/>
      <c r="AJ908" s="209"/>
    </row>
    <row r="909" ht="12.75" customHeight="1">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I909" s="209"/>
      <c r="AJ909" s="209"/>
    </row>
    <row r="910" ht="12.75" customHeight="1">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I910" s="209"/>
      <c r="AJ910" s="209"/>
    </row>
    <row r="911" ht="12.75" customHeight="1">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I911" s="209"/>
      <c r="AJ911" s="209"/>
    </row>
    <row r="912" ht="12.75" customHeight="1">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I912" s="209"/>
      <c r="AJ912" s="209"/>
    </row>
    <row r="913" ht="12.75" customHeight="1">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I913" s="209"/>
      <c r="AJ913" s="209"/>
    </row>
    <row r="914" ht="12.75" customHeight="1">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I914" s="209"/>
      <c r="AJ914" s="209"/>
    </row>
    <row r="915" ht="12.75" customHeight="1">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I915" s="209"/>
      <c r="AJ915" s="209"/>
    </row>
    <row r="916" ht="12.75" customHeight="1">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I916" s="209"/>
      <c r="AJ916" s="209"/>
    </row>
    <row r="917" ht="12.75" customHeight="1">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I917" s="209"/>
      <c r="AJ917" s="209"/>
    </row>
    <row r="918" ht="12.75" customHeight="1">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I918" s="209"/>
      <c r="AJ918" s="209"/>
    </row>
    <row r="919" ht="12.75" customHeight="1">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I919" s="209"/>
      <c r="AJ919" s="209"/>
    </row>
    <row r="920" ht="12.75" customHeight="1">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I920" s="209"/>
      <c r="AJ920" s="209"/>
    </row>
    <row r="921" ht="12.75" customHeight="1">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I921" s="209"/>
      <c r="AJ921" s="209"/>
    </row>
    <row r="922" ht="12.75" customHeight="1">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I922" s="209"/>
      <c r="AJ922" s="209"/>
    </row>
    <row r="923" ht="12.75" customHeight="1">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I923" s="209"/>
      <c r="AJ923" s="209"/>
    </row>
    <row r="924" ht="12.75" customHeight="1">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I924" s="209"/>
      <c r="AJ924" s="209"/>
    </row>
    <row r="925" ht="12.75" customHeight="1">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I925" s="209"/>
      <c r="AJ925" s="209"/>
    </row>
    <row r="926" ht="12.75" customHeight="1">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I926" s="209"/>
      <c r="AJ926" s="209"/>
    </row>
    <row r="927" ht="12.75" customHeight="1">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I927" s="209"/>
      <c r="AJ927" s="209"/>
    </row>
    <row r="928" ht="12.75" customHeight="1">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I928" s="209"/>
      <c r="AJ928" s="209"/>
    </row>
    <row r="929" ht="12.75" customHeight="1">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I929" s="209"/>
      <c r="AJ929" s="209"/>
    </row>
    <row r="930" ht="12.75" customHeight="1">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I930" s="209"/>
      <c r="AJ930" s="209"/>
    </row>
    <row r="931" ht="12.75" customHeight="1">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I931" s="209"/>
      <c r="AJ931" s="209"/>
    </row>
    <row r="932" ht="12.75" customHeight="1">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I932" s="209"/>
      <c r="AJ932" s="209"/>
    </row>
    <row r="933" ht="12.75" customHeight="1">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I933" s="209"/>
      <c r="AJ933" s="209"/>
    </row>
    <row r="934" ht="12.75" customHeight="1">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I934" s="209"/>
      <c r="AJ934" s="209"/>
    </row>
    <row r="935" ht="12.75" customHeight="1">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I935" s="209"/>
      <c r="AJ935" s="209"/>
    </row>
    <row r="936" ht="12.75" customHeight="1">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I936" s="209"/>
      <c r="AJ936" s="209"/>
    </row>
    <row r="937" ht="12.75" customHeight="1">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I937" s="209"/>
      <c r="AJ937" s="209"/>
    </row>
    <row r="938" ht="12.75" customHeight="1">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I938" s="209"/>
      <c r="AJ938" s="209"/>
    </row>
    <row r="939" ht="12.75" customHeight="1">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I939" s="209"/>
      <c r="AJ939" s="209"/>
    </row>
    <row r="940" ht="12.75" customHeight="1">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I940" s="209"/>
      <c r="AJ940" s="209"/>
    </row>
    <row r="941" ht="12.75" customHeight="1">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I941" s="209"/>
      <c r="AJ941" s="209"/>
    </row>
    <row r="942" ht="12.75" customHeight="1">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I942" s="209"/>
      <c r="AJ942" s="209"/>
    </row>
    <row r="943" ht="12.75" customHeight="1">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I943" s="209"/>
      <c r="AJ943" s="209"/>
    </row>
    <row r="944" ht="12.75" customHeight="1">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I944" s="209"/>
      <c r="AJ944" s="209"/>
    </row>
    <row r="945" ht="12.75" customHeight="1">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I945" s="209"/>
      <c r="AJ945" s="209"/>
    </row>
    <row r="946" ht="12.75" customHeight="1">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I946" s="209"/>
      <c r="AJ946" s="209"/>
    </row>
    <row r="947" ht="12.75" customHeight="1">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I947" s="209"/>
      <c r="AJ947" s="209"/>
    </row>
    <row r="948" ht="12.75" customHeight="1">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I948" s="209"/>
      <c r="AJ948" s="209"/>
    </row>
    <row r="949" ht="12.75" customHeight="1">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I949" s="209"/>
      <c r="AJ949" s="209"/>
    </row>
    <row r="950" ht="12.75" customHeight="1">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I950" s="209"/>
      <c r="AJ950" s="209"/>
    </row>
    <row r="951" ht="12.75" customHeight="1">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I951" s="209"/>
      <c r="AJ951" s="209"/>
    </row>
    <row r="952" ht="12.75" customHeight="1">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I952" s="209"/>
      <c r="AJ952" s="209"/>
    </row>
    <row r="953" ht="12.75" customHeight="1">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I953" s="209"/>
      <c r="AJ953" s="209"/>
    </row>
    <row r="954" ht="12.75" customHeight="1">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I954" s="209"/>
      <c r="AJ954" s="209"/>
    </row>
    <row r="955" ht="12.75" customHeight="1">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I955" s="209"/>
      <c r="AJ955" s="209"/>
    </row>
    <row r="956" ht="12.75" customHeight="1">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I956" s="209"/>
      <c r="AJ956" s="209"/>
    </row>
    <row r="957" ht="12.75" customHeight="1">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I957" s="209"/>
      <c r="AJ957" s="209"/>
    </row>
    <row r="958" ht="12.75" customHeight="1">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I958" s="209"/>
      <c r="AJ958" s="209"/>
    </row>
    <row r="959" ht="12.75" customHeight="1">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I959" s="209"/>
      <c r="AJ959" s="209"/>
    </row>
    <row r="960" ht="12.75" customHeight="1">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I960" s="209"/>
      <c r="AJ960" s="209"/>
    </row>
    <row r="961" ht="12.75" customHeight="1">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I961" s="209"/>
      <c r="AJ961" s="209"/>
    </row>
    <row r="962" ht="12.75" customHeight="1">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I962" s="209"/>
      <c r="AJ962" s="209"/>
    </row>
    <row r="963" ht="12.75" customHeight="1">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I963" s="209"/>
      <c r="AJ963" s="209"/>
    </row>
    <row r="964" ht="12.75" customHeight="1">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I964" s="209"/>
      <c r="AJ964" s="209"/>
    </row>
    <row r="965" ht="12.75" customHeight="1">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I965" s="209"/>
      <c r="AJ965" s="209"/>
    </row>
    <row r="966" ht="12.75" customHeight="1">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I966" s="209"/>
      <c r="AJ966" s="209"/>
    </row>
    <row r="967" ht="12.75" customHeight="1">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I967" s="209"/>
      <c r="AJ967" s="209"/>
    </row>
    <row r="968" ht="12.75" customHeight="1">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I968" s="209"/>
      <c r="AJ968" s="209"/>
    </row>
    <row r="969" ht="12.75" customHeight="1">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I969" s="209"/>
      <c r="AJ969" s="209"/>
    </row>
    <row r="970" ht="12.75" customHeight="1">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I970" s="209"/>
      <c r="AJ970" s="209"/>
    </row>
    <row r="971" ht="12.75" customHeight="1">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I971" s="209"/>
      <c r="AJ971" s="209"/>
    </row>
    <row r="972" ht="12.75" customHeight="1">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I972" s="209"/>
      <c r="AJ972" s="209"/>
    </row>
    <row r="973" ht="12.75" customHeight="1">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I973" s="209"/>
      <c r="AJ973" s="209"/>
    </row>
    <row r="974" ht="12.75" customHeight="1">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I974" s="209"/>
      <c r="AJ974" s="209"/>
    </row>
    <row r="975" ht="12.75" customHeight="1">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I975" s="209"/>
      <c r="AJ975" s="209"/>
    </row>
    <row r="976" ht="12.75" customHeight="1">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I976" s="209"/>
      <c r="AJ976" s="209"/>
    </row>
    <row r="977" ht="12.75" customHeight="1">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I977" s="209"/>
      <c r="AJ977" s="209"/>
    </row>
    <row r="978" ht="12.75" customHeight="1">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I978" s="209"/>
      <c r="AJ978" s="209"/>
    </row>
    <row r="979" ht="12.75" customHeight="1">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I979" s="209"/>
      <c r="AJ979" s="209"/>
    </row>
    <row r="980" ht="12.75" customHeight="1">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I980" s="209"/>
      <c r="AJ980" s="209"/>
    </row>
    <row r="981" ht="12.75" customHeight="1">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I981" s="209"/>
      <c r="AJ981" s="209"/>
    </row>
    <row r="982" ht="12.75" customHeight="1">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I982" s="209"/>
      <c r="AJ982" s="209"/>
    </row>
    <row r="983" ht="12.75" customHeight="1">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I983" s="209"/>
      <c r="AJ983" s="209"/>
    </row>
    <row r="984" ht="12.75" customHeight="1">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I984" s="209"/>
      <c r="AJ984" s="209"/>
    </row>
    <row r="985" ht="12.75" customHeight="1">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I985" s="209"/>
      <c r="AJ985" s="209"/>
    </row>
    <row r="986" ht="12.75" customHeight="1">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I986" s="209"/>
      <c r="AJ986" s="209"/>
    </row>
    <row r="987" ht="12.75" customHeight="1">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I987" s="209"/>
      <c r="AJ987" s="209"/>
    </row>
    <row r="988" ht="12.75" customHeight="1">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c r="AB988" s="209"/>
      <c r="AC988" s="209"/>
      <c r="AI988" s="209"/>
      <c r="AJ988" s="209"/>
    </row>
    <row r="989" ht="12.75" customHeight="1">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c r="AB989" s="209"/>
      <c r="AC989" s="209"/>
      <c r="AI989" s="209"/>
      <c r="AJ989" s="209"/>
    </row>
    <row r="990" ht="12.75" customHeight="1">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c r="AB990" s="209"/>
      <c r="AC990" s="209"/>
      <c r="AI990" s="209"/>
      <c r="AJ990" s="209"/>
    </row>
    <row r="991" ht="12.75" customHeight="1">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c r="AB991" s="209"/>
      <c r="AC991" s="209"/>
      <c r="AI991" s="209"/>
      <c r="AJ991" s="209"/>
    </row>
    <row r="992" ht="12.75" customHeight="1">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c r="AB992" s="209"/>
      <c r="AC992" s="209"/>
      <c r="AI992" s="209"/>
      <c r="AJ992" s="209"/>
    </row>
    <row r="993" ht="12.75" customHeight="1">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c r="AB993" s="209"/>
      <c r="AC993" s="209"/>
      <c r="AI993" s="209"/>
      <c r="AJ993" s="209"/>
    </row>
    <row r="994" ht="12.75" customHeight="1">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c r="AB994" s="209"/>
      <c r="AC994" s="209"/>
      <c r="AI994" s="209"/>
      <c r="AJ994" s="209"/>
    </row>
    <row r="995" ht="12.75" customHeight="1">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c r="AB995" s="209"/>
      <c r="AC995" s="209"/>
      <c r="AI995" s="209"/>
      <c r="AJ995" s="209"/>
    </row>
    <row r="996" ht="12.75" customHeight="1">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c r="AB996" s="209"/>
      <c r="AC996" s="209"/>
      <c r="AI996" s="209"/>
      <c r="AJ996" s="209"/>
    </row>
    <row r="997" ht="12.75" customHeight="1">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c r="AB997" s="209"/>
      <c r="AC997" s="209"/>
      <c r="AI997" s="209"/>
      <c r="AJ997" s="209"/>
    </row>
    <row r="998" ht="12.75" customHeight="1">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c r="AB998" s="209"/>
      <c r="AC998" s="209"/>
      <c r="AI998" s="209"/>
      <c r="AJ998" s="209"/>
    </row>
    <row r="999" ht="12.75" customHeight="1">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c r="AB999" s="209"/>
      <c r="AC999" s="209"/>
      <c r="AI999" s="209"/>
      <c r="AJ999" s="209"/>
    </row>
    <row r="1000" ht="12.75" customHeight="1">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c r="AB1000" s="209"/>
      <c r="AC1000" s="209"/>
      <c r="AI1000" s="209"/>
      <c r="AJ1000" s="209"/>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6" t="s">
        <v>2</v>
      </c>
      <c r="B1" s="206" t="s">
        <v>1217</v>
      </c>
      <c r="C1" s="207" t="s">
        <v>1219</v>
      </c>
      <c r="D1" s="207" t="s">
        <v>1220</v>
      </c>
      <c r="E1" s="207" t="s">
        <v>1221</v>
      </c>
      <c r="F1" s="207" t="s">
        <v>1222</v>
      </c>
      <c r="G1" s="207" t="s">
        <v>1223</v>
      </c>
      <c r="H1" s="207" t="s">
        <v>1224</v>
      </c>
      <c r="I1" s="207" t="s">
        <v>1225</v>
      </c>
      <c r="J1" s="207" t="s">
        <v>1226</v>
      </c>
      <c r="K1" s="207" t="s">
        <v>1227</v>
      </c>
      <c r="L1" s="207" t="s">
        <v>1228</v>
      </c>
      <c r="M1" s="207" t="s">
        <v>1229</v>
      </c>
      <c r="N1" s="207" t="s">
        <v>1230</v>
      </c>
      <c r="O1" s="207" t="s">
        <v>1231</v>
      </c>
      <c r="P1" s="207" t="s">
        <v>1232</v>
      </c>
      <c r="Q1" s="207" t="s">
        <v>1233</v>
      </c>
      <c r="R1" s="207" t="s">
        <v>1234</v>
      </c>
      <c r="S1" s="207" t="s">
        <v>1235</v>
      </c>
      <c r="T1" s="207" t="s">
        <v>1236</v>
      </c>
      <c r="U1" s="207" t="s">
        <v>1237</v>
      </c>
      <c r="V1" s="207" t="s">
        <v>1238</v>
      </c>
      <c r="W1" s="207" t="s">
        <v>1239</v>
      </c>
      <c r="X1" s="207" t="s">
        <v>1240</v>
      </c>
      <c r="Y1" s="207" t="s">
        <v>1241</v>
      </c>
      <c r="Z1" s="208"/>
      <c r="AA1" s="208"/>
      <c r="AB1" s="208"/>
      <c r="AC1" s="208"/>
      <c r="AD1" s="204" t="s">
        <v>1242</v>
      </c>
      <c r="AE1" s="204" t="s">
        <v>1243</v>
      </c>
      <c r="AF1" s="208" t="s">
        <v>1244</v>
      </c>
      <c r="AG1" s="204" t="s">
        <v>1245</v>
      </c>
      <c r="AH1" s="204" t="s">
        <v>1246</v>
      </c>
      <c r="AI1" s="209"/>
      <c r="AJ1" s="209"/>
      <c r="AK1" s="204" t="s">
        <v>1247</v>
      </c>
      <c r="AL1" s="204" t="s">
        <v>1248</v>
      </c>
      <c r="AM1" s="208" t="s">
        <v>1249</v>
      </c>
      <c r="AN1" s="204" t="s">
        <v>1250</v>
      </c>
      <c r="AO1" s="204" t="s">
        <v>1251</v>
      </c>
      <c r="AP1" s="204" t="s">
        <v>1250</v>
      </c>
      <c r="AQ1" s="204" t="s">
        <v>1251</v>
      </c>
      <c r="AR1" s="208" t="s">
        <v>1252</v>
      </c>
      <c r="AS1" s="204" t="s">
        <v>1250</v>
      </c>
      <c r="AT1" s="204" t="s">
        <v>1251</v>
      </c>
      <c r="BI1" s="198" t="s">
        <v>1253</v>
      </c>
    </row>
    <row r="2" ht="12.75" hidden="1" customHeight="1">
      <c r="A2" s="5">
        <f>companies!A2</f>
        <v>1</v>
      </c>
      <c r="B2" s="199" t="s">
        <v>1254</v>
      </c>
      <c r="C2" s="199">
        <v>4050000.0</v>
      </c>
      <c r="D2" s="199">
        <v>1780000.0</v>
      </c>
      <c r="E2" s="199">
        <v>1320000.0</v>
      </c>
      <c r="F2" s="199">
        <v>6140000.0</v>
      </c>
      <c r="G2" s="199">
        <v>556000.0</v>
      </c>
      <c r="H2" s="199">
        <v>578000.0</v>
      </c>
      <c r="I2" s="199">
        <v>1070000.0</v>
      </c>
      <c r="J2" s="199">
        <v>192000.0</v>
      </c>
      <c r="K2" s="199">
        <v>52800.0</v>
      </c>
      <c r="L2" s="199">
        <v>336000.0</v>
      </c>
      <c r="M2" s="212" t="s">
        <v>683</v>
      </c>
      <c r="N2" s="212" t="s">
        <v>683</v>
      </c>
      <c r="O2" s="212" t="s">
        <v>683</v>
      </c>
      <c r="P2" s="212" t="s">
        <v>683</v>
      </c>
      <c r="Q2" s="212" t="s">
        <v>683</v>
      </c>
      <c r="R2" s="199">
        <v>1000.0</v>
      </c>
      <c r="S2" s="212" t="s">
        <v>683</v>
      </c>
      <c r="T2" s="212" t="s">
        <v>683</v>
      </c>
      <c r="U2" s="212" t="s">
        <v>683</v>
      </c>
      <c r="V2" s="212" t="s">
        <v>683</v>
      </c>
      <c r="W2" s="212">
        <f t="shared" ref="W2:W9" si="1">SUM(F2:V2)</f>
        <v>8925800</v>
      </c>
      <c r="X2" s="199">
        <v>1320000.0</v>
      </c>
      <c r="Y2" s="199">
        <v>1.42958E7</v>
      </c>
      <c r="Z2" s="199"/>
      <c r="AA2" s="199"/>
      <c r="AB2" s="199"/>
      <c r="AC2" s="199"/>
      <c r="AD2" s="212" t="s">
        <v>683</v>
      </c>
      <c r="AE2" s="212" t="s">
        <v>683</v>
      </c>
      <c r="AF2" s="213" t="str">
        <f>Table1[[#This Row],[2019 Scope 1 (MeT Co2)]]</f>
        <v>#ERROR!</v>
      </c>
      <c r="AG2" s="214" t="str">
        <f t="shared" ref="AG2:AG101" si="2">C2-AF2</f>
        <v>#ERROR!</v>
      </c>
      <c r="AH2" s="215" t="str">
        <f t="shared" ref="AH2:AH101" si="3">AG2/C2</f>
        <v>#ERROR!</v>
      </c>
      <c r="AI2" s="209"/>
      <c r="AJ2" s="209"/>
      <c r="AK2" s="212" t="s">
        <v>683</v>
      </c>
      <c r="AL2" s="212" t="s">
        <v>683</v>
      </c>
      <c r="AM2" s="213" t="str">
        <f>Table1[[#This Row],[2019 Scope 2 ]]</f>
        <v>#ERROR!</v>
      </c>
      <c r="AN2" s="214" t="str">
        <f t="shared" ref="AN2:AN101" si="4">D2-AM2</f>
        <v>#ERROR!</v>
      </c>
      <c r="AO2" s="215" t="str">
        <f t="shared" ref="AO2:AO101" si="5">AN2/D2</f>
        <v>#ERROR!</v>
      </c>
      <c r="AP2" s="214" t="str">
        <f t="shared" ref="AP2:AP101" si="6">AM2-E2</f>
        <v>#ERROR!</v>
      </c>
      <c r="AQ2" s="215" t="str">
        <f t="shared" ref="AQ2:AQ101" si="7">AP2/E2</f>
        <v>#ERROR!</v>
      </c>
      <c r="AR2" s="216" t="str">
        <f>Table1[[#This Row],[2019 Scope 3 ]]</f>
        <v>#ERROR!</v>
      </c>
      <c r="AS2" s="217" t="str">
        <f t="shared" ref="AS2:AS101" si="8">W2-AR2</f>
        <v>#ERROR!</v>
      </c>
      <c r="AT2" s="218" t="str">
        <f t="shared" ref="AT2:AT101" si="9">AS2/W2</f>
        <v>#ERROR!</v>
      </c>
      <c r="BI2" s="4">
        <v>285.0</v>
      </c>
    </row>
    <row r="3" ht="12.75" hidden="1" customHeight="1">
      <c r="A3" s="5">
        <f>companies!A3</f>
        <v>2</v>
      </c>
      <c r="B3" s="199" t="s">
        <v>1254</v>
      </c>
      <c r="C3" s="199">
        <v>533000.0</v>
      </c>
      <c r="D3" s="199">
        <v>518000.0</v>
      </c>
      <c r="E3" s="199">
        <v>439000.0</v>
      </c>
      <c r="F3" s="199">
        <v>8382000.0</v>
      </c>
      <c r="G3" s="199">
        <v>2860000.0</v>
      </c>
      <c r="H3" s="199">
        <v>290000.0</v>
      </c>
      <c r="I3" s="199">
        <v>1501000.0</v>
      </c>
      <c r="J3" s="199">
        <v>15000.0</v>
      </c>
      <c r="K3" s="199">
        <v>332000.0</v>
      </c>
      <c r="L3" s="199">
        <v>306000.0</v>
      </c>
      <c r="M3" s="212" t="s">
        <v>683</v>
      </c>
      <c r="N3" s="212" t="s">
        <v>683</v>
      </c>
      <c r="O3" s="212" t="s">
        <v>683</v>
      </c>
      <c r="P3" s="212">
        <v>508000.0</v>
      </c>
      <c r="Q3" s="212">
        <v>169000.0</v>
      </c>
      <c r="R3" s="199" t="s">
        <v>683</v>
      </c>
      <c r="S3" s="212" t="s">
        <v>683</v>
      </c>
      <c r="T3" s="212" t="s">
        <v>683</v>
      </c>
      <c r="U3" s="212" t="s">
        <v>683</v>
      </c>
      <c r="V3" s="212" t="s">
        <v>683</v>
      </c>
      <c r="W3" s="212">
        <f t="shared" si="1"/>
        <v>14363000</v>
      </c>
      <c r="X3" s="199">
        <v>439000.0</v>
      </c>
      <c r="Y3" s="199">
        <v>1.5335E7</v>
      </c>
      <c r="Z3" s="199"/>
      <c r="AA3" s="199"/>
      <c r="AB3" s="199"/>
      <c r="AC3" s="199"/>
      <c r="AD3" s="212" t="s">
        <v>1255</v>
      </c>
      <c r="AE3" s="212" t="s">
        <v>1256</v>
      </c>
      <c r="AF3" s="213" t="str">
        <f>Table1[[#This Row],[2019 Scope 1 (MeT Co2)]]</f>
        <v>#ERROR!</v>
      </c>
      <c r="AG3" s="214" t="str">
        <f t="shared" si="2"/>
        <v>#ERROR!</v>
      </c>
      <c r="AH3" s="215" t="str">
        <f t="shared" si="3"/>
        <v>#ERROR!</v>
      </c>
      <c r="AI3" s="209"/>
      <c r="AJ3" s="209"/>
      <c r="AK3" s="212" t="s">
        <v>1255</v>
      </c>
      <c r="AL3" s="212" t="s">
        <v>1256</v>
      </c>
      <c r="AM3" s="213" t="str">
        <f>Table1[[#This Row],[2019 Scope 2 ]]</f>
        <v>#ERROR!</v>
      </c>
      <c r="AN3" s="214" t="str">
        <f t="shared" si="4"/>
        <v>#ERROR!</v>
      </c>
      <c r="AO3" s="215" t="str">
        <f t="shared" si="5"/>
        <v>#ERROR!</v>
      </c>
      <c r="AP3" s="214" t="str">
        <f t="shared" si="6"/>
        <v>#ERROR!</v>
      </c>
      <c r="AQ3" s="215" t="str">
        <f t="shared" si="7"/>
        <v>#ERROR!</v>
      </c>
      <c r="AR3" s="216" t="str">
        <f>Table1[[#This Row],[2019 Scope 3 ]]</f>
        <v>#ERROR!</v>
      </c>
      <c r="AS3" s="217" t="str">
        <f t="shared" si="8"/>
        <v>#ERROR!</v>
      </c>
      <c r="AT3" s="218" t="str">
        <f t="shared" si="9"/>
        <v>#ERROR!</v>
      </c>
      <c r="BI3" s="4">
        <v>64.0</v>
      </c>
    </row>
    <row r="4" ht="12.75" hidden="1" customHeight="1">
      <c r="A4" s="5">
        <f>companies!A4</f>
        <v>3</v>
      </c>
      <c r="B4" s="199" t="s">
        <v>1254</v>
      </c>
      <c r="C4" s="199">
        <v>314421.0</v>
      </c>
      <c r="D4" s="199">
        <v>308204.0</v>
      </c>
      <c r="E4" s="199">
        <v>249777.0</v>
      </c>
      <c r="F4" s="199">
        <v>990981.0</v>
      </c>
      <c r="G4" s="199">
        <v>20324.0</v>
      </c>
      <c r="H4" s="199" t="s">
        <v>683</v>
      </c>
      <c r="I4" s="199">
        <v>77371.0</v>
      </c>
      <c r="J4" s="199">
        <v>5483.0</v>
      </c>
      <c r="K4" s="199">
        <v>56303.0</v>
      </c>
      <c r="L4" s="199">
        <v>183747.0</v>
      </c>
      <c r="M4" s="212" t="s">
        <v>683</v>
      </c>
      <c r="N4" s="212" t="s">
        <v>683</v>
      </c>
      <c r="O4" s="212" t="s">
        <v>683</v>
      </c>
      <c r="P4" s="212" t="s">
        <v>683</v>
      </c>
      <c r="Q4" s="212" t="s">
        <v>683</v>
      </c>
      <c r="R4" s="199" t="s">
        <v>683</v>
      </c>
      <c r="S4" s="212" t="s">
        <v>683</v>
      </c>
      <c r="T4" s="212" t="s">
        <v>683</v>
      </c>
      <c r="U4" s="212" t="s">
        <v>683</v>
      </c>
      <c r="V4" s="212" t="s">
        <v>683</v>
      </c>
      <c r="W4" s="212">
        <f t="shared" si="1"/>
        <v>1334209</v>
      </c>
      <c r="X4" s="199">
        <v>249777.0</v>
      </c>
      <c r="Y4" s="199">
        <v>1898407.0</v>
      </c>
      <c r="Z4" s="199"/>
      <c r="AA4" s="199"/>
      <c r="AB4" s="199"/>
      <c r="AC4" s="199"/>
      <c r="AD4" s="212" t="s">
        <v>683</v>
      </c>
      <c r="AE4" s="212" t="s">
        <v>683</v>
      </c>
      <c r="AF4" s="213" t="str">
        <f>Table1[[#This Row],[2019 Scope 1 (MeT Co2)]]</f>
        <v>#ERROR!</v>
      </c>
      <c r="AG4" s="214" t="str">
        <f t="shared" si="2"/>
        <v>#ERROR!</v>
      </c>
      <c r="AH4" s="215" t="str">
        <f t="shared" si="3"/>
        <v>#ERROR!</v>
      </c>
      <c r="AI4" s="209"/>
      <c r="AJ4" s="209"/>
      <c r="AK4" s="212" t="s">
        <v>683</v>
      </c>
      <c r="AL4" s="212" t="s">
        <v>683</v>
      </c>
      <c r="AM4" s="213" t="str">
        <f>Table1[[#This Row],[2019 Scope 2 ]]</f>
        <v>#ERROR!</v>
      </c>
      <c r="AN4" s="214" t="str">
        <f t="shared" si="4"/>
        <v>#ERROR!</v>
      </c>
      <c r="AO4" s="215" t="str">
        <f t="shared" si="5"/>
        <v>#ERROR!</v>
      </c>
      <c r="AP4" s="214" t="str">
        <f t="shared" si="6"/>
        <v>#ERROR!</v>
      </c>
      <c r="AQ4" s="215" t="str">
        <f t="shared" si="7"/>
        <v>#ERROR!</v>
      </c>
      <c r="AR4" s="216" t="str">
        <f>Table1[[#This Row],[2019 Scope 3 ]]</f>
        <v>#ERROR!</v>
      </c>
      <c r="AS4" s="217" t="str">
        <f t="shared" si="8"/>
        <v>#ERROR!</v>
      </c>
      <c r="AT4" s="218" t="str">
        <f t="shared" si="9"/>
        <v>#ERROR!</v>
      </c>
      <c r="BI4" s="4">
        <v>45103.0</v>
      </c>
    </row>
    <row r="5" ht="12.75" hidden="1" customHeight="1">
      <c r="A5" s="5">
        <f>companies!A5</f>
        <v>4</v>
      </c>
      <c r="B5" s="199" t="s">
        <v>1254</v>
      </c>
      <c r="C5" s="199">
        <v>18923.0</v>
      </c>
      <c r="D5" s="199">
        <v>281489.0</v>
      </c>
      <c r="E5" s="199">
        <v>214680.0</v>
      </c>
      <c r="F5" s="199">
        <v>423771.0</v>
      </c>
      <c r="G5" s="199" t="s">
        <v>683</v>
      </c>
      <c r="H5" s="199" t="s">
        <v>683</v>
      </c>
      <c r="I5" s="199" t="s">
        <v>683</v>
      </c>
      <c r="J5" s="199" t="s">
        <v>683</v>
      </c>
      <c r="K5" s="199">
        <v>508882.0</v>
      </c>
      <c r="L5" s="199" t="s">
        <v>683</v>
      </c>
      <c r="M5" s="212" t="s">
        <v>683</v>
      </c>
      <c r="N5" s="212" t="s">
        <v>683</v>
      </c>
      <c r="O5" s="212" t="s">
        <v>683</v>
      </c>
      <c r="P5" s="212" t="s">
        <v>683</v>
      </c>
      <c r="Q5" s="212" t="s">
        <v>683</v>
      </c>
      <c r="R5" s="199" t="s">
        <v>683</v>
      </c>
      <c r="S5" s="212" t="s">
        <v>683</v>
      </c>
      <c r="T5" s="212" t="s">
        <v>683</v>
      </c>
      <c r="U5" s="212" t="s">
        <v>683</v>
      </c>
      <c r="V5" s="212" t="s">
        <v>683</v>
      </c>
      <c r="W5" s="212">
        <f t="shared" si="1"/>
        <v>932653</v>
      </c>
      <c r="X5" s="199">
        <v>214680.0</v>
      </c>
      <c r="Y5" s="199">
        <v>1166256.0</v>
      </c>
      <c r="Z5" s="199"/>
      <c r="AA5" s="199"/>
      <c r="AB5" s="199"/>
      <c r="AC5" s="199"/>
      <c r="AD5" s="212" t="s">
        <v>683</v>
      </c>
      <c r="AE5" s="212" t="s">
        <v>683</v>
      </c>
      <c r="AF5" s="213" t="str">
        <f>Table1[[#This Row],[2019 Scope 1 (MeT Co2)]]</f>
        <v>#ERROR!</v>
      </c>
      <c r="AG5" s="214" t="str">
        <f t="shared" si="2"/>
        <v>#ERROR!</v>
      </c>
      <c r="AH5" s="215" t="str">
        <f t="shared" si="3"/>
        <v>#ERROR!</v>
      </c>
      <c r="AI5" s="209"/>
      <c r="AJ5" s="209"/>
      <c r="AK5" s="212" t="s">
        <v>683</v>
      </c>
      <c r="AL5" s="212" t="s">
        <v>683</v>
      </c>
      <c r="AM5" s="213" t="str">
        <f>Table1[[#This Row],[2019 Scope 2 ]]</f>
        <v>#ERROR!</v>
      </c>
      <c r="AN5" s="214" t="str">
        <f t="shared" si="4"/>
        <v>#ERROR!</v>
      </c>
      <c r="AO5" s="215" t="str">
        <f t="shared" si="5"/>
        <v>#ERROR!</v>
      </c>
      <c r="AP5" s="214" t="str">
        <f t="shared" si="6"/>
        <v>#ERROR!</v>
      </c>
      <c r="AQ5" s="215" t="str">
        <f t="shared" si="7"/>
        <v>#ERROR!</v>
      </c>
      <c r="AR5" s="216" t="str">
        <f>Table1[[#This Row],[2019 Scope 3 ]]</f>
        <v>#ERROR!</v>
      </c>
      <c r="AS5" s="217" t="str">
        <f t="shared" si="8"/>
        <v>#ERROR!</v>
      </c>
      <c r="AT5" s="218" t="str">
        <f t="shared" si="9"/>
        <v>#ERROR!</v>
      </c>
      <c r="BI5" s="4">
        <v>21318.0</v>
      </c>
    </row>
    <row r="6" ht="12.75" hidden="1" customHeight="1">
      <c r="A6" s="5">
        <f>companies!A6</f>
        <v>5</v>
      </c>
      <c r="B6" s="199" t="s">
        <v>1254</v>
      </c>
      <c r="C6" s="199">
        <v>11816.0</v>
      </c>
      <c r="D6" s="199">
        <v>56113.0</v>
      </c>
      <c r="E6" s="199">
        <v>43526.0</v>
      </c>
      <c r="F6" s="199">
        <v>358472.0</v>
      </c>
      <c r="G6" s="199">
        <v>39706.0</v>
      </c>
      <c r="H6" s="199">
        <v>14180.0</v>
      </c>
      <c r="I6" s="199" t="s">
        <v>683</v>
      </c>
      <c r="J6" s="199">
        <v>57.87</v>
      </c>
      <c r="K6" s="199">
        <v>88959.0</v>
      </c>
      <c r="L6" s="199">
        <v>42037.0</v>
      </c>
      <c r="M6" s="212" t="s">
        <v>683</v>
      </c>
      <c r="N6" s="212" t="s">
        <v>683</v>
      </c>
      <c r="O6" s="212" t="s">
        <v>683</v>
      </c>
      <c r="P6" s="212" t="s">
        <v>683</v>
      </c>
      <c r="Q6" s="212" t="s">
        <v>683</v>
      </c>
      <c r="R6" s="199" t="s">
        <v>683</v>
      </c>
      <c r="S6" s="212" t="s">
        <v>683</v>
      </c>
      <c r="T6" s="212" t="s">
        <v>683</v>
      </c>
      <c r="U6" s="212" t="s">
        <v>683</v>
      </c>
      <c r="V6" s="212" t="s">
        <v>683</v>
      </c>
      <c r="W6" s="212">
        <f t="shared" si="1"/>
        <v>543411.87</v>
      </c>
      <c r="X6" s="199">
        <v>43526.0</v>
      </c>
      <c r="Y6" s="199">
        <v>598753.87</v>
      </c>
      <c r="Z6" s="199"/>
      <c r="AA6" s="199"/>
      <c r="AB6" s="199"/>
      <c r="AC6" s="199"/>
      <c r="AD6" s="212" t="s">
        <v>1257</v>
      </c>
      <c r="AE6" s="212" t="s">
        <v>1258</v>
      </c>
      <c r="AF6" s="213" t="str">
        <f>Table1[[#This Row],[2019 Scope 1 (MeT Co2)]]</f>
        <v>#ERROR!</v>
      </c>
      <c r="AG6" s="214" t="str">
        <f t="shared" si="2"/>
        <v>#ERROR!</v>
      </c>
      <c r="AH6" s="215" t="str">
        <f t="shared" si="3"/>
        <v>#ERROR!</v>
      </c>
      <c r="AI6" s="209"/>
      <c r="AJ6" s="209"/>
      <c r="AK6" s="212" t="s">
        <v>1257</v>
      </c>
      <c r="AL6" s="212" t="s">
        <v>1258</v>
      </c>
      <c r="AM6" s="213" t="str">
        <f>Table1[[#This Row],[2019 Scope 2 ]]</f>
        <v>#ERROR!</v>
      </c>
      <c r="AN6" s="214" t="str">
        <f t="shared" si="4"/>
        <v>#ERROR!</v>
      </c>
      <c r="AO6" s="215" t="str">
        <f t="shared" si="5"/>
        <v>#ERROR!</v>
      </c>
      <c r="AP6" s="214" t="str">
        <f t="shared" si="6"/>
        <v>#ERROR!</v>
      </c>
      <c r="AQ6" s="215" t="str">
        <f t="shared" si="7"/>
        <v>#ERROR!</v>
      </c>
      <c r="AR6" s="216" t="str">
        <f>Table1[[#This Row],[2019 Scope 3 ]]</f>
        <v>#ERROR!</v>
      </c>
      <c r="AS6" s="217" t="str">
        <f t="shared" si="8"/>
        <v>#ERROR!</v>
      </c>
      <c r="AT6" s="218" t="str">
        <f t="shared" si="9"/>
        <v>#ERROR!</v>
      </c>
      <c r="BI6" s="4">
        <v>333.0</v>
      </c>
    </row>
    <row r="7" ht="12.75" hidden="1" customHeight="1">
      <c r="A7" s="5">
        <f>companies!A7</f>
        <v>6</v>
      </c>
      <c r="B7" s="199" t="s">
        <v>1254</v>
      </c>
      <c r="C7" s="199">
        <v>39230.0</v>
      </c>
      <c r="D7" s="199">
        <v>86863.0</v>
      </c>
      <c r="E7" s="199">
        <v>74230.0</v>
      </c>
      <c r="F7" s="199">
        <v>10528.0</v>
      </c>
      <c r="G7" s="199">
        <v>0.0</v>
      </c>
      <c r="H7" s="199">
        <v>4343.0</v>
      </c>
      <c r="I7" s="199">
        <v>3.0</v>
      </c>
      <c r="J7" s="199">
        <v>446.0</v>
      </c>
      <c r="K7" s="199">
        <v>8857.0</v>
      </c>
      <c r="L7" s="199">
        <v>13412.0</v>
      </c>
      <c r="M7" s="212" t="s">
        <v>683</v>
      </c>
      <c r="N7" s="212" t="s">
        <v>683</v>
      </c>
      <c r="O7" s="212" t="s">
        <v>683</v>
      </c>
      <c r="P7" s="212" t="s">
        <v>683</v>
      </c>
      <c r="Q7" s="212" t="s">
        <v>683</v>
      </c>
      <c r="R7" s="199" t="s">
        <v>683</v>
      </c>
      <c r="S7" s="212" t="s">
        <v>683</v>
      </c>
      <c r="T7" s="212" t="s">
        <v>683</v>
      </c>
      <c r="U7" s="212" t="s">
        <v>683</v>
      </c>
      <c r="V7" s="212" t="s">
        <v>683</v>
      </c>
      <c r="W7" s="212">
        <f t="shared" si="1"/>
        <v>37589</v>
      </c>
      <c r="X7" s="199">
        <v>74230.0</v>
      </c>
      <c r="Y7" s="199">
        <v>151049.0</v>
      </c>
      <c r="Z7" s="199"/>
      <c r="AA7" s="199"/>
      <c r="AB7" s="199"/>
      <c r="AC7" s="199"/>
      <c r="AD7" s="212" t="s">
        <v>683</v>
      </c>
      <c r="AE7" s="212" t="s">
        <v>683</v>
      </c>
      <c r="AF7" s="213" t="str">
        <f>Table1[[#This Row],[2019 Scope 1 (MeT Co2)]]</f>
        <v>#ERROR!</v>
      </c>
      <c r="AG7" s="214" t="str">
        <f t="shared" si="2"/>
        <v>#ERROR!</v>
      </c>
      <c r="AH7" s="215" t="str">
        <f t="shared" si="3"/>
        <v>#ERROR!</v>
      </c>
      <c r="AI7" s="209"/>
      <c r="AJ7" s="209"/>
      <c r="AK7" s="212" t="s">
        <v>683</v>
      </c>
      <c r="AL7" s="212" t="s">
        <v>683</v>
      </c>
      <c r="AM7" s="213" t="str">
        <f>Table1[[#This Row],[2019 Scope 2 ]]</f>
        <v>#ERROR!</v>
      </c>
      <c r="AN7" s="214" t="str">
        <f t="shared" si="4"/>
        <v>#ERROR!</v>
      </c>
      <c r="AO7" s="215" t="str">
        <f t="shared" si="5"/>
        <v>#ERROR!</v>
      </c>
      <c r="AP7" s="214" t="str">
        <f t="shared" si="6"/>
        <v>#ERROR!</v>
      </c>
      <c r="AQ7" s="215" t="str">
        <f t="shared" si="7"/>
        <v>#ERROR!</v>
      </c>
      <c r="AR7" s="216" t="str">
        <f>Table1[[#This Row],[2019 Scope 3 ]]</f>
        <v>#ERROR!</v>
      </c>
      <c r="AS7" s="217" t="str">
        <f t="shared" si="8"/>
        <v>#ERROR!</v>
      </c>
      <c r="AT7" s="218" t="str">
        <f t="shared" si="9"/>
        <v>#ERROR!</v>
      </c>
      <c r="BI7" s="4">
        <v>582.0</v>
      </c>
    </row>
    <row r="8" ht="12.75" hidden="1" customHeight="1">
      <c r="A8" s="5">
        <f>companies!A8</f>
        <v>7</v>
      </c>
      <c r="B8" s="199" t="s">
        <v>1254</v>
      </c>
      <c r="C8" s="199">
        <v>66686.0</v>
      </c>
      <c r="D8" s="199">
        <v>5116949.0</v>
      </c>
      <c r="E8" s="199">
        <v>794267.0</v>
      </c>
      <c r="F8" s="199">
        <v>0.0</v>
      </c>
      <c r="G8" s="199">
        <v>2158000.0</v>
      </c>
      <c r="H8" s="199">
        <v>0.0</v>
      </c>
      <c r="I8" s="199">
        <v>460000.0</v>
      </c>
      <c r="J8" s="199" t="s">
        <v>683</v>
      </c>
      <c r="K8" s="199">
        <v>369000.0</v>
      </c>
      <c r="L8" s="199">
        <v>173000.0</v>
      </c>
      <c r="M8" s="212" t="s">
        <v>683</v>
      </c>
      <c r="N8" s="212">
        <v>0.0</v>
      </c>
      <c r="O8" s="212" t="s">
        <v>683</v>
      </c>
      <c r="P8" s="212">
        <v>0.0</v>
      </c>
      <c r="Q8" s="212">
        <v>0.0</v>
      </c>
      <c r="R8" s="199" t="s">
        <v>683</v>
      </c>
      <c r="S8" s="212" t="s">
        <v>683</v>
      </c>
      <c r="T8" s="212" t="s">
        <v>683</v>
      </c>
      <c r="U8" s="212">
        <v>8509000.0</v>
      </c>
      <c r="V8" s="212" t="s">
        <v>683</v>
      </c>
      <c r="W8" s="212">
        <f t="shared" si="1"/>
        <v>11669000</v>
      </c>
      <c r="X8" s="199">
        <v>794267.0</v>
      </c>
      <c r="Y8" s="199">
        <v>1.2529953E7</v>
      </c>
      <c r="Z8" s="199"/>
      <c r="AA8" s="199"/>
      <c r="AB8" s="199"/>
      <c r="AC8" s="199"/>
      <c r="AD8" s="212" t="s">
        <v>683</v>
      </c>
      <c r="AE8" s="212" t="s">
        <v>683</v>
      </c>
      <c r="AF8" s="213" t="str">
        <f>Table1[[#This Row],[2019 Scope 1 (MeT Co2)]]</f>
        <v>#ERROR!</v>
      </c>
      <c r="AG8" s="214" t="str">
        <f t="shared" si="2"/>
        <v>#ERROR!</v>
      </c>
      <c r="AH8" s="215" t="str">
        <f t="shared" si="3"/>
        <v>#ERROR!</v>
      </c>
      <c r="AI8" s="209"/>
      <c r="AJ8" s="209"/>
      <c r="AK8" s="212" t="s">
        <v>683</v>
      </c>
      <c r="AL8" s="212" t="s">
        <v>683</v>
      </c>
      <c r="AM8" s="213" t="str">
        <f>Table1[[#This Row],[2019 Scope 2 ]]</f>
        <v>#ERROR!</v>
      </c>
      <c r="AN8" s="214" t="str">
        <f t="shared" si="4"/>
        <v>#ERROR!</v>
      </c>
      <c r="AO8" s="215" t="str">
        <f t="shared" si="5"/>
        <v>#ERROR!</v>
      </c>
      <c r="AP8" s="214" t="str">
        <f t="shared" si="6"/>
        <v>#ERROR!</v>
      </c>
      <c r="AQ8" s="215" t="str">
        <f t="shared" si="7"/>
        <v>#ERROR!</v>
      </c>
      <c r="AR8" s="216" t="str">
        <f>Table1[[#This Row],[2019 Scope 3 ]]</f>
        <v>#ERROR!</v>
      </c>
      <c r="AS8" s="217" t="str">
        <f t="shared" si="8"/>
        <v>#ERROR!</v>
      </c>
      <c r="AT8" s="218" t="str">
        <f t="shared" si="9"/>
        <v>#ERROR!</v>
      </c>
      <c r="BI8" s="4">
        <v>7616.0</v>
      </c>
    </row>
    <row r="9" ht="12.75" hidden="1" customHeight="1">
      <c r="A9" s="5">
        <f>companies!A9</f>
        <v>8</v>
      </c>
      <c r="B9" s="199" t="s">
        <v>1254</v>
      </c>
      <c r="C9" s="199">
        <v>154507.0</v>
      </c>
      <c r="D9" s="199">
        <v>151259.0</v>
      </c>
      <c r="E9" s="199">
        <v>147909.0</v>
      </c>
      <c r="F9" s="199">
        <v>1297850.0</v>
      </c>
      <c r="G9" s="199">
        <v>6713.0</v>
      </c>
      <c r="H9" s="199">
        <v>96806.0</v>
      </c>
      <c r="I9" s="199">
        <v>278393.0</v>
      </c>
      <c r="J9" s="199">
        <v>27853.0</v>
      </c>
      <c r="K9" s="199">
        <v>14102.0</v>
      </c>
      <c r="L9" s="199">
        <v>11373.0</v>
      </c>
      <c r="M9" s="212" t="s">
        <v>683</v>
      </c>
      <c r="N9" s="212">
        <v>199307.0</v>
      </c>
      <c r="O9" s="212" t="s">
        <v>683</v>
      </c>
      <c r="P9" s="212" t="s">
        <v>683</v>
      </c>
      <c r="Q9" s="212">
        <v>67173.0</v>
      </c>
      <c r="R9" s="199" t="s">
        <v>683</v>
      </c>
      <c r="S9" s="212" t="s">
        <v>683</v>
      </c>
      <c r="T9" s="212">
        <v>3228163.0</v>
      </c>
      <c r="U9" s="212">
        <v>194038.0</v>
      </c>
      <c r="V9" s="212">
        <v>146250.0</v>
      </c>
      <c r="W9" s="212">
        <f t="shared" si="1"/>
        <v>5568021</v>
      </c>
      <c r="X9" s="199">
        <v>147909.0</v>
      </c>
      <c r="Y9" s="199">
        <v>5870437.0</v>
      </c>
      <c r="Z9" s="199"/>
      <c r="AA9" s="199"/>
      <c r="AB9" s="199"/>
      <c r="AC9" s="199"/>
      <c r="AD9" s="212" t="s">
        <v>683</v>
      </c>
      <c r="AE9" s="212" t="s">
        <v>683</v>
      </c>
      <c r="AF9" s="213" t="str">
        <f>Table1[[#This Row],[2019 Scope 1 (MeT Co2)]]</f>
        <v>#ERROR!</v>
      </c>
      <c r="AG9" s="214" t="str">
        <f t="shared" si="2"/>
        <v>#ERROR!</v>
      </c>
      <c r="AH9" s="215" t="str">
        <f t="shared" si="3"/>
        <v>#ERROR!</v>
      </c>
      <c r="AI9" s="209"/>
      <c r="AJ9" s="209"/>
      <c r="AK9" s="212" t="s">
        <v>683</v>
      </c>
      <c r="AL9" s="212" t="s">
        <v>683</v>
      </c>
      <c r="AM9" s="213" t="str">
        <f>Table1[[#This Row],[2019 Scope 2 ]]</f>
        <v>#ERROR!</v>
      </c>
      <c r="AN9" s="214" t="str">
        <f t="shared" si="4"/>
        <v>#ERROR!</v>
      </c>
      <c r="AO9" s="215" t="str">
        <f t="shared" si="5"/>
        <v>#ERROR!</v>
      </c>
      <c r="AP9" s="214" t="str">
        <f t="shared" si="6"/>
        <v>#ERROR!</v>
      </c>
      <c r="AQ9" s="215" t="str">
        <f t="shared" si="7"/>
        <v>#ERROR!</v>
      </c>
      <c r="AR9" s="216" t="str">
        <f>Table1[[#This Row],[2019 Scope 3 ]]</f>
        <v>#ERROR!</v>
      </c>
      <c r="AS9" s="217" t="str">
        <f t="shared" si="8"/>
        <v>#ERROR!</v>
      </c>
      <c r="AT9" s="218" t="str">
        <f t="shared" si="9"/>
        <v>#ERROR!</v>
      </c>
      <c r="BI9" s="4">
        <v>628.0</v>
      </c>
    </row>
    <row r="10" ht="12.75" hidden="1" customHeight="1">
      <c r="A10" s="5">
        <v>9.0</v>
      </c>
      <c r="B10" s="199" t="s">
        <v>1254</v>
      </c>
      <c r="C10" s="199">
        <v>5760000.0</v>
      </c>
      <c r="D10" s="199">
        <v>5500000.0</v>
      </c>
      <c r="E10" s="199" t="s">
        <v>1262</v>
      </c>
      <c r="F10" s="199" t="s">
        <v>1262</v>
      </c>
      <c r="G10" s="199" t="s">
        <v>1262</v>
      </c>
      <c r="H10" s="199" t="s">
        <v>1262</v>
      </c>
      <c r="I10" s="199" t="s">
        <v>1262</v>
      </c>
      <c r="J10" s="199" t="s">
        <v>1262</v>
      </c>
      <c r="K10" s="199" t="s">
        <v>1262</v>
      </c>
      <c r="L10" s="199" t="s">
        <v>1262</v>
      </c>
      <c r="M10" s="199" t="s">
        <v>1262</v>
      </c>
      <c r="N10" s="199" t="s">
        <v>1262</v>
      </c>
      <c r="O10" s="199" t="s">
        <v>1262</v>
      </c>
      <c r="P10" s="199" t="s">
        <v>1262</v>
      </c>
      <c r="Q10" s="199" t="s">
        <v>1262</v>
      </c>
      <c r="R10" s="199" t="s">
        <v>1262</v>
      </c>
      <c r="S10" s="199" t="s">
        <v>1262</v>
      </c>
      <c r="T10" s="199" t="s">
        <v>1262</v>
      </c>
      <c r="U10" s="199" t="s">
        <v>1262</v>
      </c>
      <c r="V10" s="199" t="s">
        <v>1262</v>
      </c>
      <c r="W10" s="212">
        <v>3.991E7</v>
      </c>
      <c r="X10" s="199">
        <v>5500000.0</v>
      </c>
      <c r="Y10" s="212">
        <v>5.117E7</v>
      </c>
      <c r="Z10" s="199"/>
      <c r="AA10" s="199"/>
      <c r="AB10" s="212"/>
      <c r="AC10" s="212"/>
      <c r="AD10" s="212" t="e">
        <v>#N/A</v>
      </c>
      <c r="AE10" s="212" t="e">
        <v>#N/A</v>
      </c>
      <c r="AF10" s="213" t="str">
        <f>Table1[[#This Row],[2019 Scope 1 (MeT Co2)]]</f>
        <v>#ERROR!</v>
      </c>
      <c r="AG10" s="214" t="str">
        <f t="shared" si="2"/>
        <v>#ERROR!</v>
      </c>
      <c r="AH10" s="215" t="str">
        <f t="shared" si="3"/>
        <v>#ERROR!</v>
      </c>
      <c r="AI10" s="209"/>
      <c r="AJ10" s="209"/>
      <c r="AK10" s="212" t="e">
        <v>#N/A</v>
      </c>
      <c r="AL10" s="212" t="e">
        <v>#N/A</v>
      </c>
      <c r="AM10" s="213" t="str">
        <f>Table1[[#This Row],[2019 Scope 2 ]]</f>
        <v>#ERROR!</v>
      </c>
      <c r="AN10" s="214" t="str">
        <f t="shared" si="4"/>
        <v>#ERROR!</v>
      </c>
      <c r="AO10" s="215" t="str">
        <f t="shared" si="5"/>
        <v>#ERROR!</v>
      </c>
      <c r="AP10" s="214" t="str">
        <f t="shared" si="6"/>
        <v>#ERROR!</v>
      </c>
      <c r="AQ10" s="215" t="str">
        <f t="shared" si="7"/>
        <v>#ERROR!</v>
      </c>
      <c r="AR10" s="216" t="str">
        <f>Table1[[#This Row],[2019 Scope 3 ]]</f>
        <v>#ERROR!</v>
      </c>
      <c r="AS10" s="217" t="str">
        <f t="shared" si="8"/>
        <v>#ERROR!</v>
      </c>
      <c r="AT10" s="218" t="str">
        <f t="shared" si="9"/>
        <v>#ERROR!</v>
      </c>
    </row>
    <row r="11" ht="12.75" hidden="1" customHeight="1">
      <c r="A11" s="5">
        <f>companies!A11</f>
        <v>10</v>
      </c>
      <c r="B11" s="199" t="s">
        <v>1254</v>
      </c>
      <c r="C11" s="199">
        <v>24363.0</v>
      </c>
      <c r="D11" s="199">
        <v>113964.0</v>
      </c>
      <c r="E11" s="199">
        <v>3153.0</v>
      </c>
      <c r="F11" s="199">
        <v>1956901.0</v>
      </c>
      <c r="G11" s="199">
        <v>24863.0</v>
      </c>
      <c r="H11" s="199">
        <v>30305.0</v>
      </c>
      <c r="I11" s="199" t="s">
        <v>683</v>
      </c>
      <c r="J11" s="199">
        <v>1719.0</v>
      </c>
      <c r="K11" s="199">
        <v>51.679</v>
      </c>
      <c r="L11" s="199">
        <v>138358.0</v>
      </c>
      <c r="M11" s="212" t="s">
        <v>683</v>
      </c>
      <c r="N11" s="212" t="s">
        <v>683</v>
      </c>
      <c r="O11" s="212" t="s">
        <v>683</v>
      </c>
      <c r="P11" s="212">
        <v>8000.0</v>
      </c>
      <c r="Q11" s="212">
        <v>9000.0</v>
      </c>
      <c r="R11" s="199" t="s">
        <v>683</v>
      </c>
      <c r="S11" s="212" t="s">
        <v>683</v>
      </c>
      <c r="T11" s="212" t="s">
        <v>683</v>
      </c>
      <c r="U11" s="212" t="s">
        <v>683</v>
      </c>
      <c r="V11" s="212" t="s">
        <v>683</v>
      </c>
      <c r="W11" s="212">
        <f t="shared" ref="W11:W101" si="10">SUM(F11:V11)</f>
        <v>2169197.679</v>
      </c>
      <c r="X11" s="199">
        <v>3153.0</v>
      </c>
      <c r="Y11" s="199">
        <v>2196713.679</v>
      </c>
      <c r="Z11" s="199"/>
      <c r="AA11" s="199"/>
      <c r="AB11" s="199"/>
      <c r="AC11" s="199"/>
      <c r="AD11" s="212" t="s">
        <v>683</v>
      </c>
      <c r="AE11" s="212" t="s">
        <v>683</v>
      </c>
      <c r="AF11" s="213" t="str">
        <f>Table1[[#This Row],[2019 Scope 1 (MeT Co2)]]</f>
        <v>#ERROR!</v>
      </c>
      <c r="AG11" s="214" t="str">
        <f t="shared" si="2"/>
        <v>#ERROR!</v>
      </c>
      <c r="AH11" s="215" t="str">
        <f t="shared" si="3"/>
        <v>#ERROR!</v>
      </c>
      <c r="AI11" s="209"/>
      <c r="AJ11" s="209"/>
      <c r="AK11" s="212" t="s">
        <v>683</v>
      </c>
      <c r="AL11" s="212" t="s">
        <v>683</v>
      </c>
      <c r="AM11" s="213" t="str">
        <f>Table1[[#This Row],[2019 Scope 2 ]]</f>
        <v>#ERROR!</v>
      </c>
      <c r="AN11" s="214" t="str">
        <f t="shared" si="4"/>
        <v>#ERROR!</v>
      </c>
      <c r="AO11" s="215" t="str">
        <f t="shared" si="5"/>
        <v>#ERROR!</v>
      </c>
      <c r="AP11" s="214" t="str">
        <f t="shared" si="6"/>
        <v>#ERROR!</v>
      </c>
      <c r="AQ11" s="215" t="str">
        <f t="shared" si="7"/>
        <v>#ERROR!</v>
      </c>
      <c r="AR11" s="216" t="str">
        <f>Table1[[#This Row],[2019 Scope 3 ]]</f>
        <v>#ERROR!</v>
      </c>
      <c r="AS11" s="217" t="str">
        <f t="shared" si="8"/>
        <v>#ERROR!</v>
      </c>
      <c r="AT11" s="218" t="str">
        <f t="shared" si="9"/>
        <v>#ERROR!</v>
      </c>
      <c r="BI11" s="4">
        <v>692.0</v>
      </c>
    </row>
    <row r="12" ht="12.75" hidden="1" customHeight="1">
      <c r="A12" s="5">
        <f>companies!A12</f>
        <v>11</v>
      </c>
      <c r="B12" s="199" t="s">
        <v>1254</v>
      </c>
      <c r="C12" s="199">
        <v>17121.0</v>
      </c>
      <c r="D12" s="199">
        <v>93781.0</v>
      </c>
      <c r="E12" s="199" t="s">
        <v>683</v>
      </c>
      <c r="F12" s="199" t="s">
        <v>683</v>
      </c>
      <c r="G12" s="199" t="s">
        <v>683</v>
      </c>
      <c r="H12" s="199" t="s">
        <v>683</v>
      </c>
      <c r="I12" s="199" t="s">
        <v>683</v>
      </c>
      <c r="J12" s="199" t="s">
        <v>683</v>
      </c>
      <c r="K12" s="199">
        <v>44695.0</v>
      </c>
      <c r="L12" s="199" t="s">
        <v>683</v>
      </c>
      <c r="M12" s="212" t="s">
        <v>683</v>
      </c>
      <c r="N12" s="212" t="s">
        <v>683</v>
      </c>
      <c r="O12" s="212" t="s">
        <v>683</v>
      </c>
      <c r="P12" s="212" t="s">
        <v>683</v>
      </c>
      <c r="Q12" s="212" t="s">
        <v>683</v>
      </c>
      <c r="R12" s="199" t="s">
        <v>683</v>
      </c>
      <c r="S12" s="212" t="s">
        <v>683</v>
      </c>
      <c r="T12" s="212" t="s">
        <v>683</v>
      </c>
      <c r="U12" s="212" t="s">
        <v>683</v>
      </c>
      <c r="V12" s="212" t="s">
        <v>683</v>
      </c>
      <c r="W12" s="212">
        <f t="shared" si="10"/>
        <v>44695</v>
      </c>
      <c r="X12" s="199">
        <v>93781.0</v>
      </c>
      <c r="Y12" s="199">
        <v>155597.0</v>
      </c>
      <c r="Z12" s="199"/>
      <c r="AA12" s="199"/>
      <c r="AB12" s="212"/>
      <c r="AC12" s="212"/>
      <c r="AD12" s="212" t="s">
        <v>1255</v>
      </c>
      <c r="AE12" s="212" t="s">
        <v>1256</v>
      </c>
      <c r="AF12" s="213" t="str">
        <f>Table1[[#This Row],[2019 Scope 1 (MeT Co2)]]</f>
        <v>#ERROR!</v>
      </c>
      <c r="AG12" s="214" t="str">
        <f t="shared" si="2"/>
        <v>#ERROR!</v>
      </c>
      <c r="AH12" s="215" t="str">
        <f t="shared" si="3"/>
        <v>#ERROR!</v>
      </c>
      <c r="AI12" s="209"/>
      <c r="AJ12" s="209"/>
      <c r="AK12" s="212" t="s">
        <v>1255</v>
      </c>
      <c r="AL12" s="212" t="s">
        <v>1256</v>
      </c>
      <c r="AM12" s="213" t="str">
        <f>Table1[[#This Row],[2019 Scope 2 ]]</f>
        <v>#ERROR!</v>
      </c>
      <c r="AN12" s="214" t="str">
        <f t="shared" si="4"/>
        <v>#ERROR!</v>
      </c>
      <c r="AO12" s="215" t="str">
        <f t="shared" si="5"/>
        <v>#ERROR!</v>
      </c>
      <c r="AP12" s="214" t="str">
        <f t="shared" si="6"/>
        <v>#ERROR!</v>
      </c>
      <c r="AQ12" s="215" t="str">
        <f t="shared" si="7"/>
        <v>#ERROR!</v>
      </c>
      <c r="AR12" s="216" t="str">
        <f>Table1[[#This Row],[2019 Scope 3 ]]</f>
        <v>#ERROR!</v>
      </c>
      <c r="AS12" s="217" t="str">
        <f t="shared" si="8"/>
        <v>#ERROR!</v>
      </c>
      <c r="AT12" s="218" t="str">
        <f t="shared" si="9"/>
        <v>#ERROR!</v>
      </c>
      <c r="BI12" s="4">
        <v>699.0</v>
      </c>
    </row>
    <row r="13" ht="12.75" hidden="1" customHeight="1">
      <c r="A13" s="5">
        <f>companies!A13</f>
        <v>12</v>
      </c>
      <c r="B13" s="199" t="s">
        <v>1254</v>
      </c>
      <c r="C13" s="199">
        <v>556281.0</v>
      </c>
      <c r="D13" s="199">
        <v>1780621.0</v>
      </c>
      <c r="E13" s="199" t="s">
        <v>683</v>
      </c>
      <c r="F13" s="199" t="s">
        <v>683</v>
      </c>
      <c r="G13" s="199" t="s">
        <v>683</v>
      </c>
      <c r="H13" s="199" t="s">
        <v>683</v>
      </c>
      <c r="I13" s="199" t="s">
        <v>683</v>
      </c>
      <c r="J13" s="199" t="s">
        <v>683</v>
      </c>
      <c r="K13" s="199" t="s">
        <v>683</v>
      </c>
      <c r="L13" s="199" t="s">
        <v>683</v>
      </c>
      <c r="M13" s="212" t="s">
        <v>683</v>
      </c>
      <c r="N13" s="212" t="s">
        <v>683</v>
      </c>
      <c r="O13" s="212" t="s">
        <v>683</v>
      </c>
      <c r="P13" s="212" t="s">
        <v>683</v>
      </c>
      <c r="Q13" s="212" t="s">
        <v>683</v>
      </c>
      <c r="R13" s="199" t="s">
        <v>683</v>
      </c>
      <c r="S13" s="212" t="s">
        <v>683</v>
      </c>
      <c r="T13" s="212" t="s">
        <v>683</v>
      </c>
      <c r="U13" s="212" t="s">
        <v>683</v>
      </c>
      <c r="V13" s="212" t="s">
        <v>683</v>
      </c>
      <c r="W13" s="212">
        <f t="shared" si="10"/>
        <v>0</v>
      </c>
      <c r="X13" s="199">
        <v>1780621.0</v>
      </c>
      <c r="Y13" s="199">
        <v>2336902.0</v>
      </c>
      <c r="Z13" s="199"/>
      <c r="AA13" s="199"/>
      <c r="AB13" s="212"/>
      <c r="AC13" s="212"/>
      <c r="AD13" s="212" t="s">
        <v>1255</v>
      </c>
      <c r="AE13" s="212" t="s">
        <v>1256</v>
      </c>
      <c r="AF13" s="213" t="str">
        <f>Table1[[#This Row],[2019 Scope 1 (MeT Co2)]]</f>
        <v>#ERROR!</v>
      </c>
      <c r="AG13" s="214" t="str">
        <f t="shared" si="2"/>
        <v>#ERROR!</v>
      </c>
      <c r="AH13" s="215" t="str">
        <f t="shared" si="3"/>
        <v>#ERROR!</v>
      </c>
      <c r="AI13" s="209"/>
      <c r="AJ13" s="209"/>
      <c r="AK13" s="212" t="s">
        <v>1255</v>
      </c>
      <c r="AL13" s="212" t="s">
        <v>1256</v>
      </c>
      <c r="AM13" s="213" t="str">
        <f>Table1[[#This Row],[2019 Scope 2 ]]</f>
        <v>#ERROR!</v>
      </c>
      <c r="AN13" s="214" t="str">
        <f t="shared" si="4"/>
        <v>#ERROR!</v>
      </c>
      <c r="AO13" s="215" t="str">
        <f t="shared" si="5"/>
        <v>#ERROR!</v>
      </c>
      <c r="AP13" s="214" t="str">
        <f t="shared" si="6"/>
        <v>#ERROR!</v>
      </c>
      <c r="AQ13" s="215" t="str">
        <f t="shared" si="7"/>
        <v>#ERROR!</v>
      </c>
      <c r="AR13" s="216" t="str">
        <f>Table1[[#This Row],[2019 Scope 3 ]]</f>
        <v>#ERROR!</v>
      </c>
      <c r="AS13" s="217" t="str">
        <f t="shared" si="8"/>
        <v>#ERROR!</v>
      </c>
      <c r="AT13" s="218" t="str">
        <f t="shared" si="9"/>
        <v>#ERROR!</v>
      </c>
      <c r="BI13" s="4">
        <v>706.0</v>
      </c>
    </row>
    <row r="14" ht="12.75" hidden="1" customHeight="1">
      <c r="A14" s="5">
        <f>companies!A14</f>
        <v>13</v>
      </c>
      <c r="B14" s="199" t="s">
        <v>1254</v>
      </c>
      <c r="C14" s="199">
        <v>135954.0</v>
      </c>
      <c r="D14" s="199">
        <v>173922.0</v>
      </c>
      <c r="E14" s="199">
        <v>160360.0</v>
      </c>
      <c r="F14" s="199">
        <v>2323917.0</v>
      </c>
      <c r="G14" s="199">
        <v>258132.0</v>
      </c>
      <c r="H14" s="199">
        <v>52554.0</v>
      </c>
      <c r="I14" s="199">
        <v>22572.0</v>
      </c>
      <c r="J14" s="199">
        <v>3454.0</v>
      </c>
      <c r="K14" s="199">
        <v>56478.0</v>
      </c>
      <c r="L14" s="199">
        <v>56210.0</v>
      </c>
      <c r="M14" s="212" t="s">
        <v>683</v>
      </c>
      <c r="N14" s="212">
        <v>52991.0</v>
      </c>
      <c r="O14" s="212" t="s">
        <v>683</v>
      </c>
      <c r="P14" s="212" t="s">
        <v>683</v>
      </c>
      <c r="Q14" s="212">
        <v>3047.0</v>
      </c>
      <c r="R14" s="199" t="s">
        <v>683</v>
      </c>
      <c r="S14" s="212" t="s">
        <v>683</v>
      </c>
      <c r="T14" s="212" t="s">
        <v>683</v>
      </c>
      <c r="U14" s="212" t="s">
        <v>683</v>
      </c>
      <c r="V14" s="212" t="s">
        <v>683</v>
      </c>
      <c r="W14" s="212">
        <f t="shared" si="10"/>
        <v>2829355</v>
      </c>
      <c r="X14" s="199">
        <v>160360.0</v>
      </c>
      <c r="Y14" s="199">
        <v>3125669.0</v>
      </c>
      <c r="Z14" s="199"/>
      <c r="AA14" s="199"/>
      <c r="AB14" s="199"/>
      <c r="AC14" s="199"/>
      <c r="AD14" s="212" t="s">
        <v>683</v>
      </c>
      <c r="AE14" s="212" t="s">
        <v>683</v>
      </c>
      <c r="AF14" s="213" t="str">
        <f>Table1[[#This Row],[2019 Scope 1 (MeT Co2)]]</f>
        <v>#ERROR!</v>
      </c>
      <c r="AG14" s="214" t="str">
        <f t="shared" si="2"/>
        <v>#ERROR!</v>
      </c>
      <c r="AH14" s="215" t="str">
        <f t="shared" si="3"/>
        <v>#ERROR!</v>
      </c>
      <c r="AI14" s="209"/>
      <c r="AJ14" s="209"/>
      <c r="AK14" s="212" t="s">
        <v>683</v>
      </c>
      <c r="AL14" s="212" t="s">
        <v>683</v>
      </c>
      <c r="AM14" s="213" t="str">
        <f>Table1[[#This Row],[2019 Scope 2 ]]</f>
        <v>#ERROR!</v>
      </c>
      <c r="AN14" s="214" t="str">
        <f t="shared" si="4"/>
        <v>#ERROR!</v>
      </c>
      <c r="AO14" s="215" t="str">
        <f t="shared" si="5"/>
        <v>#ERROR!</v>
      </c>
      <c r="AP14" s="214" t="str">
        <f t="shared" si="6"/>
        <v>#ERROR!</v>
      </c>
      <c r="AQ14" s="215" t="str">
        <f t="shared" si="7"/>
        <v>#ERROR!</v>
      </c>
      <c r="AR14" s="216" t="str">
        <f>Table1[[#This Row],[2019 Scope 3 ]]</f>
        <v>#ERROR!</v>
      </c>
      <c r="AS14" s="217" t="str">
        <f t="shared" si="8"/>
        <v>#ERROR!</v>
      </c>
      <c r="AT14" s="218" t="str">
        <f t="shared" si="9"/>
        <v>#ERROR!</v>
      </c>
      <c r="BI14" s="4">
        <v>716.0</v>
      </c>
    </row>
    <row r="15" ht="12.75" hidden="1" customHeight="1">
      <c r="A15" s="5">
        <f>companies!A15</f>
        <v>14</v>
      </c>
      <c r="B15" s="199" t="s">
        <v>1254</v>
      </c>
      <c r="C15" s="199">
        <v>50549.0</v>
      </c>
      <c r="D15" s="199">
        <v>862127.0</v>
      </c>
      <c r="E15" s="199">
        <v>0.0</v>
      </c>
      <c r="F15" s="199">
        <v>1.89E7</v>
      </c>
      <c r="G15" s="199" t="s">
        <v>683</v>
      </c>
      <c r="H15" s="199" t="s">
        <v>683</v>
      </c>
      <c r="I15" s="199">
        <v>486000.0</v>
      </c>
      <c r="J15" s="199" t="s">
        <v>683</v>
      </c>
      <c r="K15" s="199">
        <v>325500.0</v>
      </c>
      <c r="L15" s="199">
        <v>194700.0</v>
      </c>
      <c r="M15" s="212" t="s">
        <v>683</v>
      </c>
      <c r="N15" s="212">
        <v>999000.0</v>
      </c>
      <c r="O15" s="212" t="s">
        <v>683</v>
      </c>
      <c r="P15" s="212">
        <v>4100000.0</v>
      </c>
      <c r="Q15" s="212">
        <v>60000.0</v>
      </c>
      <c r="R15" s="199" t="s">
        <v>683</v>
      </c>
      <c r="S15" s="212" t="s">
        <v>683</v>
      </c>
      <c r="T15" s="212" t="s">
        <v>683</v>
      </c>
      <c r="U15" s="212" t="s">
        <v>683</v>
      </c>
      <c r="V15" s="212" t="s">
        <v>683</v>
      </c>
      <c r="W15" s="212">
        <f t="shared" si="10"/>
        <v>25065200</v>
      </c>
      <c r="X15" s="199">
        <v>862127.0</v>
      </c>
      <c r="Y15" s="199">
        <v>2.5977876E7</v>
      </c>
      <c r="Z15" s="199"/>
      <c r="AA15" s="199"/>
      <c r="AB15" s="199"/>
      <c r="AC15" s="199"/>
      <c r="AD15" s="212" t="s">
        <v>683</v>
      </c>
      <c r="AE15" s="212" t="s">
        <v>683</v>
      </c>
      <c r="AF15" s="213" t="str">
        <f>Table1[[#This Row],[2019 Scope 1 (MeT Co2)]]</f>
        <v>#ERROR!</v>
      </c>
      <c r="AG15" s="214" t="str">
        <f t="shared" si="2"/>
        <v>#ERROR!</v>
      </c>
      <c r="AH15" s="215" t="str">
        <f t="shared" si="3"/>
        <v>#ERROR!</v>
      </c>
      <c r="AI15" s="209"/>
      <c r="AJ15" s="209"/>
      <c r="AK15" s="212" t="s">
        <v>683</v>
      </c>
      <c r="AL15" s="212" t="s">
        <v>683</v>
      </c>
      <c r="AM15" s="213" t="str">
        <f>Table1[[#This Row],[2019 Scope 2 ]]</f>
        <v>#ERROR!</v>
      </c>
      <c r="AN15" s="214" t="str">
        <f t="shared" si="4"/>
        <v>#ERROR!</v>
      </c>
      <c r="AO15" s="215" t="str">
        <f t="shared" si="5"/>
        <v>#ERROR!</v>
      </c>
      <c r="AP15" s="214" t="str">
        <f t="shared" si="6"/>
        <v>#ERROR!</v>
      </c>
      <c r="AQ15" s="215" t="str">
        <f t="shared" si="7"/>
        <v>#ERROR!</v>
      </c>
      <c r="AR15" s="216" t="str">
        <f>Table1[[#This Row],[2019 Scope 3 ]]</f>
        <v>#ERROR!</v>
      </c>
      <c r="AS15" s="217" t="str">
        <f t="shared" si="8"/>
        <v>#ERROR!</v>
      </c>
      <c r="AT15" s="218" t="str">
        <f t="shared" si="9"/>
        <v>#ERROR!</v>
      </c>
      <c r="BI15" s="4">
        <v>865.0</v>
      </c>
    </row>
    <row r="16" ht="12.75" hidden="1" customHeight="1">
      <c r="A16" s="5">
        <f>companies!A16</f>
        <v>15</v>
      </c>
      <c r="B16" s="199" t="s">
        <v>1254</v>
      </c>
      <c r="C16" s="199">
        <v>990955.0</v>
      </c>
      <c r="D16" s="199">
        <v>6015122.0</v>
      </c>
      <c r="E16" s="199">
        <v>5534088.0</v>
      </c>
      <c r="F16" s="199">
        <v>2166116.0</v>
      </c>
      <c r="G16" s="199">
        <v>167125.0</v>
      </c>
      <c r="H16" s="199" t="s">
        <v>683</v>
      </c>
      <c r="I16" s="199">
        <v>64038.0</v>
      </c>
      <c r="J16" s="199">
        <v>34267.0</v>
      </c>
      <c r="K16" s="199">
        <v>154670.0</v>
      </c>
      <c r="L16" s="199" t="s">
        <v>683</v>
      </c>
      <c r="M16" s="212" t="s">
        <v>683</v>
      </c>
      <c r="N16" s="212" t="s">
        <v>683</v>
      </c>
      <c r="O16" s="212" t="s">
        <v>683</v>
      </c>
      <c r="P16" s="212" t="s">
        <v>683</v>
      </c>
      <c r="Q16" s="212" t="s">
        <v>683</v>
      </c>
      <c r="R16" s="199">
        <v>3705329.0</v>
      </c>
      <c r="S16" s="212" t="s">
        <v>683</v>
      </c>
      <c r="T16" s="212" t="s">
        <v>683</v>
      </c>
      <c r="U16" s="212" t="s">
        <v>683</v>
      </c>
      <c r="V16" s="212" t="s">
        <v>683</v>
      </c>
      <c r="W16" s="212">
        <f t="shared" si="10"/>
        <v>6291545</v>
      </c>
      <c r="X16" s="199">
        <v>5534088.0</v>
      </c>
      <c r="Y16" s="199">
        <v>1.2816588E7</v>
      </c>
      <c r="Z16" s="199"/>
      <c r="AA16" s="199"/>
      <c r="AB16" s="199"/>
      <c r="AC16" s="199"/>
      <c r="AD16" s="212" t="s">
        <v>683</v>
      </c>
      <c r="AE16" s="212" t="s">
        <v>683</v>
      </c>
      <c r="AF16" s="213" t="str">
        <f>Table1[[#This Row],[2019 Scope 1 (MeT Co2)]]</f>
        <v>#ERROR!</v>
      </c>
      <c r="AG16" s="214" t="str">
        <f t="shared" si="2"/>
        <v>#ERROR!</v>
      </c>
      <c r="AH16" s="215" t="str">
        <f t="shared" si="3"/>
        <v>#ERROR!</v>
      </c>
      <c r="AI16" s="209"/>
      <c r="AJ16" s="209"/>
      <c r="AK16" s="212" t="s">
        <v>683</v>
      </c>
      <c r="AL16" s="212" t="s">
        <v>683</v>
      </c>
      <c r="AM16" s="213" t="str">
        <f>Table1[[#This Row],[2019 Scope 2 ]]</f>
        <v>#ERROR!</v>
      </c>
      <c r="AN16" s="214" t="str">
        <f t="shared" si="4"/>
        <v>#ERROR!</v>
      </c>
      <c r="AO16" s="215" t="str">
        <f t="shared" si="5"/>
        <v>#ERROR!</v>
      </c>
      <c r="AP16" s="214" t="str">
        <f t="shared" si="6"/>
        <v>#ERROR!</v>
      </c>
      <c r="AQ16" s="215" t="str">
        <f t="shared" si="7"/>
        <v>#ERROR!</v>
      </c>
      <c r="AR16" s="216" t="str">
        <f>Table1[[#This Row],[2019 Scope 3 ]]</f>
        <v>#ERROR!</v>
      </c>
      <c r="AS16" s="217" t="str">
        <f t="shared" si="8"/>
        <v>#ERROR!</v>
      </c>
      <c r="AT16" s="218" t="str">
        <f t="shared" si="9"/>
        <v>#ERROR!</v>
      </c>
      <c r="BI16" s="199">
        <v>1113.0</v>
      </c>
    </row>
    <row r="17" ht="12.75" hidden="1" customHeight="1">
      <c r="A17" s="5">
        <f>companies!A17</f>
        <v>16</v>
      </c>
      <c r="B17" s="199" t="s">
        <v>1254</v>
      </c>
      <c r="C17" s="199">
        <v>62639.0</v>
      </c>
      <c r="D17" s="199">
        <v>728771.0</v>
      </c>
      <c r="E17" s="199">
        <v>17523.0</v>
      </c>
      <c r="F17" s="199">
        <v>2329208.0</v>
      </c>
      <c r="G17" s="199">
        <v>251336.0</v>
      </c>
      <c r="H17" s="199">
        <v>161151.0</v>
      </c>
      <c r="I17" s="199">
        <v>140215.0</v>
      </c>
      <c r="J17" s="199">
        <v>22386.0</v>
      </c>
      <c r="K17" s="199">
        <v>162457.0</v>
      </c>
      <c r="L17" s="199">
        <v>378088.0</v>
      </c>
      <c r="M17" s="212" t="s">
        <v>683</v>
      </c>
      <c r="N17" s="212">
        <v>1400000.0</v>
      </c>
      <c r="O17" s="212" t="s">
        <v>683</v>
      </c>
      <c r="P17" s="212">
        <v>4000.0</v>
      </c>
      <c r="Q17" s="212">
        <v>19000.0</v>
      </c>
      <c r="R17" s="199" t="s">
        <v>683</v>
      </c>
      <c r="S17" s="212" t="s">
        <v>683</v>
      </c>
      <c r="T17" s="212" t="s">
        <v>683</v>
      </c>
      <c r="U17" s="212" t="s">
        <v>683</v>
      </c>
      <c r="V17" s="212" t="s">
        <v>683</v>
      </c>
      <c r="W17" s="212">
        <f t="shared" si="10"/>
        <v>4867841</v>
      </c>
      <c r="X17" s="199">
        <v>17523.0</v>
      </c>
      <c r="Y17" s="199">
        <v>4948003.0</v>
      </c>
      <c r="Z17" s="199"/>
      <c r="AA17" s="199"/>
      <c r="AB17" s="199"/>
      <c r="AC17" s="199"/>
      <c r="AD17" s="212" t="s">
        <v>683</v>
      </c>
      <c r="AE17" s="212" t="s">
        <v>683</v>
      </c>
      <c r="AF17" s="213" t="str">
        <f>Table1[[#This Row],[2019 Scope 1 (MeT Co2)]]</f>
        <v>#ERROR!</v>
      </c>
      <c r="AG17" s="214" t="str">
        <f t="shared" si="2"/>
        <v>#ERROR!</v>
      </c>
      <c r="AH17" s="215" t="str">
        <f t="shared" si="3"/>
        <v>#ERROR!</v>
      </c>
      <c r="AI17" s="209"/>
      <c r="AJ17" s="209"/>
      <c r="AK17" s="212" t="s">
        <v>683</v>
      </c>
      <c r="AL17" s="212" t="s">
        <v>683</v>
      </c>
      <c r="AM17" s="213" t="str">
        <f>Table1[[#This Row],[2019 Scope 2 ]]</f>
        <v>#ERROR!</v>
      </c>
      <c r="AN17" s="214" t="str">
        <f t="shared" si="4"/>
        <v>#ERROR!</v>
      </c>
      <c r="AO17" s="215" t="str">
        <f t="shared" si="5"/>
        <v>#ERROR!</v>
      </c>
      <c r="AP17" s="214" t="str">
        <f t="shared" si="6"/>
        <v>#ERROR!</v>
      </c>
      <c r="AQ17" s="215" t="str">
        <f t="shared" si="7"/>
        <v>#ERROR!</v>
      </c>
      <c r="AR17" s="216" t="str">
        <f>Table1[[#This Row],[2019 Scope 3 ]]</f>
        <v>#ERROR!</v>
      </c>
      <c r="AS17" s="217" t="str">
        <f t="shared" si="8"/>
        <v>#ERROR!</v>
      </c>
      <c r="AT17" s="218" t="str">
        <f t="shared" si="9"/>
        <v>#ERROR!</v>
      </c>
      <c r="BI17" s="4">
        <v>1452.0</v>
      </c>
    </row>
    <row r="18" ht="12.75" hidden="1" customHeight="1">
      <c r="A18" s="5">
        <f>companies!A18</f>
        <v>17</v>
      </c>
      <c r="B18" s="199" t="s">
        <v>1254</v>
      </c>
      <c r="C18" s="199" t="s">
        <v>1262</v>
      </c>
      <c r="D18" s="199" t="s">
        <v>1262</v>
      </c>
      <c r="E18" s="199" t="s">
        <v>1262</v>
      </c>
      <c r="F18" s="199" t="s">
        <v>1262</v>
      </c>
      <c r="G18" s="199" t="s">
        <v>1262</v>
      </c>
      <c r="H18" s="199" t="s">
        <v>1262</v>
      </c>
      <c r="I18" s="199" t="s">
        <v>1262</v>
      </c>
      <c r="J18" s="199" t="s">
        <v>1262</v>
      </c>
      <c r="K18" s="199" t="s">
        <v>1262</v>
      </c>
      <c r="L18" s="199" t="s">
        <v>1262</v>
      </c>
      <c r="M18" s="199" t="s">
        <v>1262</v>
      </c>
      <c r="N18" s="199" t="s">
        <v>1262</v>
      </c>
      <c r="O18" s="199" t="s">
        <v>1262</v>
      </c>
      <c r="P18" s="199" t="s">
        <v>1262</v>
      </c>
      <c r="Q18" s="199" t="s">
        <v>1262</v>
      </c>
      <c r="R18" s="199" t="s">
        <v>1262</v>
      </c>
      <c r="S18" s="199" t="s">
        <v>1262</v>
      </c>
      <c r="T18" s="199" t="s">
        <v>1262</v>
      </c>
      <c r="U18" s="199" t="s">
        <v>1262</v>
      </c>
      <c r="V18" s="199" t="s">
        <v>1262</v>
      </c>
      <c r="W18" s="212">
        <f t="shared" si="10"/>
        <v>0</v>
      </c>
      <c r="X18" s="199">
        <v>0.0</v>
      </c>
      <c r="Y18" s="199"/>
      <c r="Z18" s="199"/>
      <c r="AA18" s="199"/>
      <c r="AB18" s="212"/>
      <c r="AC18" s="212"/>
      <c r="AD18" s="212" t="e">
        <v>#N/A</v>
      </c>
      <c r="AE18" s="212" t="e">
        <v>#N/A</v>
      </c>
      <c r="AF18" s="213" t="str">
        <f>Table1[[#This Row],[2019 Scope 1 (MeT Co2)]]</f>
        <v>#ERROR!</v>
      </c>
      <c r="AG18" s="214" t="str">
        <f t="shared" si="2"/>
        <v>#ERROR!</v>
      </c>
      <c r="AH18" s="215" t="str">
        <f t="shared" si="3"/>
        <v>#ERROR!</v>
      </c>
      <c r="AI18" s="209"/>
      <c r="AJ18" s="209"/>
      <c r="AK18" s="212" t="e">
        <v>#N/A</v>
      </c>
      <c r="AL18" s="212" t="e">
        <v>#N/A</v>
      </c>
      <c r="AM18" s="213" t="str">
        <f>Table1[[#This Row],[2019 Scope 2 ]]</f>
        <v>#ERROR!</v>
      </c>
      <c r="AN18" s="214" t="str">
        <f t="shared" si="4"/>
        <v>#ERROR!</v>
      </c>
      <c r="AO18" s="215" t="str">
        <f t="shared" si="5"/>
        <v>#ERROR!</v>
      </c>
      <c r="AP18" s="214" t="str">
        <f t="shared" si="6"/>
        <v>#ERROR!</v>
      </c>
      <c r="AQ18" s="215" t="str">
        <f t="shared" si="7"/>
        <v>#ERROR!</v>
      </c>
      <c r="AR18" s="216" t="str">
        <f>Table1[[#This Row],[2019 Scope 3 ]]</f>
        <v>#ERROR!</v>
      </c>
      <c r="AS18" s="217" t="str">
        <f t="shared" si="8"/>
        <v>#ERROR!</v>
      </c>
      <c r="AT18" s="218" t="str">
        <f t="shared" si="9"/>
        <v>#ERROR!</v>
      </c>
    </row>
    <row r="19" ht="12.75" hidden="1" customHeight="1">
      <c r="A19" s="5">
        <f>companies!A19</f>
        <v>18</v>
      </c>
      <c r="B19" s="199" t="s">
        <v>1254</v>
      </c>
      <c r="C19" s="199">
        <v>67031.0</v>
      </c>
      <c r="D19" s="199">
        <v>36802.0</v>
      </c>
      <c r="E19" s="199">
        <v>106.0</v>
      </c>
      <c r="F19" s="199">
        <v>334954.0</v>
      </c>
      <c r="G19" s="199">
        <v>32759.0</v>
      </c>
      <c r="H19" s="199">
        <v>10515.0</v>
      </c>
      <c r="I19" s="199" t="s">
        <v>683</v>
      </c>
      <c r="J19" s="199">
        <v>645.0</v>
      </c>
      <c r="K19" s="199">
        <v>24083.0</v>
      </c>
      <c r="L19" s="199">
        <v>9516.0</v>
      </c>
      <c r="M19" s="212">
        <v>0.0</v>
      </c>
      <c r="N19" s="212" t="s">
        <v>683</v>
      </c>
      <c r="O19" s="212" t="s">
        <v>683</v>
      </c>
      <c r="P19" s="212" t="s">
        <v>683</v>
      </c>
      <c r="Q19" s="212">
        <v>12065.0</v>
      </c>
      <c r="R19" s="199" t="s">
        <v>683</v>
      </c>
      <c r="S19" s="212" t="s">
        <v>683</v>
      </c>
      <c r="T19" s="212" t="s">
        <v>683</v>
      </c>
      <c r="U19" s="212" t="s">
        <v>683</v>
      </c>
      <c r="V19" s="212" t="s">
        <v>683</v>
      </c>
      <c r="W19" s="212">
        <f t="shared" si="10"/>
        <v>424537</v>
      </c>
      <c r="X19" s="199">
        <v>106.0</v>
      </c>
      <c r="Y19" s="199">
        <v>491674.0</v>
      </c>
      <c r="Z19" s="199"/>
      <c r="AA19" s="199"/>
      <c r="AB19" s="199"/>
      <c r="AC19" s="199"/>
      <c r="AD19" s="212" t="s">
        <v>683</v>
      </c>
      <c r="AE19" s="212" t="s">
        <v>683</v>
      </c>
      <c r="AF19" s="213" t="str">
        <f>Table1[[#This Row],[2019 Scope 1 (MeT Co2)]]</f>
        <v>#ERROR!</v>
      </c>
      <c r="AG19" s="214" t="str">
        <f t="shared" si="2"/>
        <v>#ERROR!</v>
      </c>
      <c r="AH19" s="215" t="str">
        <f t="shared" si="3"/>
        <v>#ERROR!</v>
      </c>
      <c r="AI19" s="209"/>
      <c r="AJ19" s="209"/>
      <c r="AK19" s="212" t="s">
        <v>683</v>
      </c>
      <c r="AL19" s="212" t="s">
        <v>683</v>
      </c>
      <c r="AM19" s="213" t="str">
        <f>Table1[[#This Row],[2019 Scope 2 ]]</f>
        <v>#ERROR!</v>
      </c>
      <c r="AN19" s="214" t="str">
        <f t="shared" si="4"/>
        <v>#ERROR!</v>
      </c>
      <c r="AO19" s="215" t="str">
        <f t="shared" si="5"/>
        <v>#ERROR!</v>
      </c>
      <c r="AP19" s="214" t="str">
        <f t="shared" si="6"/>
        <v>#ERROR!</v>
      </c>
      <c r="AQ19" s="215" t="str">
        <f t="shared" si="7"/>
        <v>#ERROR!</v>
      </c>
      <c r="AR19" s="216" t="str">
        <f>Table1[[#This Row],[2019 Scope 3 ]]</f>
        <v>#ERROR!</v>
      </c>
      <c r="AS19" s="217" t="str">
        <f t="shared" si="8"/>
        <v>#ERROR!</v>
      </c>
      <c r="AT19" s="218" t="str">
        <f t="shared" si="9"/>
        <v>#ERROR!</v>
      </c>
      <c r="BI19" s="4">
        <v>1857.0</v>
      </c>
    </row>
    <row r="20" ht="12.75" hidden="1" customHeight="1">
      <c r="A20" s="5">
        <f>companies!A20</f>
        <v>19</v>
      </c>
      <c r="B20" s="199" t="s">
        <v>1254</v>
      </c>
      <c r="C20" s="199">
        <v>5589.0</v>
      </c>
      <c r="D20" s="199">
        <v>20369.0</v>
      </c>
      <c r="E20" s="199">
        <v>0.0</v>
      </c>
      <c r="F20" s="199">
        <v>351950.0</v>
      </c>
      <c r="G20" s="199">
        <v>15521.0</v>
      </c>
      <c r="H20" s="199">
        <v>7865.0</v>
      </c>
      <c r="I20" s="199">
        <v>2462.0</v>
      </c>
      <c r="J20" s="199">
        <v>1162.0</v>
      </c>
      <c r="K20" s="199">
        <v>39116.0</v>
      </c>
      <c r="L20" s="199">
        <v>1161.0</v>
      </c>
      <c r="M20" s="212">
        <v>777.0</v>
      </c>
      <c r="N20" s="212" t="s">
        <v>683</v>
      </c>
      <c r="O20" s="212" t="s">
        <v>683</v>
      </c>
      <c r="P20" s="212" t="s">
        <v>683</v>
      </c>
      <c r="Q20" s="212" t="s">
        <v>683</v>
      </c>
      <c r="R20" s="199" t="s">
        <v>683</v>
      </c>
      <c r="S20" s="212" t="s">
        <v>683</v>
      </c>
      <c r="T20" s="212" t="s">
        <v>683</v>
      </c>
      <c r="U20" s="212" t="s">
        <v>683</v>
      </c>
      <c r="V20" s="212" t="s">
        <v>683</v>
      </c>
      <c r="W20" s="212">
        <f t="shared" si="10"/>
        <v>420014</v>
      </c>
      <c r="X20" s="199">
        <v>20369.0</v>
      </c>
      <c r="Y20" s="199">
        <v>445972.0</v>
      </c>
      <c r="Z20" s="199"/>
      <c r="AA20" s="199"/>
      <c r="AB20" s="199"/>
      <c r="AC20" s="199"/>
      <c r="AD20" s="212" t="s">
        <v>683</v>
      </c>
      <c r="AE20" s="212" t="s">
        <v>683</v>
      </c>
      <c r="AF20" s="213" t="str">
        <f>Table1[[#This Row],[2019 Scope 1 (MeT Co2)]]</f>
        <v>#ERROR!</v>
      </c>
      <c r="AG20" s="214" t="str">
        <f t="shared" si="2"/>
        <v>#ERROR!</v>
      </c>
      <c r="AH20" s="215" t="str">
        <f t="shared" si="3"/>
        <v>#ERROR!</v>
      </c>
      <c r="AI20" s="209"/>
      <c r="AJ20" s="209"/>
      <c r="AK20" s="212" t="s">
        <v>683</v>
      </c>
      <c r="AL20" s="212" t="s">
        <v>683</v>
      </c>
      <c r="AM20" s="213" t="str">
        <f>Table1[[#This Row],[2019 Scope 2 ]]</f>
        <v>#ERROR!</v>
      </c>
      <c r="AN20" s="214" t="str">
        <f t="shared" si="4"/>
        <v>#ERROR!</v>
      </c>
      <c r="AO20" s="215" t="str">
        <f t="shared" si="5"/>
        <v>#ERROR!</v>
      </c>
      <c r="AP20" s="214" t="str">
        <f t="shared" si="6"/>
        <v>#ERROR!</v>
      </c>
      <c r="AQ20" s="215" t="str">
        <f t="shared" si="7"/>
        <v>#ERROR!</v>
      </c>
      <c r="AR20" s="216" t="str">
        <f>Table1[[#This Row],[2019 Scope 3 ]]</f>
        <v>#ERROR!</v>
      </c>
      <c r="AS20" s="217" t="str">
        <f t="shared" si="8"/>
        <v>#ERROR!</v>
      </c>
      <c r="AT20" s="218" t="str">
        <f t="shared" si="9"/>
        <v>#ERROR!</v>
      </c>
      <c r="BI20" s="4">
        <v>1875.0</v>
      </c>
    </row>
    <row r="21" ht="12.75" hidden="1" customHeight="1">
      <c r="A21" s="5">
        <f>companies!A21</f>
        <v>20</v>
      </c>
      <c r="B21" s="199" t="s">
        <v>1254</v>
      </c>
      <c r="C21" s="199">
        <v>613000.0</v>
      </c>
      <c r="D21" s="199">
        <v>871000.0</v>
      </c>
      <c r="E21" s="199">
        <v>733000.0</v>
      </c>
      <c r="F21" s="199" t="s">
        <v>683</v>
      </c>
      <c r="G21" s="199" t="s">
        <v>683</v>
      </c>
      <c r="H21" s="199" t="s">
        <v>683</v>
      </c>
      <c r="I21" s="199" t="s">
        <v>683</v>
      </c>
      <c r="J21" s="199" t="s">
        <v>683</v>
      </c>
      <c r="K21" s="199">
        <v>290000.0</v>
      </c>
      <c r="L21" s="199" t="s">
        <v>683</v>
      </c>
      <c r="M21" s="212" t="s">
        <v>683</v>
      </c>
      <c r="N21" s="212" t="s">
        <v>683</v>
      </c>
      <c r="O21" s="212" t="s">
        <v>683</v>
      </c>
      <c r="P21" s="212" t="s">
        <v>683</v>
      </c>
      <c r="Q21" s="212" t="s">
        <v>683</v>
      </c>
      <c r="R21" s="199" t="s">
        <v>683</v>
      </c>
      <c r="S21" s="212" t="s">
        <v>683</v>
      </c>
      <c r="T21" s="212" t="s">
        <v>683</v>
      </c>
      <c r="U21" s="212" t="s">
        <v>683</v>
      </c>
      <c r="V21" s="212" t="s">
        <v>683</v>
      </c>
      <c r="W21" s="212">
        <f t="shared" si="10"/>
        <v>290000</v>
      </c>
      <c r="X21" s="199">
        <v>733000.0</v>
      </c>
      <c r="Y21" s="199">
        <v>1636000.0</v>
      </c>
      <c r="Z21" s="199"/>
      <c r="AA21" s="199"/>
      <c r="AB21" s="199"/>
      <c r="AC21" s="199"/>
      <c r="AD21" s="212" t="s">
        <v>683</v>
      </c>
      <c r="AE21" s="212" t="s">
        <v>683</v>
      </c>
      <c r="AF21" s="213" t="str">
        <f>Table1[[#This Row],[2019 Scope 1 (MeT Co2)]]</f>
        <v>#ERROR!</v>
      </c>
      <c r="AG21" s="214" t="str">
        <f t="shared" si="2"/>
        <v>#ERROR!</v>
      </c>
      <c r="AH21" s="215" t="str">
        <f t="shared" si="3"/>
        <v>#ERROR!</v>
      </c>
      <c r="AI21" s="209"/>
      <c r="AJ21" s="209"/>
      <c r="AK21" s="212" t="s">
        <v>683</v>
      </c>
      <c r="AL21" s="212" t="s">
        <v>683</v>
      </c>
      <c r="AM21" s="213" t="str">
        <f>Table1[[#This Row],[2019 Scope 2 ]]</f>
        <v>#ERROR!</v>
      </c>
      <c r="AN21" s="214" t="str">
        <f t="shared" si="4"/>
        <v>#ERROR!</v>
      </c>
      <c r="AO21" s="215" t="str">
        <f t="shared" si="5"/>
        <v>#ERROR!</v>
      </c>
      <c r="AP21" s="214" t="str">
        <f t="shared" si="6"/>
        <v>#ERROR!</v>
      </c>
      <c r="AQ21" s="215" t="str">
        <f t="shared" si="7"/>
        <v>#ERROR!</v>
      </c>
      <c r="AR21" s="216" t="str">
        <f>Table1[[#This Row],[2019 Scope 3 ]]</f>
        <v>#ERROR!</v>
      </c>
      <c r="AS21" s="217" t="str">
        <f t="shared" si="8"/>
        <v>#ERROR!</v>
      </c>
      <c r="AT21" s="218" t="str">
        <f t="shared" si="9"/>
        <v>#ERROR!</v>
      </c>
      <c r="BI21" s="4">
        <v>2017.0</v>
      </c>
    </row>
    <row r="22" ht="12.75" hidden="1" customHeight="1">
      <c r="A22" s="5">
        <f>companies!A22</f>
        <v>21</v>
      </c>
      <c r="B22" s="199" t="s">
        <v>1254</v>
      </c>
      <c r="C22" s="199" t="s">
        <v>1262</v>
      </c>
      <c r="D22" s="199" t="s">
        <v>1262</v>
      </c>
      <c r="E22" s="199" t="s">
        <v>1262</v>
      </c>
      <c r="F22" s="199" t="s">
        <v>1262</v>
      </c>
      <c r="G22" s="199" t="s">
        <v>1262</v>
      </c>
      <c r="H22" s="199" t="s">
        <v>1262</v>
      </c>
      <c r="I22" s="199" t="s">
        <v>1262</v>
      </c>
      <c r="J22" s="199" t="s">
        <v>1262</v>
      </c>
      <c r="K22" s="199" t="s">
        <v>1262</v>
      </c>
      <c r="L22" s="199" t="s">
        <v>1262</v>
      </c>
      <c r="M22" s="199" t="s">
        <v>1262</v>
      </c>
      <c r="N22" s="199" t="s">
        <v>1262</v>
      </c>
      <c r="O22" s="199" t="s">
        <v>1262</v>
      </c>
      <c r="P22" s="199" t="s">
        <v>1262</v>
      </c>
      <c r="Q22" s="199" t="s">
        <v>1262</v>
      </c>
      <c r="R22" s="199" t="s">
        <v>1262</v>
      </c>
      <c r="S22" s="199" t="s">
        <v>1262</v>
      </c>
      <c r="T22" s="199" t="s">
        <v>1262</v>
      </c>
      <c r="U22" s="199" t="s">
        <v>1262</v>
      </c>
      <c r="V22" s="199" t="s">
        <v>1262</v>
      </c>
      <c r="W22" s="212">
        <f t="shared" si="10"/>
        <v>0</v>
      </c>
      <c r="X22" s="199">
        <v>0.0</v>
      </c>
      <c r="Y22" s="199"/>
      <c r="Z22" s="199"/>
      <c r="AA22" s="199"/>
      <c r="AB22" s="212"/>
      <c r="AC22" s="212"/>
      <c r="AD22" s="212" t="e">
        <v>#N/A</v>
      </c>
      <c r="AE22" s="212" t="e">
        <v>#N/A</v>
      </c>
      <c r="AF22" s="213" t="str">
        <f>Table1[[#This Row],[2019 Scope 1 (MeT Co2)]]</f>
        <v>#ERROR!</v>
      </c>
      <c r="AG22" s="214" t="str">
        <f t="shared" si="2"/>
        <v>#ERROR!</v>
      </c>
      <c r="AH22" s="215" t="str">
        <f t="shared" si="3"/>
        <v>#ERROR!</v>
      </c>
      <c r="AI22" s="209"/>
      <c r="AJ22" s="209"/>
      <c r="AK22" s="212" t="e">
        <v>#N/A</v>
      </c>
      <c r="AL22" s="212" t="e">
        <v>#N/A</v>
      </c>
      <c r="AM22" s="213" t="str">
        <f>Table1[[#This Row],[2019 Scope 2 ]]</f>
        <v>#ERROR!</v>
      </c>
      <c r="AN22" s="214" t="str">
        <f t="shared" si="4"/>
        <v>#ERROR!</v>
      </c>
      <c r="AO22" s="215" t="str">
        <f t="shared" si="5"/>
        <v>#ERROR!</v>
      </c>
      <c r="AP22" s="214" t="str">
        <f t="shared" si="6"/>
        <v>#ERROR!</v>
      </c>
      <c r="AQ22" s="215" t="str">
        <f t="shared" si="7"/>
        <v>#ERROR!</v>
      </c>
      <c r="AR22" s="216" t="str">
        <f>Table1[[#This Row],[2019 Scope 3 ]]</f>
        <v>#ERROR!</v>
      </c>
      <c r="AS22" s="217" t="str">
        <f t="shared" si="8"/>
        <v>#ERROR!</v>
      </c>
      <c r="AT22" s="218" t="str">
        <f t="shared" si="9"/>
        <v>#ERROR!</v>
      </c>
    </row>
    <row r="23" ht="12.75" hidden="1" customHeight="1">
      <c r="A23" s="5">
        <f>companies!A23</f>
        <v>22</v>
      </c>
      <c r="B23" s="199" t="s">
        <v>1254</v>
      </c>
      <c r="C23" s="199">
        <v>189193.665</v>
      </c>
      <c r="D23" s="199">
        <v>122295.068</v>
      </c>
      <c r="E23" s="199">
        <v>111155.772</v>
      </c>
      <c r="F23" s="199">
        <v>1.705209485E7</v>
      </c>
      <c r="G23" s="199" t="s">
        <v>683</v>
      </c>
      <c r="H23" s="199">
        <v>23768.4</v>
      </c>
      <c r="I23" s="199">
        <v>28267.28</v>
      </c>
      <c r="J23" s="199">
        <v>4607.31</v>
      </c>
      <c r="K23" s="199">
        <v>55785.66</v>
      </c>
      <c r="L23" s="199">
        <v>20400.0</v>
      </c>
      <c r="M23" s="212" t="s">
        <v>683</v>
      </c>
      <c r="N23" s="212" t="s">
        <v>683</v>
      </c>
      <c r="O23" s="212" t="s">
        <v>683</v>
      </c>
      <c r="P23" s="212" t="s">
        <v>683</v>
      </c>
      <c r="Q23" s="212" t="s">
        <v>683</v>
      </c>
      <c r="R23" s="199" t="s">
        <v>683</v>
      </c>
      <c r="S23" s="212" t="s">
        <v>683</v>
      </c>
      <c r="T23" s="212" t="s">
        <v>683</v>
      </c>
      <c r="U23" s="212" t="s">
        <v>683</v>
      </c>
      <c r="V23" s="212" t="s">
        <v>683</v>
      </c>
      <c r="W23" s="212">
        <f t="shared" si="10"/>
        <v>17184923.5</v>
      </c>
      <c r="X23" s="199">
        <v>111155.772</v>
      </c>
      <c r="Y23" s="199">
        <v>1.7485272937E7</v>
      </c>
      <c r="Z23" s="199"/>
      <c r="AA23" s="199"/>
      <c r="AB23" s="212"/>
      <c r="AC23" s="212"/>
      <c r="AD23" s="212" t="s">
        <v>683</v>
      </c>
      <c r="AE23" s="212" t="s">
        <v>683</v>
      </c>
      <c r="AF23" s="213" t="str">
        <f>Table1[[#This Row],[2019 Scope 1 (MeT Co2)]]</f>
        <v>#ERROR!</v>
      </c>
      <c r="AG23" s="214" t="str">
        <f t="shared" si="2"/>
        <v>#ERROR!</v>
      </c>
      <c r="AH23" s="215" t="str">
        <f t="shared" si="3"/>
        <v>#ERROR!</v>
      </c>
      <c r="AI23" s="209"/>
      <c r="AJ23" s="209"/>
      <c r="AK23" s="212" t="s">
        <v>683</v>
      </c>
      <c r="AL23" s="212" t="s">
        <v>683</v>
      </c>
      <c r="AM23" s="213" t="str">
        <f>Table1[[#This Row],[2019 Scope 2 ]]</f>
        <v>#ERROR!</v>
      </c>
      <c r="AN23" s="214" t="str">
        <f t="shared" si="4"/>
        <v>#ERROR!</v>
      </c>
      <c r="AO23" s="215" t="str">
        <f t="shared" si="5"/>
        <v>#ERROR!</v>
      </c>
      <c r="AP23" s="214" t="str">
        <f t="shared" si="6"/>
        <v>#ERROR!</v>
      </c>
      <c r="AQ23" s="215" t="str">
        <f t="shared" si="7"/>
        <v>#ERROR!</v>
      </c>
      <c r="AR23" s="216" t="str">
        <f>Table1[[#This Row],[2019 Scope 3 ]]</f>
        <v>#ERROR!</v>
      </c>
      <c r="AS23" s="217" t="str">
        <f t="shared" si="8"/>
        <v>#ERROR!</v>
      </c>
      <c r="AT23" s="218" t="str">
        <f t="shared" si="9"/>
        <v>#ERROR!</v>
      </c>
      <c r="BI23" s="4">
        <v>2191.0</v>
      </c>
    </row>
    <row r="24" ht="12.75" hidden="1" customHeight="1">
      <c r="A24" s="5">
        <f>companies!A24</f>
        <v>23</v>
      </c>
      <c r="B24" s="199" t="s">
        <v>1254</v>
      </c>
      <c r="C24" s="199">
        <v>9495.0</v>
      </c>
      <c r="D24" s="199">
        <v>146671.0</v>
      </c>
      <c r="E24" s="199">
        <v>135.0</v>
      </c>
      <c r="F24" s="199">
        <v>165571.0</v>
      </c>
      <c r="G24" s="199" t="s">
        <v>683</v>
      </c>
      <c r="H24" s="199">
        <v>8156.0</v>
      </c>
      <c r="I24" s="199">
        <v>67870.0</v>
      </c>
      <c r="J24" s="199">
        <v>4762.0</v>
      </c>
      <c r="K24" s="199">
        <v>37500.0</v>
      </c>
      <c r="L24" s="199">
        <v>101249.0</v>
      </c>
      <c r="M24" s="212" t="s">
        <v>683</v>
      </c>
      <c r="N24" s="212" t="s">
        <v>683</v>
      </c>
      <c r="O24" s="212" t="s">
        <v>683</v>
      </c>
      <c r="P24" s="212" t="s">
        <v>683</v>
      </c>
      <c r="Q24" s="212" t="s">
        <v>683</v>
      </c>
      <c r="R24" s="199">
        <v>5866.51</v>
      </c>
      <c r="S24" s="212" t="s">
        <v>683</v>
      </c>
      <c r="T24" s="212" t="s">
        <v>683</v>
      </c>
      <c r="U24" s="212" t="s">
        <v>683</v>
      </c>
      <c r="V24" s="212" t="s">
        <v>683</v>
      </c>
      <c r="W24" s="212">
        <f t="shared" si="10"/>
        <v>390974.51</v>
      </c>
      <c r="X24" s="199">
        <v>135.0</v>
      </c>
      <c r="Y24" s="199">
        <v>400604.51</v>
      </c>
      <c r="Z24" s="199"/>
      <c r="AA24" s="199"/>
      <c r="AB24" s="199"/>
      <c r="AC24" s="199"/>
      <c r="AD24" s="212" t="s">
        <v>683</v>
      </c>
      <c r="AE24" s="212" t="s">
        <v>683</v>
      </c>
      <c r="AF24" s="213" t="str">
        <f>Table1[[#This Row],[2019 Scope 1 (MeT Co2)]]</f>
        <v>#ERROR!</v>
      </c>
      <c r="AG24" s="214" t="str">
        <f t="shared" si="2"/>
        <v>#ERROR!</v>
      </c>
      <c r="AH24" s="215" t="str">
        <f t="shared" si="3"/>
        <v>#ERROR!</v>
      </c>
      <c r="AI24" s="209"/>
      <c r="AJ24" s="209"/>
      <c r="AK24" s="212" t="s">
        <v>683</v>
      </c>
      <c r="AL24" s="212" t="s">
        <v>683</v>
      </c>
      <c r="AM24" s="213" t="str">
        <f>Table1[[#This Row],[2019 Scope 2 ]]</f>
        <v>#ERROR!</v>
      </c>
      <c r="AN24" s="214" t="str">
        <f t="shared" si="4"/>
        <v>#ERROR!</v>
      </c>
      <c r="AO24" s="215" t="str">
        <f t="shared" si="5"/>
        <v>#ERROR!</v>
      </c>
      <c r="AP24" s="214" t="str">
        <f t="shared" si="6"/>
        <v>#ERROR!</v>
      </c>
      <c r="AQ24" s="215" t="str">
        <f t="shared" si="7"/>
        <v>#ERROR!</v>
      </c>
      <c r="AR24" s="216" t="str">
        <f>Table1[[#This Row],[2019 Scope 3 ]]</f>
        <v>#ERROR!</v>
      </c>
      <c r="AS24" s="217" t="str">
        <f t="shared" si="8"/>
        <v>#ERROR!</v>
      </c>
      <c r="AT24" s="218" t="str">
        <f t="shared" si="9"/>
        <v>#ERROR!</v>
      </c>
      <c r="BI24" s="4">
        <v>2695.0</v>
      </c>
    </row>
    <row r="25" ht="12.75" hidden="1" customHeight="1">
      <c r="A25" s="5">
        <f>companies!A25</f>
        <v>24</v>
      </c>
      <c r="B25" s="199" t="s">
        <v>1254</v>
      </c>
      <c r="C25" s="199" t="s">
        <v>1262</v>
      </c>
      <c r="D25" s="199" t="s">
        <v>1262</v>
      </c>
      <c r="E25" s="199" t="s">
        <v>1262</v>
      </c>
      <c r="F25" s="199" t="s">
        <v>1262</v>
      </c>
      <c r="G25" s="199" t="s">
        <v>1262</v>
      </c>
      <c r="H25" s="199" t="s">
        <v>1262</v>
      </c>
      <c r="I25" s="199" t="s">
        <v>1262</v>
      </c>
      <c r="J25" s="199" t="s">
        <v>1262</v>
      </c>
      <c r="K25" s="199" t="s">
        <v>1262</v>
      </c>
      <c r="L25" s="199" t="s">
        <v>1262</v>
      </c>
      <c r="M25" s="199" t="s">
        <v>1262</v>
      </c>
      <c r="N25" s="199" t="s">
        <v>1262</v>
      </c>
      <c r="O25" s="199" t="s">
        <v>1262</v>
      </c>
      <c r="P25" s="199" t="s">
        <v>1262</v>
      </c>
      <c r="Q25" s="199" t="s">
        <v>1262</v>
      </c>
      <c r="R25" s="199" t="s">
        <v>1262</v>
      </c>
      <c r="S25" s="199" t="s">
        <v>1262</v>
      </c>
      <c r="T25" s="199" t="s">
        <v>1262</v>
      </c>
      <c r="U25" s="199" t="s">
        <v>1262</v>
      </c>
      <c r="V25" s="199" t="s">
        <v>1262</v>
      </c>
      <c r="W25" s="212">
        <f t="shared" si="10"/>
        <v>0</v>
      </c>
      <c r="X25" s="199">
        <v>0.0</v>
      </c>
      <c r="Y25" s="199"/>
      <c r="Z25" s="199"/>
      <c r="AA25" s="199"/>
      <c r="AB25" s="212"/>
      <c r="AC25" s="212"/>
      <c r="AD25" s="212" t="e">
        <v>#N/A</v>
      </c>
      <c r="AE25" s="212" t="e">
        <v>#N/A</v>
      </c>
      <c r="AF25" s="213" t="str">
        <f>Table1[[#This Row],[2019 Scope 1 (MeT Co2)]]</f>
        <v>#ERROR!</v>
      </c>
      <c r="AG25" s="214" t="str">
        <f t="shared" si="2"/>
        <v>#ERROR!</v>
      </c>
      <c r="AH25" s="215" t="str">
        <f t="shared" si="3"/>
        <v>#ERROR!</v>
      </c>
      <c r="AI25" s="209"/>
      <c r="AJ25" s="209"/>
      <c r="AK25" s="212" t="e">
        <v>#N/A</v>
      </c>
      <c r="AL25" s="212" t="e">
        <v>#N/A</v>
      </c>
      <c r="AM25" s="213" t="str">
        <f>Table1[[#This Row],[2019 Scope 2 ]]</f>
        <v>#ERROR!</v>
      </c>
      <c r="AN25" s="214" t="str">
        <f t="shared" si="4"/>
        <v>#ERROR!</v>
      </c>
      <c r="AO25" s="215" t="str">
        <f t="shared" si="5"/>
        <v>#ERROR!</v>
      </c>
      <c r="AP25" s="214" t="str">
        <f t="shared" si="6"/>
        <v>#ERROR!</v>
      </c>
      <c r="AQ25" s="215" t="str">
        <f t="shared" si="7"/>
        <v>#ERROR!</v>
      </c>
      <c r="AR25" s="216" t="str">
        <f>Table1[[#This Row],[2019 Scope 3 ]]</f>
        <v>#ERROR!</v>
      </c>
      <c r="AS25" s="217" t="str">
        <f t="shared" si="8"/>
        <v>#ERROR!</v>
      </c>
      <c r="AT25" s="218" t="str">
        <f t="shared" si="9"/>
        <v>#ERROR!</v>
      </c>
    </row>
    <row r="26" ht="12.75" hidden="1" customHeight="1">
      <c r="A26" s="5">
        <f>companies!A26</f>
        <v>25</v>
      </c>
      <c r="B26" s="199" t="s">
        <v>1254</v>
      </c>
      <c r="C26" s="199" t="s">
        <v>1262</v>
      </c>
      <c r="D26" s="199" t="s">
        <v>1262</v>
      </c>
      <c r="E26" s="199" t="s">
        <v>1262</v>
      </c>
      <c r="F26" s="199" t="s">
        <v>1262</v>
      </c>
      <c r="G26" s="199" t="s">
        <v>1262</v>
      </c>
      <c r="H26" s="199" t="s">
        <v>1262</v>
      </c>
      <c r="I26" s="199" t="s">
        <v>1262</v>
      </c>
      <c r="J26" s="199" t="s">
        <v>1262</v>
      </c>
      <c r="K26" s="199" t="s">
        <v>1262</v>
      </c>
      <c r="L26" s="199" t="s">
        <v>1262</v>
      </c>
      <c r="M26" s="199" t="s">
        <v>1262</v>
      </c>
      <c r="N26" s="199" t="s">
        <v>1262</v>
      </c>
      <c r="O26" s="199" t="s">
        <v>1262</v>
      </c>
      <c r="P26" s="199" t="s">
        <v>1262</v>
      </c>
      <c r="Q26" s="199" t="s">
        <v>1262</v>
      </c>
      <c r="R26" s="199" t="s">
        <v>1262</v>
      </c>
      <c r="S26" s="199" t="s">
        <v>1262</v>
      </c>
      <c r="T26" s="199" t="s">
        <v>1262</v>
      </c>
      <c r="U26" s="199" t="s">
        <v>1262</v>
      </c>
      <c r="V26" s="199" t="s">
        <v>1262</v>
      </c>
      <c r="W26" s="212">
        <f t="shared" si="10"/>
        <v>0</v>
      </c>
      <c r="X26" s="199">
        <v>0.0</v>
      </c>
      <c r="Y26" s="199"/>
      <c r="Z26" s="199"/>
      <c r="AA26" s="199"/>
      <c r="AB26" s="212"/>
      <c r="AC26" s="212"/>
      <c r="AD26" s="212" t="e">
        <v>#N/A</v>
      </c>
      <c r="AE26" s="212" t="e">
        <v>#N/A</v>
      </c>
      <c r="AF26" s="213" t="str">
        <f>Table1[[#This Row],[2019 Scope 1 (MeT Co2)]]</f>
        <v>#ERROR!</v>
      </c>
      <c r="AG26" s="214" t="str">
        <f t="shared" si="2"/>
        <v>#ERROR!</v>
      </c>
      <c r="AH26" s="215" t="str">
        <f t="shared" si="3"/>
        <v>#ERROR!</v>
      </c>
      <c r="AI26" s="209"/>
      <c r="AJ26" s="209"/>
      <c r="AK26" s="212" t="e">
        <v>#N/A</v>
      </c>
      <c r="AL26" s="212" t="e">
        <v>#N/A</v>
      </c>
      <c r="AM26" s="213" t="str">
        <f>Table1[[#This Row],[2019 Scope 2 ]]</f>
        <v>#ERROR!</v>
      </c>
      <c r="AN26" s="214" t="str">
        <f t="shared" si="4"/>
        <v>#ERROR!</v>
      </c>
      <c r="AO26" s="215" t="str">
        <f t="shared" si="5"/>
        <v>#ERROR!</v>
      </c>
      <c r="AP26" s="214" t="str">
        <f t="shared" si="6"/>
        <v>#ERROR!</v>
      </c>
      <c r="AQ26" s="215" t="str">
        <f t="shared" si="7"/>
        <v>#ERROR!</v>
      </c>
      <c r="AR26" s="216" t="str">
        <f>Table1[[#This Row],[2019 Scope 3 ]]</f>
        <v>#ERROR!</v>
      </c>
      <c r="AS26" s="217" t="str">
        <f t="shared" si="8"/>
        <v>#ERROR!</v>
      </c>
      <c r="AT26" s="218" t="str">
        <f t="shared" si="9"/>
        <v>#ERROR!</v>
      </c>
    </row>
    <row r="27" ht="12.75" hidden="1" customHeight="1">
      <c r="A27" s="5">
        <f>companies!A27</f>
        <v>26</v>
      </c>
      <c r="B27" s="199" t="s">
        <v>1254</v>
      </c>
      <c r="C27" s="199" t="s">
        <v>1262</v>
      </c>
      <c r="D27" s="199" t="s">
        <v>1262</v>
      </c>
      <c r="E27" s="199" t="s">
        <v>1262</v>
      </c>
      <c r="F27" s="199" t="s">
        <v>1262</v>
      </c>
      <c r="G27" s="199" t="s">
        <v>1262</v>
      </c>
      <c r="H27" s="199" t="s">
        <v>1262</v>
      </c>
      <c r="I27" s="199" t="s">
        <v>1262</v>
      </c>
      <c r="J27" s="199" t="s">
        <v>1262</v>
      </c>
      <c r="K27" s="199" t="s">
        <v>1262</v>
      </c>
      <c r="L27" s="199" t="s">
        <v>1262</v>
      </c>
      <c r="M27" s="199" t="s">
        <v>1262</v>
      </c>
      <c r="N27" s="199" t="s">
        <v>1262</v>
      </c>
      <c r="O27" s="199" t="s">
        <v>1262</v>
      </c>
      <c r="P27" s="199" t="s">
        <v>1262</v>
      </c>
      <c r="Q27" s="199" t="s">
        <v>1262</v>
      </c>
      <c r="R27" s="199" t="s">
        <v>1262</v>
      </c>
      <c r="S27" s="199" t="s">
        <v>1262</v>
      </c>
      <c r="T27" s="199" t="s">
        <v>1262</v>
      </c>
      <c r="U27" s="199" t="s">
        <v>1262</v>
      </c>
      <c r="V27" s="199" t="s">
        <v>1262</v>
      </c>
      <c r="W27" s="212">
        <f t="shared" si="10"/>
        <v>0</v>
      </c>
      <c r="X27" s="199">
        <v>0.0</v>
      </c>
      <c r="Y27" s="199"/>
      <c r="Z27" s="199"/>
      <c r="AA27" s="199"/>
      <c r="AB27" s="212"/>
      <c r="AC27" s="212"/>
      <c r="AD27" s="212" t="e">
        <v>#N/A</v>
      </c>
      <c r="AE27" s="212" t="e">
        <v>#N/A</v>
      </c>
      <c r="AF27" s="213" t="str">
        <f>Table1[[#This Row],[2019 Scope 1 (MeT Co2)]]</f>
        <v>#ERROR!</v>
      </c>
      <c r="AG27" s="214" t="str">
        <f t="shared" si="2"/>
        <v>#ERROR!</v>
      </c>
      <c r="AH27" s="215" t="str">
        <f t="shared" si="3"/>
        <v>#ERROR!</v>
      </c>
      <c r="AI27" s="209"/>
      <c r="AJ27" s="209"/>
      <c r="AK27" s="212" t="e">
        <v>#N/A</v>
      </c>
      <c r="AL27" s="212" t="e">
        <v>#N/A</v>
      </c>
      <c r="AM27" s="213" t="str">
        <f>Table1[[#This Row],[2019 Scope 2 ]]</f>
        <v>#ERROR!</v>
      </c>
      <c r="AN27" s="214" t="str">
        <f t="shared" si="4"/>
        <v>#ERROR!</v>
      </c>
      <c r="AO27" s="215" t="str">
        <f t="shared" si="5"/>
        <v>#ERROR!</v>
      </c>
      <c r="AP27" s="214" t="str">
        <f t="shared" si="6"/>
        <v>#ERROR!</v>
      </c>
      <c r="AQ27" s="215" t="str">
        <f t="shared" si="7"/>
        <v>#ERROR!</v>
      </c>
      <c r="AR27" s="216" t="str">
        <f>Table1[[#This Row],[2019 Scope 3 ]]</f>
        <v>#ERROR!</v>
      </c>
      <c r="AS27" s="217" t="str">
        <f t="shared" si="8"/>
        <v>#ERROR!</v>
      </c>
      <c r="AT27" s="218" t="str">
        <f t="shared" si="9"/>
        <v>#ERROR!</v>
      </c>
    </row>
    <row r="28" ht="12.75" hidden="1" customHeight="1">
      <c r="A28" s="5">
        <f>companies!A28</f>
        <v>27</v>
      </c>
      <c r="B28" s="199" t="s">
        <v>1254</v>
      </c>
      <c r="C28" s="199">
        <v>41181.0</v>
      </c>
      <c r="D28" s="199">
        <v>651331.0</v>
      </c>
      <c r="E28" s="199">
        <v>187428.0</v>
      </c>
      <c r="F28" s="199">
        <v>1154682.0</v>
      </c>
      <c r="G28" s="199">
        <v>40020.0</v>
      </c>
      <c r="H28" s="199">
        <v>39054.0</v>
      </c>
      <c r="I28" s="199">
        <v>36598.0</v>
      </c>
      <c r="J28" s="199">
        <v>779.0</v>
      </c>
      <c r="K28" s="199">
        <v>207323.0</v>
      </c>
      <c r="L28" s="199">
        <v>79699.0</v>
      </c>
      <c r="M28" s="212" t="s">
        <v>683</v>
      </c>
      <c r="N28" s="212">
        <v>83396.0</v>
      </c>
      <c r="O28" s="212" t="s">
        <v>683</v>
      </c>
      <c r="P28" s="212">
        <v>2.4929174E7</v>
      </c>
      <c r="Q28" s="212">
        <v>272.0</v>
      </c>
      <c r="R28" s="199" t="s">
        <v>683</v>
      </c>
      <c r="S28" s="212" t="s">
        <v>683</v>
      </c>
      <c r="T28" s="212" t="s">
        <v>683</v>
      </c>
      <c r="U28" s="212" t="s">
        <v>683</v>
      </c>
      <c r="V28" s="212" t="s">
        <v>683</v>
      </c>
      <c r="W28" s="212">
        <f t="shared" si="10"/>
        <v>26570997</v>
      </c>
      <c r="X28" s="199">
        <v>187428.0</v>
      </c>
      <c r="Y28" s="199">
        <v>2.6799606E7</v>
      </c>
      <c r="Z28" s="199"/>
      <c r="AA28" s="199"/>
      <c r="AB28" s="199"/>
      <c r="AC28" s="199"/>
      <c r="AD28" s="212" t="s">
        <v>683</v>
      </c>
      <c r="AE28" s="212" t="s">
        <v>683</v>
      </c>
      <c r="AF28" s="213" t="str">
        <f>Table1[[#This Row],[2019 Scope 1 (MeT Co2)]]</f>
        <v>#ERROR!</v>
      </c>
      <c r="AG28" s="214" t="str">
        <f t="shared" si="2"/>
        <v>#ERROR!</v>
      </c>
      <c r="AH28" s="215" t="str">
        <f t="shared" si="3"/>
        <v>#ERROR!</v>
      </c>
      <c r="AI28" s="209"/>
      <c r="AJ28" s="209"/>
      <c r="AK28" s="212" t="s">
        <v>683</v>
      </c>
      <c r="AL28" s="212" t="s">
        <v>683</v>
      </c>
      <c r="AM28" s="213" t="str">
        <f>Table1[[#This Row],[2019 Scope 2 ]]</f>
        <v>#ERROR!</v>
      </c>
      <c r="AN28" s="214" t="str">
        <f t="shared" si="4"/>
        <v>#ERROR!</v>
      </c>
      <c r="AO28" s="215" t="str">
        <f t="shared" si="5"/>
        <v>#ERROR!</v>
      </c>
      <c r="AP28" s="214" t="str">
        <f t="shared" si="6"/>
        <v>#ERROR!</v>
      </c>
      <c r="AQ28" s="215" t="str">
        <f t="shared" si="7"/>
        <v>#ERROR!</v>
      </c>
      <c r="AR28" s="216" t="str">
        <f>Table1[[#This Row],[2019 Scope 3 ]]</f>
        <v>#ERROR!</v>
      </c>
      <c r="AS28" s="217" t="str">
        <f t="shared" si="8"/>
        <v>#ERROR!</v>
      </c>
      <c r="AT28" s="218" t="str">
        <f t="shared" si="9"/>
        <v>#ERROR!</v>
      </c>
      <c r="BI28" s="4">
        <v>3329.0</v>
      </c>
    </row>
    <row r="29" ht="12.75" hidden="1" customHeight="1">
      <c r="A29" s="5">
        <f>companies!A29</f>
        <v>28</v>
      </c>
      <c r="B29" s="199" t="s">
        <v>1254</v>
      </c>
      <c r="C29" s="199">
        <v>23289.0</v>
      </c>
      <c r="D29" s="199">
        <v>593611.0</v>
      </c>
      <c r="E29" s="199">
        <v>359748.0</v>
      </c>
      <c r="F29" s="199">
        <v>3057.83</v>
      </c>
      <c r="G29" s="199">
        <v>365372.29</v>
      </c>
      <c r="H29" s="199">
        <v>170626.34</v>
      </c>
      <c r="I29" s="199" t="s">
        <v>683</v>
      </c>
      <c r="J29" s="199" t="s">
        <v>683</v>
      </c>
      <c r="K29" s="199">
        <v>126229.0</v>
      </c>
      <c r="L29" s="199">
        <v>82627.85</v>
      </c>
      <c r="M29" s="212" t="s">
        <v>683</v>
      </c>
      <c r="N29" s="212" t="s">
        <v>683</v>
      </c>
      <c r="O29" s="212" t="s">
        <v>683</v>
      </c>
      <c r="P29" s="212" t="s">
        <v>683</v>
      </c>
      <c r="Q29" s="212" t="s">
        <v>683</v>
      </c>
      <c r="R29" s="199" t="s">
        <v>683</v>
      </c>
      <c r="S29" s="212" t="s">
        <v>683</v>
      </c>
      <c r="T29" s="212" t="s">
        <v>683</v>
      </c>
      <c r="U29" s="212" t="s">
        <v>683</v>
      </c>
      <c r="V29" s="212" t="s">
        <v>683</v>
      </c>
      <c r="W29" s="212">
        <f t="shared" si="10"/>
        <v>747913.31</v>
      </c>
      <c r="X29" s="199">
        <v>359748.0</v>
      </c>
      <c r="Y29" s="199">
        <v>1130950.31</v>
      </c>
      <c r="Z29" s="199"/>
      <c r="AA29" s="199"/>
      <c r="AB29" s="199"/>
      <c r="AC29" s="199"/>
      <c r="AD29" s="212" t="s">
        <v>683</v>
      </c>
      <c r="AE29" s="212" t="s">
        <v>683</v>
      </c>
      <c r="AF29" s="213" t="str">
        <f>Table1[[#This Row],[2019 Scope 1 (MeT Co2)]]</f>
        <v>#ERROR!</v>
      </c>
      <c r="AG29" s="214" t="str">
        <f t="shared" si="2"/>
        <v>#ERROR!</v>
      </c>
      <c r="AH29" s="215" t="str">
        <f t="shared" si="3"/>
        <v>#ERROR!</v>
      </c>
      <c r="AI29" s="209"/>
      <c r="AJ29" s="209"/>
      <c r="AK29" s="212" t="s">
        <v>683</v>
      </c>
      <c r="AL29" s="212" t="s">
        <v>683</v>
      </c>
      <c r="AM29" s="213" t="str">
        <f>Table1[[#This Row],[2019 Scope 2 ]]</f>
        <v>#ERROR!</v>
      </c>
      <c r="AN29" s="214" t="str">
        <f t="shared" si="4"/>
        <v>#ERROR!</v>
      </c>
      <c r="AO29" s="215" t="str">
        <f t="shared" si="5"/>
        <v>#ERROR!</v>
      </c>
      <c r="AP29" s="214" t="str">
        <f t="shared" si="6"/>
        <v>#ERROR!</v>
      </c>
      <c r="AQ29" s="215" t="str">
        <f t="shared" si="7"/>
        <v>#ERROR!</v>
      </c>
      <c r="AR29" s="216" t="str">
        <f>Table1[[#This Row],[2019 Scope 3 ]]</f>
        <v>#ERROR!</v>
      </c>
      <c r="AS29" s="217" t="str">
        <f t="shared" si="8"/>
        <v>#ERROR!</v>
      </c>
      <c r="AT29" s="218" t="str">
        <f t="shared" si="9"/>
        <v>#ERROR!</v>
      </c>
      <c r="BI29" s="4">
        <v>3398.0</v>
      </c>
    </row>
    <row r="30" ht="12.75" hidden="1" customHeight="1">
      <c r="A30" s="5">
        <f>companies!A30</f>
        <v>29</v>
      </c>
      <c r="B30" s="199" t="s">
        <v>1254</v>
      </c>
      <c r="C30" s="199">
        <v>687597.0</v>
      </c>
      <c r="D30" s="199">
        <v>868343.0</v>
      </c>
      <c r="E30" s="199">
        <v>871304.0</v>
      </c>
      <c r="F30" s="199">
        <v>2.2809959E7</v>
      </c>
      <c r="G30" s="199">
        <v>1799000.0</v>
      </c>
      <c r="H30" s="199" t="s">
        <v>683</v>
      </c>
      <c r="I30" s="199" t="s">
        <v>683</v>
      </c>
      <c r="J30" s="199">
        <v>0.0</v>
      </c>
      <c r="K30" s="199">
        <v>130838.0</v>
      </c>
      <c r="L30" s="199" t="s">
        <v>683</v>
      </c>
      <c r="M30" s="212" t="s">
        <v>683</v>
      </c>
      <c r="N30" s="212">
        <v>2290854.0</v>
      </c>
      <c r="O30" s="212">
        <v>2.2630377E7</v>
      </c>
      <c r="P30" s="212" t="s">
        <v>683</v>
      </c>
      <c r="Q30" s="212" t="s">
        <v>683</v>
      </c>
      <c r="R30" s="199" t="s">
        <v>683</v>
      </c>
      <c r="S30" s="212">
        <v>4378013.0</v>
      </c>
      <c r="T30" s="212" t="s">
        <v>683</v>
      </c>
      <c r="U30" s="212" t="s">
        <v>683</v>
      </c>
      <c r="V30" s="212" t="s">
        <v>683</v>
      </c>
      <c r="W30" s="212">
        <f t="shared" si="10"/>
        <v>54039041</v>
      </c>
      <c r="X30" s="199">
        <v>868343.0</v>
      </c>
      <c r="Y30" s="199">
        <v>5.5594981E7</v>
      </c>
      <c r="Z30" s="199"/>
      <c r="AA30" s="199"/>
      <c r="AB30" s="199"/>
      <c r="AC30" s="199"/>
      <c r="AD30" s="212" t="s">
        <v>683</v>
      </c>
      <c r="AE30" s="212" t="s">
        <v>683</v>
      </c>
      <c r="AF30" s="213" t="str">
        <f>Table1[[#This Row],[2019 Scope 1 (MeT Co2)]]</f>
        <v>#ERROR!</v>
      </c>
      <c r="AG30" s="214" t="str">
        <f t="shared" si="2"/>
        <v>#ERROR!</v>
      </c>
      <c r="AH30" s="219" t="str">
        <f t="shared" si="3"/>
        <v>#ERROR!</v>
      </c>
      <c r="AI30" s="209"/>
      <c r="AJ30" s="209"/>
      <c r="AK30" s="212" t="s">
        <v>683</v>
      </c>
      <c r="AL30" s="212" t="s">
        <v>683</v>
      </c>
      <c r="AM30" s="213" t="str">
        <f>Table1[[#This Row],[2019 Scope 2 ]]</f>
        <v>#ERROR!</v>
      </c>
      <c r="AN30" s="214" t="str">
        <f t="shared" si="4"/>
        <v>#ERROR!</v>
      </c>
      <c r="AO30" s="219" t="str">
        <f t="shared" si="5"/>
        <v>#ERROR!</v>
      </c>
      <c r="AP30" s="214" t="str">
        <f t="shared" si="6"/>
        <v>#ERROR!</v>
      </c>
      <c r="AQ30" s="219" t="str">
        <f t="shared" si="7"/>
        <v>#ERROR!</v>
      </c>
      <c r="AR30" s="216" t="str">
        <f>Table1[[#This Row],[2019 Scope 3 ]]</f>
        <v>#ERROR!</v>
      </c>
      <c r="AS30" s="217" t="str">
        <f t="shared" si="8"/>
        <v>#ERROR!</v>
      </c>
      <c r="AT30" s="218" t="str">
        <f t="shared" si="9"/>
        <v>#ERROR!</v>
      </c>
      <c r="BI30" s="199">
        <v>3564.0</v>
      </c>
    </row>
    <row r="31" ht="12.75" hidden="1" customHeight="1">
      <c r="A31" s="5">
        <f>companies!A31</f>
        <v>30</v>
      </c>
      <c r="B31" s="199" t="s">
        <v>1254</v>
      </c>
      <c r="C31" s="199">
        <v>197523.0</v>
      </c>
      <c r="D31" s="199">
        <v>379901.0</v>
      </c>
      <c r="E31" s="199">
        <v>283289.0</v>
      </c>
      <c r="F31" s="199">
        <v>3998484.0</v>
      </c>
      <c r="G31" s="199">
        <v>107147.0</v>
      </c>
      <c r="H31" s="199">
        <v>144711.0</v>
      </c>
      <c r="I31" s="199">
        <v>622256.0</v>
      </c>
      <c r="J31" s="199">
        <v>43842.0</v>
      </c>
      <c r="K31" s="199">
        <v>43504.0</v>
      </c>
      <c r="L31" s="199">
        <v>75573.0</v>
      </c>
      <c r="M31" s="212">
        <v>70599.0</v>
      </c>
      <c r="N31" s="212" t="s">
        <v>683</v>
      </c>
      <c r="O31" s="212" t="s">
        <v>683</v>
      </c>
      <c r="P31" s="212">
        <v>4.2014727E7</v>
      </c>
      <c r="Q31" s="212">
        <v>1559375.0</v>
      </c>
      <c r="R31" s="199" t="s">
        <v>683</v>
      </c>
      <c r="S31" s="212" t="s">
        <v>683</v>
      </c>
      <c r="T31" s="212" t="s">
        <v>683</v>
      </c>
      <c r="U31" s="212" t="s">
        <v>683</v>
      </c>
      <c r="V31" s="212" t="s">
        <v>683</v>
      </c>
      <c r="W31" s="212">
        <f t="shared" si="10"/>
        <v>48680218</v>
      </c>
      <c r="X31" s="199">
        <v>283289.0</v>
      </c>
      <c r="Y31" s="199">
        <v>4.916103E7</v>
      </c>
      <c r="Z31" s="199"/>
      <c r="AA31" s="199"/>
      <c r="AB31" s="199"/>
      <c r="AC31" s="199"/>
      <c r="AD31" s="212" t="s">
        <v>683</v>
      </c>
      <c r="AE31" s="212" t="s">
        <v>683</v>
      </c>
      <c r="AF31" s="213" t="str">
        <f>Table1[[#This Row],[2019 Scope 1 (MeT Co2)]]</f>
        <v>#ERROR!</v>
      </c>
      <c r="AG31" s="214" t="str">
        <f t="shared" si="2"/>
        <v>#ERROR!</v>
      </c>
      <c r="AH31" s="215" t="str">
        <f t="shared" si="3"/>
        <v>#ERROR!</v>
      </c>
      <c r="AI31" s="209"/>
      <c r="AJ31" s="209"/>
      <c r="AK31" s="212" t="s">
        <v>683</v>
      </c>
      <c r="AL31" s="212" t="s">
        <v>683</v>
      </c>
      <c r="AM31" s="213" t="str">
        <f>Table1[[#This Row],[2019 Scope 2 ]]</f>
        <v>#ERROR!</v>
      </c>
      <c r="AN31" s="214" t="str">
        <f t="shared" si="4"/>
        <v>#ERROR!</v>
      </c>
      <c r="AO31" s="215" t="str">
        <f t="shared" si="5"/>
        <v>#ERROR!</v>
      </c>
      <c r="AP31" s="214" t="str">
        <f t="shared" si="6"/>
        <v>#ERROR!</v>
      </c>
      <c r="AQ31" s="215" t="str">
        <f t="shared" si="7"/>
        <v>#ERROR!</v>
      </c>
      <c r="AR31" s="216" t="str">
        <f>Table1[[#This Row],[2019 Scope 3 ]]</f>
        <v>#ERROR!</v>
      </c>
      <c r="AS31" s="217" t="str">
        <f t="shared" si="8"/>
        <v>#ERROR!</v>
      </c>
      <c r="AT31" s="218" t="str">
        <f t="shared" si="9"/>
        <v>#ERROR!</v>
      </c>
      <c r="BI31" s="199">
        <v>3551.0</v>
      </c>
    </row>
    <row r="32" ht="12.75" hidden="1" customHeight="1">
      <c r="A32" s="5">
        <f>companies!A32</f>
        <v>31</v>
      </c>
      <c r="B32" s="199" t="s">
        <v>1254</v>
      </c>
      <c r="C32" s="199">
        <v>498455.0</v>
      </c>
      <c r="D32" s="199">
        <v>1568717.0</v>
      </c>
      <c r="E32" s="199">
        <v>1496771.0</v>
      </c>
      <c r="F32" s="199" t="s">
        <v>683</v>
      </c>
      <c r="G32" s="199" t="s">
        <v>683</v>
      </c>
      <c r="H32" s="199" t="s">
        <v>683</v>
      </c>
      <c r="I32" s="199" t="s">
        <v>683</v>
      </c>
      <c r="J32" s="199" t="s">
        <v>683</v>
      </c>
      <c r="K32" s="199" t="s">
        <v>683</v>
      </c>
      <c r="L32" s="199" t="s">
        <v>683</v>
      </c>
      <c r="M32" s="212" t="s">
        <v>683</v>
      </c>
      <c r="N32" s="212" t="s">
        <v>683</v>
      </c>
      <c r="O32" s="212" t="s">
        <v>683</v>
      </c>
      <c r="P32" s="212" t="s">
        <v>683</v>
      </c>
      <c r="Q32" s="212" t="s">
        <v>683</v>
      </c>
      <c r="R32" s="199" t="s">
        <v>683</v>
      </c>
      <c r="S32" s="212" t="s">
        <v>683</v>
      </c>
      <c r="T32" s="212" t="s">
        <v>683</v>
      </c>
      <c r="U32" s="212" t="s">
        <v>683</v>
      </c>
      <c r="V32" s="212" t="s">
        <v>683</v>
      </c>
      <c r="W32" s="212">
        <f t="shared" si="10"/>
        <v>0</v>
      </c>
      <c r="X32" s="199">
        <v>1496771.0</v>
      </c>
      <c r="Y32" s="199">
        <v>1995226.0</v>
      </c>
      <c r="Z32" s="199"/>
      <c r="AA32" s="199"/>
      <c r="AB32" s="199"/>
      <c r="AC32" s="199"/>
      <c r="AD32" s="212" t="s">
        <v>683</v>
      </c>
      <c r="AE32" s="212" t="s">
        <v>683</v>
      </c>
      <c r="AF32" s="213" t="str">
        <f>Table1[[#This Row],[2019 Scope 1 (MeT Co2)]]</f>
        <v>#ERROR!</v>
      </c>
      <c r="AG32" s="214" t="str">
        <f t="shared" si="2"/>
        <v>#ERROR!</v>
      </c>
      <c r="AH32" s="215" t="str">
        <f t="shared" si="3"/>
        <v>#ERROR!</v>
      </c>
      <c r="AI32" s="209"/>
      <c r="AJ32" s="209"/>
      <c r="AK32" s="212" t="s">
        <v>683</v>
      </c>
      <c r="AL32" s="212" t="s">
        <v>683</v>
      </c>
      <c r="AM32" s="213" t="str">
        <f>Table1[[#This Row],[2019 Scope 2 ]]</f>
        <v>#ERROR!</v>
      </c>
      <c r="AN32" s="214" t="str">
        <f t="shared" si="4"/>
        <v>#ERROR!</v>
      </c>
      <c r="AO32" s="215" t="str">
        <f t="shared" si="5"/>
        <v>#ERROR!</v>
      </c>
      <c r="AP32" s="214" t="str">
        <f t="shared" si="6"/>
        <v>#ERROR!</v>
      </c>
      <c r="AQ32" s="215" t="str">
        <f t="shared" si="7"/>
        <v>#ERROR!</v>
      </c>
      <c r="AR32" s="216" t="str">
        <f>Table1[[#This Row],[2019 Scope 3 ]]</f>
        <v>#ERROR!</v>
      </c>
      <c r="AS32" s="217" t="str">
        <f t="shared" si="8"/>
        <v>#ERROR!</v>
      </c>
      <c r="AT32" s="218" t="str">
        <f t="shared" si="9"/>
        <v>#ERROR!</v>
      </c>
      <c r="BI32" s="4">
        <v>3635.0</v>
      </c>
    </row>
    <row r="33" ht="12.75" hidden="1" customHeight="1">
      <c r="A33" s="5">
        <f>companies!A33</f>
        <v>32</v>
      </c>
      <c r="B33" s="199" t="s">
        <v>1254</v>
      </c>
      <c r="C33" s="199">
        <v>1.9500244E7</v>
      </c>
      <c r="D33" s="199">
        <v>956931.0</v>
      </c>
      <c r="E33" s="199" t="s">
        <v>683</v>
      </c>
      <c r="F33" s="199" t="s">
        <v>683</v>
      </c>
      <c r="G33" s="199" t="s">
        <v>683</v>
      </c>
      <c r="H33" s="199" t="s">
        <v>683</v>
      </c>
      <c r="I33" s="199">
        <v>2672913.0</v>
      </c>
      <c r="J33" s="199" t="s">
        <v>683</v>
      </c>
      <c r="K33" s="199" t="s">
        <v>683</v>
      </c>
      <c r="L33" s="199" t="s">
        <v>683</v>
      </c>
      <c r="M33" s="212" t="s">
        <v>683</v>
      </c>
      <c r="N33" s="212">
        <v>4901363.0</v>
      </c>
      <c r="O33" s="212">
        <v>1.4236023E7</v>
      </c>
      <c r="P33" s="212">
        <v>1.73354465E8</v>
      </c>
      <c r="Q33" s="212" t="s">
        <v>683</v>
      </c>
      <c r="R33" s="199" t="s">
        <v>683</v>
      </c>
      <c r="S33" s="212" t="s">
        <v>683</v>
      </c>
      <c r="T33" s="212" t="s">
        <v>683</v>
      </c>
      <c r="U33" s="212" t="s">
        <v>683</v>
      </c>
      <c r="V33" s="212" t="s">
        <v>683</v>
      </c>
      <c r="W33" s="212">
        <f t="shared" si="10"/>
        <v>195164764</v>
      </c>
      <c r="X33" s="199">
        <v>956931.0</v>
      </c>
      <c r="Y33" s="199">
        <v>2.15621939E8</v>
      </c>
      <c r="Z33" s="199"/>
      <c r="AA33" s="199"/>
      <c r="AB33" s="212"/>
      <c r="AC33" s="212"/>
      <c r="AD33" s="212" t="s">
        <v>683</v>
      </c>
      <c r="AE33" s="212" t="s">
        <v>683</v>
      </c>
      <c r="AF33" s="213" t="str">
        <f>Table1[[#This Row],[2019 Scope 1 (MeT Co2)]]</f>
        <v>#ERROR!</v>
      </c>
      <c r="AG33" s="214" t="str">
        <f t="shared" si="2"/>
        <v>#ERROR!</v>
      </c>
      <c r="AH33" s="215" t="str">
        <f t="shared" si="3"/>
        <v>#ERROR!</v>
      </c>
      <c r="AI33" s="209"/>
      <c r="AJ33" s="209"/>
      <c r="AK33" s="212" t="s">
        <v>683</v>
      </c>
      <c r="AL33" s="212" t="s">
        <v>683</v>
      </c>
      <c r="AM33" s="213" t="str">
        <f>Table1[[#This Row],[2019 Scope 2 ]]</f>
        <v>#ERROR!</v>
      </c>
      <c r="AN33" s="214" t="str">
        <f t="shared" si="4"/>
        <v>#ERROR!</v>
      </c>
      <c r="AO33" s="215" t="str">
        <f t="shared" si="5"/>
        <v>#ERROR!</v>
      </c>
      <c r="AP33" s="214" t="str">
        <f t="shared" si="6"/>
        <v>#ERROR!</v>
      </c>
      <c r="AQ33" s="215" t="str">
        <f t="shared" si="7"/>
        <v>#ERROR!</v>
      </c>
      <c r="AR33" s="216" t="str">
        <f>Table1[[#This Row],[2019 Scope 3 ]]</f>
        <v>#ERROR!</v>
      </c>
      <c r="AS33" s="217" t="str">
        <f t="shared" si="8"/>
        <v>#ERROR!</v>
      </c>
      <c r="AT33" s="218" t="str">
        <f t="shared" si="9"/>
        <v>#ERROR!</v>
      </c>
      <c r="BI33" s="199">
        <v>3751.0</v>
      </c>
    </row>
    <row r="34" ht="12.75" hidden="1" customHeight="1">
      <c r="A34" s="5">
        <f>companies!A34</f>
        <v>33</v>
      </c>
      <c r="B34" s="199" t="s">
        <v>1254</v>
      </c>
      <c r="C34" s="199">
        <v>1108562.25</v>
      </c>
      <c r="D34" s="199">
        <v>1473874.16</v>
      </c>
      <c r="E34" s="199" t="s">
        <v>683</v>
      </c>
      <c r="F34" s="199" t="s">
        <v>683</v>
      </c>
      <c r="G34" s="199" t="s">
        <v>683</v>
      </c>
      <c r="H34" s="199" t="s">
        <v>683</v>
      </c>
      <c r="I34" s="199" t="s">
        <v>683</v>
      </c>
      <c r="J34" s="199" t="s">
        <v>683</v>
      </c>
      <c r="K34" s="199" t="s">
        <v>683</v>
      </c>
      <c r="L34" s="199" t="s">
        <v>683</v>
      </c>
      <c r="M34" s="212" t="s">
        <v>683</v>
      </c>
      <c r="N34" s="212" t="s">
        <v>683</v>
      </c>
      <c r="O34" s="212" t="s">
        <v>683</v>
      </c>
      <c r="P34" s="212" t="s">
        <v>683</v>
      </c>
      <c r="Q34" s="212" t="s">
        <v>683</v>
      </c>
      <c r="R34" s="199" t="s">
        <v>683</v>
      </c>
      <c r="S34" s="212" t="s">
        <v>683</v>
      </c>
      <c r="T34" s="212" t="s">
        <v>683</v>
      </c>
      <c r="U34" s="212" t="s">
        <v>683</v>
      </c>
      <c r="V34" s="212" t="s">
        <v>683</v>
      </c>
      <c r="W34" s="212">
        <f t="shared" si="10"/>
        <v>0</v>
      </c>
      <c r="X34" s="199">
        <v>1473874.16</v>
      </c>
      <c r="Y34" s="199">
        <v>2582436.41</v>
      </c>
      <c r="Z34" s="199"/>
      <c r="AA34" s="199"/>
      <c r="AB34" s="212"/>
      <c r="AC34" s="212"/>
      <c r="AD34" s="212" t="s">
        <v>1255</v>
      </c>
      <c r="AE34" s="212" t="s">
        <v>1256</v>
      </c>
      <c r="AF34" s="213" t="str">
        <f>Table1[[#This Row],[2019 Scope 1 (MeT Co2)]]</f>
        <v>#ERROR!</v>
      </c>
      <c r="AG34" s="214" t="str">
        <f t="shared" si="2"/>
        <v>#ERROR!</v>
      </c>
      <c r="AH34" s="215" t="str">
        <f t="shared" si="3"/>
        <v>#ERROR!</v>
      </c>
      <c r="AI34" s="209"/>
      <c r="AJ34" s="209"/>
      <c r="AK34" s="212" t="s">
        <v>1255</v>
      </c>
      <c r="AL34" s="212" t="s">
        <v>1256</v>
      </c>
      <c r="AM34" s="213" t="str">
        <f>Table1[[#This Row],[2019 Scope 2 ]]</f>
        <v>#ERROR!</v>
      </c>
      <c r="AN34" s="214" t="str">
        <f t="shared" si="4"/>
        <v>#ERROR!</v>
      </c>
      <c r="AO34" s="215" t="str">
        <f t="shared" si="5"/>
        <v>#ERROR!</v>
      </c>
      <c r="AP34" s="214" t="str">
        <f t="shared" si="6"/>
        <v>#ERROR!</v>
      </c>
      <c r="AQ34" s="215" t="str">
        <f t="shared" si="7"/>
        <v>#ERROR!</v>
      </c>
      <c r="AR34" s="216" t="str">
        <f>Table1[[#This Row],[2019 Scope 3 ]]</f>
        <v>#ERROR!</v>
      </c>
      <c r="AS34" s="217" t="str">
        <f t="shared" si="8"/>
        <v>#ERROR!</v>
      </c>
      <c r="AT34" s="218" t="str">
        <f t="shared" si="9"/>
        <v>#ERROR!</v>
      </c>
      <c r="BI34" s="4">
        <v>3944.0</v>
      </c>
    </row>
    <row r="35" ht="12.75" hidden="1" customHeight="1">
      <c r="A35" s="5">
        <f>companies!A35</f>
        <v>34</v>
      </c>
      <c r="B35" s="199" t="s">
        <v>1254</v>
      </c>
      <c r="C35" s="199">
        <v>157199.32</v>
      </c>
      <c r="D35" s="199">
        <v>1024681.56</v>
      </c>
      <c r="E35" s="199">
        <v>1036690.44</v>
      </c>
      <c r="F35" s="199">
        <v>1.458473912E7</v>
      </c>
      <c r="G35" s="199">
        <v>1011729.83</v>
      </c>
      <c r="H35" s="199">
        <v>51656.89</v>
      </c>
      <c r="I35" s="199" t="s">
        <v>683</v>
      </c>
      <c r="J35" s="199">
        <v>35236.88</v>
      </c>
      <c r="K35" s="199">
        <v>106796.09</v>
      </c>
      <c r="L35" s="199">
        <v>20400.0</v>
      </c>
      <c r="M35" s="212" t="s">
        <v>683</v>
      </c>
      <c r="N35" s="212">
        <v>46624.82</v>
      </c>
      <c r="O35" s="212" t="s">
        <v>683</v>
      </c>
      <c r="P35" s="212" t="s">
        <v>683</v>
      </c>
      <c r="Q35" s="212" t="s">
        <v>683</v>
      </c>
      <c r="R35" s="199" t="s">
        <v>683</v>
      </c>
      <c r="S35" s="212" t="s">
        <v>683</v>
      </c>
      <c r="T35" s="212" t="s">
        <v>683</v>
      </c>
      <c r="U35" s="212" t="s">
        <v>683</v>
      </c>
      <c r="V35" s="212" t="s">
        <v>683</v>
      </c>
      <c r="W35" s="212">
        <f t="shared" si="10"/>
        <v>15857183.63</v>
      </c>
      <c r="X35" s="199">
        <v>1024681.56</v>
      </c>
      <c r="Y35" s="199">
        <v>1.703906451E7</v>
      </c>
      <c r="Z35" s="199"/>
      <c r="AA35" s="199"/>
      <c r="AB35" s="212"/>
      <c r="AC35" s="212"/>
      <c r="AD35" s="212" t="s">
        <v>683</v>
      </c>
      <c r="AE35" s="212" t="s">
        <v>683</v>
      </c>
      <c r="AF35" s="213" t="str">
        <f>Table1[[#This Row],[2019 Scope 1 (MeT Co2)]]</f>
        <v>#ERROR!</v>
      </c>
      <c r="AG35" s="214" t="str">
        <f t="shared" si="2"/>
        <v>#ERROR!</v>
      </c>
      <c r="AH35" s="215" t="str">
        <f t="shared" si="3"/>
        <v>#ERROR!</v>
      </c>
      <c r="AI35" s="209"/>
      <c r="AJ35" s="209"/>
      <c r="AK35" s="212" t="s">
        <v>683</v>
      </c>
      <c r="AL35" s="212" t="s">
        <v>683</v>
      </c>
      <c r="AM35" s="213" t="str">
        <f>Table1[[#This Row],[2019 Scope 2 ]]</f>
        <v>#ERROR!</v>
      </c>
      <c r="AN35" s="214" t="str">
        <f t="shared" si="4"/>
        <v>#ERROR!</v>
      </c>
      <c r="AO35" s="215" t="str">
        <f t="shared" si="5"/>
        <v>#ERROR!</v>
      </c>
      <c r="AP35" s="214" t="str">
        <f t="shared" si="6"/>
        <v>#ERROR!</v>
      </c>
      <c r="AQ35" s="215" t="str">
        <f t="shared" si="7"/>
        <v>#ERROR!</v>
      </c>
      <c r="AR35" s="216" t="str">
        <f>Table1[[#This Row],[2019 Scope 3 ]]</f>
        <v>#ERROR!</v>
      </c>
      <c r="AS35" s="217" t="str">
        <f t="shared" si="8"/>
        <v>#ERROR!</v>
      </c>
      <c r="AT35" s="218" t="str">
        <f t="shared" si="9"/>
        <v>#ERROR!</v>
      </c>
      <c r="BI35" s="199">
        <v>4151.0</v>
      </c>
    </row>
    <row r="36" ht="12.75" hidden="1" customHeight="1">
      <c r="A36" s="5">
        <f>companies!A36</f>
        <v>35</v>
      </c>
      <c r="B36" s="199" t="s">
        <v>1254</v>
      </c>
      <c r="C36" s="199" t="s">
        <v>1262</v>
      </c>
      <c r="D36" s="199" t="s">
        <v>1262</v>
      </c>
      <c r="E36" s="199" t="s">
        <v>1262</v>
      </c>
      <c r="F36" s="199" t="s">
        <v>1262</v>
      </c>
      <c r="G36" s="199" t="s">
        <v>1262</v>
      </c>
      <c r="H36" s="199" t="s">
        <v>1262</v>
      </c>
      <c r="I36" s="199" t="s">
        <v>1262</v>
      </c>
      <c r="J36" s="199" t="s">
        <v>1262</v>
      </c>
      <c r="K36" s="199" t="s">
        <v>1262</v>
      </c>
      <c r="L36" s="199" t="s">
        <v>1262</v>
      </c>
      <c r="M36" s="199" t="s">
        <v>1262</v>
      </c>
      <c r="N36" s="199" t="s">
        <v>1262</v>
      </c>
      <c r="O36" s="199" t="s">
        <v>1262</v>
      </c>
      <c r="P36" s="199" t="s">
        <v>1262</v>
      </c>
      <c r="Q36" s="199" t="s">
        <v>1262</v>
      </c>
      <c r="R36" s="199" t="s">
        <v>1262</v>
      </c>
      <c r="S36" s="199" t="s">
        <v>1262</v>
      </c>
      <c r="T36" s="199" t="s">
        <v>1262</v>
      </c>
      <c r="U36" s="199" t="s">
        <v>1262</v>
      </c>
      <c r="V36" s="199" t="s">
        <v>1262</v>
      </c>
      <c r="W36" s="212">
        <f t="shared" si="10"/>
        <v>0</v>
      </c>
      <c r="X36" s="199">
        <v>0.0</v>
      </c>
      <c r="Y36" s="199"/>
      <c r="Z36" s="199"/>
      <c r="AA36" s="199"/>
      <c r="AB36" s="212"/>
      <c r="AC36" s="212"/>
      <c r="AD36" s="212" t="e">
        <v>#N/A</v>
      </c>
      <c r="AE36" s="212" t="e">
        <v>#N/A</v>
      </c>
      <c r="AF36" s="213" t="str">
        <f>Table1[[#This Row],[2019 Scope 1 (MeT Co2)]]</f>
        <v>#ERROR!</v>
      </c>
      <c r="AG36" s="214" t="str">
        <f t="shared" si="2"/>
        <v>#ERROR!</v>
      </c>
      <c r="AH36" s="215" t="str">
        <f t="shared" si="3"/>
        <v>#ERROR!</v>
      </c>
      <c r="AI36" s="209"/>
      <c r="AJ36" s="209"/>
      <c r="AK36" s="212" t="e">
        <v>#N/A</v>
      </c>
      <c r="AL36" s="212" t="e">
        <v>#N/A</v>
      </c>
      <c r="AM36" s="213" t="str">
        <f>Table1[[#This Row],[2019 Scope 2 ]]</f>
        <v>#ERROR!</v>
      </c>
      <c r="AN36" s="214" t="str">
        <f t="shared" si="4"/>
        <v>#ERROR!</v>
      </c>
      <c r="AO36" s="215" t="str">
        <f t="shared" si="5"/>
        <v>#ERROR!</v>
      </c>
      <c r="AP36" s="214" t="str">
        <f t="shared" si="6"/>
        <v>#ERROR!</v>
      </c>
      <c r="AQ36" s="215" t="str">
        <f t="shared" si="7"/>
        <v>#ERROR!</v>
      </c>
      <c r="AR36" s="216" t="str">
        <f>Table1[[#This Row],[2019 Scope 3 ]]</f>
        <v>#ERROR!</v>
      </c>
      <c r="AS36" s="217" t="str">
        <f t="shared" si="8"/>
        <v>#ERROR!</v>
      </c>
      <c r="AT36" s="218" t="str">
        <f t="shared" si="9"/>
        <v>#ERROR!</v>
      </c>
    </row>
    <row r="37" ht="12.75" hidden="1" customHeight="1">
      <c r="A37" s="5">
        <f>companies!A37</f>
        <v>36</v>
      </c>
      <c r="B37" s="199" t="s">
        <v>1254</v>
      </c>
      <c r="C37" s="199">
        <v>2.7522854E7</v>
      </c>
      <c r="D37" s="199">
        <v>5058885.0</v>
      </c>
      <c r="E37" s="199">
        <v>6058164.0</v>
      </c>
      <c r="F37" s="199">
        <v>6.0053499E7</v>
      </c>
      <c r="G37" s="199">
        <v>2776452.0</v>
      </c>
      <c r="H37" s="199">
        <v>8269874.0</v>
      </c>
      <c r="I37" s="199" t="s">
        <v>683</v>
      </c>
      <c r="J37" s="199">
        <v>1560507.0</v>
      </c>
      <c r="K37" s="199">
        <v>31832.0</v>
      </c>
      <c r="L37" s="199">
        <v>86849.0</v>
      </c>
      <c r="M37" s="212">
        <v>16600.0</v>
      </c>
      <c r="N37" s="212">
        <v>4094062.0</v>
      </c>
      <c r="O37" s="212" t="s">
        <v>683</v>
      </c>
      <c r="P37" s="212">
        <v>3184348.0</v>
      </c>
      <c r="Q37" s="212">
        <v>7052492.0</v>
      </c>
      <c r="R37" s="199" t="s">
        <v>683</v>
      </c>
      <c r="S37" s="212" t="s">
        <v>683</v>
      </c>
      <c r="T37" s="212">
        <v>4295442.0</v>
      </c>
      <c r="U37" s="212" t="s">
        <v>683</v>
      </c>
      <c r="V37" s="212" t="s">
        <v>683</v>
      </c>
      <c r="W37" s="212">
        <f t="shared" si="10"/>
        <v>91421957</v>
      </c>
      <c r="X37" s="199">
        <v>5058885.0</v>
      </c>
      <c r="Y37" s="199">
        <v>1.24003696E8</v>
      </c>
      <c r="Z37" s="199"/>
      <c r="AA37" s="199"/>
      <c r="AB37" s="199"/>
      <c r="AC37" s="199"/>
      <c r="AD37" s="212" t="s">
        <v>1255</v>
      </c>
      <c r="AE37" s="212" t="s">
        <v>1256</v>
      </c>
      <c r="AF37" s="213" t="str">
        <f>Table1[[#This Row],[2019 Scope 1 (MeT Co2)]]</f>
        <v>#ERROR!</v>
      </c>
      <c r="AG37" s="214" t="str">
        <f t="shared" si="2"/>
        <v>#ERROR!</v>
      </c>
      <c r="AH37" s="215" t="str">
        <f t="shared" si="3"/>
        <v>#ERROR!</v>
      </c>
      <c r="AI37" s="209"/>
      <c r="AJ37" s="209"/>
      <c r="AK37" s="212" t="s">
        <v>1255</v>
      </c>
      <c r="AL37" s="212" t="s">
        <v>1256</v>
      </c>
      <c r="AM37" s="213" t="str">
        <f>Table1[[#This Row],[2019 Scope 2 ]]</f>
        <v>#ERROR!</v>
      </c>
      <c r="AN37" s="214" t="str">
        <f t="shared" si="4"/>
        <v>#ERROR!</v>
      </c>
      <c r="AO37" s="215" t="str">
        <f t="shared" si="5"/>
        <v>#ERROR!</v>
      </c>
      <c r="AP37" s="214" t="str">
        <f t="shared" si="6"/>
        <v>#ERROR!</v>
      </c>
      <c r="AQ37" s="215" t="str">
        <f t="shared" si="7"/>
        <v>#ERROR!</v>
      </c>
      <c r="AR37" s="216" t="str">
        <f>Table1[[#This Row],[2019 Scope 3 ]]</f>
        <v>#ERROR!</v>
      </c>
      <c r="AS37" s="217" t="str">
        <f t="shared" si="8"/>
        <v>#ERROR!</v>
      </c>
      <c r="AT37" s="218" t="str">
        <f t="shared" si="9"/>
        <v>#ERROR!</v>
      </c>
      <c r="BI37" s="25">
        <v>4826.0</v>
      </c>
    </row>
    <row r="38" ht="12.75" hidden="1" customHeight="1">
      <c r="A38" s="5">
        <f>companies!A38</f>
        <v>37</v>
      </c>
      <c r="B38" s="199" t="s">
        <v>1254</v>
      </c>
      <c r="C38" s="199">
        <v>8.5525E7</v>
      </c>
      <c r="D38" s="199">
        <v>5200.0</v>
      </c>
      <c r="E38" s="199" t="s">
        <v>683</v>
      </c>
      <c r="F38" s="199" t="s">
        <v>683</v>
      </c>
      <c r="G38" s="199" t="s">
        <v>683</v>
      </c>
      <c r="H38" s="199">
        <v>1.21E7</v>
      </c>
      <c r="I38" s="199" t="s">
        <v>683</v>
      </c>
      <c r="J38" s="199" t="s">
        <v>683</v>
      </c>
      <c r="K38" s="199">
        <v>15113.0</v>
      </c>
      <c r="L38" s="199" t="s">
        <v>683</v>
      </c>
      <c r="M38" s="212" t="s">
        <v>683</v>
      </c>
      <c r="N38" s="212" t="s">
        <v>683</v>
      </c>
      <c r="O38" s="212" t="s">
        <v>683</v>
      </c>
      <c r="P38" s="212">
        <v>1.76E7</v>
      </c>
      <c r="Q38" s="212" t="s">
        <v>683</v>
      </c>
      <c r="R38" s="199" t="s">
        <v>683</v>
      </c>
      <c r="S38" s="212" t="s">
        <v>683</v>
      </c>
      <c r="T38" s="212" t="s">
        <v>683</v>
      </c>
      <c r="U38" s="212" t="s">
        <v>683</v>
      </c>
      <c r="V38" s="212" t="s">
        <v>683</v>
      </c>
      <c r="W38" s="212">
        <f t="shared" si="10"/>
        <v>29715113</v>
      </c>
      <c r="X38" s="199">
        <v>5200.0</v>
      </c>
      <c r="Y38" s="199">
        <v>1.15245313E8</v>
      </c>
      <c r="Z38" s="199"/>
      <c r="AA38" s="199"/>
      <c r="AB38" s="212"/>
      <c r="AC38" s="212"/>
      <c r="AD38" s="212" t="s">
        <v>683</v>
      </c>
      <c r="AE38" s="212" t="s">
        <v>683</v>
      </c>
      <c r="AF38" s="213" t="str">
        <f>Table1[[#This Row],[2019 Scope 1 (MeT Co2)]]</f>
        <v>#ERROR!</v>
      </c>
      <c r="AG38" s="214" t="str">
        <f t="shared" si="2"/>
        <v>#ERROR!</v>
      </c>
      <c r="AH38" s="219" t="str">
        <f t="shared" si="3"/>
        <v>#ERROR!</v>
      </c>
      <c r="AI38" s="209"/>
      <c r="AJ38" s="209"/>
      <c r="AK38" s="212" t="s">
        <v>683</v>
      </c>
      <c r="AL38" s="212" t="s">
        <v>683</v>
      </c>
      <c r="AM38" s="213" t="str">
        <f>Table1[[#This Row],[2019 Scope 2 ]]</f>
        <v>#ERROR!</v>
      </c>
      <c r="AN38" s="214" t="str">
        <f t="shared" si="4"/>
        <v>#ERROR!</v>
      </c>
      <c r="AO38" s="219" t="str">
        <f t="shared" si="5"/>
        <v>#ERROR!</v>
      </c>
      <c r="AP38" s="214" t="str">
        <f t="shared" si="6"/>
        <v>#ERROR!</v>
      </c>
      <c r="AQ38" s="219" t="str">
        <f t="shared" si="7"/>
        <v>#ERROR!</v>
      </c>
      <c r="AR38" s="216" t="str">
        <f>Table1[[#This Row],[2019 Scope 3 ]]</f>
        <v>#ERROR!</v>
      </c>
      <c r="AS38" s="217" t="str">
        <f t="shared" si="8"/>
        <v>#ERROR!</v>
      </c>
      <c r="AT38" s="218" t="str">
        <f t="shared" si="9"/>
        <v>#ERROR!</v>
      </c>
      <c r="BI38" s="199">
        <v>5052.0</v>
      </c>
    </row>
    <row r="39" ht="12.75" hidden="1" customHeight="1">
      <c r="A39" s="5">
        <f>companies!A39</f>
        <v>38</v>
      </c>
      <c r="B39" s="199" t="s">
        <v>1254</v>
      </c>
      <c r="C39" s="199">
        <v>3057437.0</v>
      </c>
      <c r="D39" s="199">
        <v>2322922.0</v>
      </c>
      <c r="E39" s="199">
        <v>2532756.0</v>
      </c>
      <c r="F39" s="199" t="s">
        <v>683</v>
      </c>
      <c r="G39" s="199" t="s">
        <v>683</v>
      </c>
      <c r="H39" s="199">
        <v>1207243.0</v>
      </c>
      <c r="I39" s="199" t="s">
        <v>683</v>
      </c>
      <c r="J39" s="199" t="s">
        <v>683</v>
      </c>
      <c r="K39" s="199">
        <v>23037.0</v>
      </c>
      <c r="L39" s="199" t="s">
        <v>683</v>
      </c>
      <c r="M39" s="212" t="s">
        <v>683</v>
      </c>
      <c r="N39" s="212" t="s">
        <v>683</v>
      </c>
      <c r="O39" s="212" t="s">
        <v>683</v>
      </c>
      <c r="P39" s="212" t="s">
        <v>683</v>
      </c>
      <c r="Q39" s="212" t="s">
        <v>683</v>
      </c>
      <c r="R39" s="199">
        <v>72464.0</v>
      </c>
      <c r="S39" s="212" t="s">
        <v>683</v>
      </c>
      <c r="T39" s="212" t="s">
        <v>683</v>
      </c>
      <c r="U39" s="212" t="s">
        <v>683</v>
      </c>
      <c r="V39" s="212" t="s">
        <v>683</v>
      </c>
      <c r="W39" s="212">
        <f t="shared" si="10"/>
        <v>1302744</v>
      </c>
      <c r="X39" s="199">
        <v>2322922.0</v>
      </c>
      <c r="Y39" s="199">
        <v>6683103.0</v>
      </c>
      <c r="Z39" s="199"/>
      <c r="AA39" s="199"/>
      <c r="AB39" s="199"/>
      <c r="AC39" s="199"/>
      <c r="AD39" s="212" t="s">
        <v>683</v>
      </c>
      <c r="AE39" s="212" t="s">
        <v>683</v>
      </c>
      <c r="AF39" s="213" t="str">
        <f>Table1[[#This Row],[2019 Scope 1 (MeT Co2)]]</f>
        <v>#ERROR!</v>
      </c>
      <c r="AG39" s="214" t="str">
        <f t="shared" si="2"/>
        <v>#ERROR!</v>
      </c>
      <c r="AH39" s="215" t="str">
        <f t="shared" si="3"/>
        <v>#ERROR!</v>
      </c>
      <c r="AI39" s="209"/>
      <c r="AJ39" s="209"/>
      <c r="AK39" s="212" t="s">
        <v>683</v>
      </c>
      <c r="AL39" s="212" t="s">
        <v>683</v>
      </c>
      <c r="AM39" s="213" t="str">
        <f>Table1[[#This Row],[2019 Scope 2 ]]</f>
        <v>#ERROR!</v>
      </c>
      <c r="AN39" s="214" t="str">
        <f t="shared" si="4"/>
        <v>#ERROR!</v>
      </c>
      <c r="AO39" s="215" t="str">
        <f t="shared" si="5"/>
        <v>#ERROR!</v>
      </c>
      <c r="AP39" s="214" t="str">
        <f t="shared" si="6"/>
        <v>#ERROR!</v>
      </c>
      <c r="AQ39" s="215" t="str">
        <f t="shared" si="7"/>
        <v>#ERROR!</v>
      </c>
      <c r="AR39" s="216" t="str">
        <f>Table1[[#This Row],[2019 Scope 3 ]]</f>
        <v>#ERROR!</v>
      </c>
      <c r="AS39" s="217" t="str">
        <f t="shared" si="8"/>
        <v>#ERROR!</v>
      </c>
      <c r="AT39" s="218" t="str">
        <f t="shared" si="9"/>
        <v>#ERROR!</v>
      </c>
      <c r="BI39" s="199">
        <v>73894.0</v>
      </c>
    </row>
    <row r="40" ht="12.75" hidden="1" customHeight="1">
      <c r="A40" s="5">
        <f>companies!A40</f>
        <v>39</v>
      </c>
      <c r="B40" s="199" t="s">
        <v>1254</v>
      </c>
      <c r="C40" s="199">
        <v>192075.0</v>
      </c>
      <c r="D40" s="199">
        <v>616431.0</v>
      </c>
      <c r="E40" s="199">
        <v>556855.0</v>
      </c>
      <c r="F40" s="199" t="s">
        <v>683</v>
      </c>
      <c r="G40" s="199" t="s">
        <v>683</v>
      </c>
      <c r="H40" s="199" t="s">
        <v>683</v>
      </c>
      <c r="I40" s="199">
        <v>32680.0</v>
      </c>
      <c r="J40" s="199">
        <v>42021.0</v>
      </c>
      <c r="K40" s="199">
        <v>98410.0</v>
      </c>
      <c r="L40" s="199">
        <v>61685.0</v>
      </c>
      <c r="M40" s="212">
        <v>0.0</v>
      </c>
      <c r="N40" s="212" t="s">
        <v>683</v>
      </c>
      <c r="O40" s="212" t="s">
        <v>683</v>
      </c>
      <c r="P40" s="212" t="s">
        <v>683</v>
      </c>
      <c r="Q40" s="212" t="s">
        <v>683</v>
      </c>
      <c r="R40" s="199">
        <v>0.0</v>
      </c>
      <c r="S40" s="212">
        <v>0.0</v>
      </c>
      <c r="T40" s="212">
        <v>0.0</v>
      </c>
      <c r="U40" s="212" t="s">
        <v>683</v>
      </c>
      <c r="V40" s="212" t="s">
        <v>683</v>
      </c>
      <c r="W40" s="212">
        <f t="shared" si="10"/>
        <v>234796</v>
      </c>
      <c r="X40" s="199">
        <v>556855.0</v>
      </c>
      <c r="Y40" s="199">
        <v>983726.0</v>
      </c>
      <c r="Z40" s="199"/>
      <c r="AA40" s="199"/>
      <c r="AB40" s="199"/>
      <c r="AC40" s="199"/>
      <c r="AD40" s="212" t="s">
        <v>683</v>
      </c>
      <c r="AE40" s="212" t="s">
        <v>683</v>
      </c>
      <c r="AF40" s="213" t="str">
        <f>Table1[[#This Row],[2019 Scope 1 (MeT Co2)]]</f>
        <v>#ERROR!</v>
      </c>
      <c r="AG40" s="214" t="str">
        <f t="shared" si="2"/>
        <v>#ERROR!</v>
      </c>
      <c r="AH40" s="215" t="str">
        <f t="shared" si="3"/>
        <v>#ERROR!</v>
      </c>
      <c r="AI40" s="209"/>
      <c r="AJ40" s="209"/>
      <c r="AK40" s="212" t="s">
        <v>683</v>
      </c>
      <c r="AL40" s="212" t="s">
        <v>683</v>
      </c>
      <c r="AM40" s="213" t="str">
        <f>Table1[[#This Row],[2019 Scope 2 ]]</f>
        <v>#ERROR!</v>
      </c>
      <c r="AN40" s="214" t="str">
        <f t="shared" si="4"/>
        <v>#ERROR!</v>
      </c>
      <c r="AO40" s="219" t="str">
        <f t="shared" si="5"/>
        <v>#ERROR!</v>
      </c>
      <c r="AP40" s="214" t="str">
        <f t="shared" si="6"/>
        <v>#ERROR!</v>
      </c>
      <c r="AQ40" s="219" t="str">
        <f t="shared" si="7"/>
        <v>#ERROR!</v>
      </c>
      <c r="AR40" s="216" t="str">
        <f>Table1[[#This Row],[2019 Scope 3 ]]</f>
        <v>#ERROR!</v>
      </c>
      <c r="AS40" s="217" t="str">
        <f t="shared" si="8"/>
        <v>#ERROR!</v>
      </c>
      <c r="AT40" s="218" t="str">
        <f t="shared" si="9"/>
        <v>#ERROR!</v>
      </c>
      <c r="BI40" s="199">
        <v>5377.0</v>
      </c>
    </row>
    <row r="41" ht="12.75" hidden="1" customHeight="1">
      <c r="A41" s="5">
        <f>companies!A41</f>
        <v>40</v>
      </c>
      <c r="B41" s="199" t="s">
        <v>1254</v>
      </c>
      <c r="C41" s="199" t="s">
        <v>1262</v>
      </c>
      <c r="D41" s="199" t="s">
        <v>1262</v>
      </c>
      <c r="E41" s="199" t="s">
        <v>1262</v>
      </c>
      <c r="F41" s="199" t="s">
        <v>1262</v>
      </c>
      <c r="G41" s="199" t="s">
        <v>1262</v>
      </c>
      <c r="H41" s="199" t="s">
        <v>1262</v>
      </c>
      <c r="I41" s="199" t="s">
        <v>1262</v>
      </c>
      <c r="J41" s="199" t="s">
        <v>1262</v>
      </c>
      <c r="K41" s="199" t="s">
        <v>1262</v>
      </c>
      <c r="L41" s="199" t="s">
        <v>1262</v>
      </c>
      <c r="M41" s="199" t="s">
        <v>1262</v>
      </c>
      <c r="N41" s="199" t="s">
        <v>1262</v>
      </c>
      <c r="O41" s="199" t="s">
        <v>1262</v>
      </c>
      <c r="P41" s="199" t="s">
        <v>1262</v>
      </c>
      <c r="Q41" s="199" t="s">
        <v>1262</v>
      </c>
      <c r="R41" s="199" t="s">
        <v>1262</v>
      </c>
      <c r="S41" s="199" t="s">
        <v>1262</v>
      </c>
      <c r="T41" s="199" t="s">
        <v>1262</v>
      </c>
      <c r="U41" s="199" t="s">
        <v>1262</v>
      </c>
      <c r="V41" s="199" t="s">
        <v>1262</v>
      </c>
      <c r="W41" s="212">
        <f t="shared" si="10"/>
        <v>0</v>
      </c>
      <c r="X41" s="199">
        <v>0.0</v>
      </c>
      <c r="Y41" s="199"/>
      <c r="Z41" s="199"/>
      <c r="AA41" s="199"/>
      <c r="AB41" s="212"/>
      <c r="AC41" s="212"/>
      <c r="AD41" s="212" t="e">
        <v>#N/A</v>
      </c>
      <c r="AE41" s="212" t="e">
        <v>#N/A</v>
      </c>
      <c r="AF41" s="213" t="str">
        <f>Table1[[#This Row],[2019 Scope 1 (MeT Co2)]]</f>
        <v>#ERROR!</v>
      </c>
      <c r="AG41" s="214" t="str">
        <f t="shared" si="2"/>
        <v>#ERROR!</v>
      </c>
      <c r="AH41" s="215" t="str">
        <f t="shared" si="3"/>
        <v>#ERROR!</v>
      </c>
      <c r="AI41" s="209"/>
      <c r="AJ41" s="209"/>
      <c r="AK41" s="212" t="e">
        <v>#N/A</v>
      </c>
      <c r="AL41" s="212" t="e">
        <v>#N/A</v>
      </c>
      <c r="AM41" s="213" t="str">
        <f>Table1[[#This Row],[2019 Scope 2 ]]</f>
        <v>#ERROR!</v>
      </c>
      <c r="AN41" s="214" t="str">
        <f t="shared" si="4"/>
        <v>#ERROR!</v>
      </c>
      <c r="AO41" s="215" t="str">
        <f t="shared" si="5"/>
        <v>#ERROR!</v>
      </c>
      <c r="AP41" s="214" t="str">
        <f t="shared" si="6"/>
        <v>#ERROR!</v>
      </c>
      <c r="AQ41" s="215" t="str">
        <f t="shared" si="7"/>
        <v>#ERROR!</v>
      </c>
      <c r="AR41" s="216" t="str">
        <f>Table1[[#This Row],[2019 Scope 3 ]]</f>
        <v>#ERROR!</v>
      </c>
      <c r="AS41" s="217" t="str">
        <f t="shared" si="8"/>
        <v>#ERROR!</v>
      </c>
      <c r="AT41" s="218" t="str">
        <f t="shared" si="9"/>
        <v>#ERROR!</v>
      </c>
    </row>
    <row r="42" ht="12.75" hidden="1" customHeight="1">
      <c r="A42" s="5">
        <f>companies!A42</f>
        <v>41</v>
      </c>
      <c r="B42" s="199" t="s">
        <v>1254</v>
      </c>
      <c r="C42" s="199">
        <v>9394598.0</v>
      </c>
      <c r="D42" s="199">
        <v>6103307.0</v>
      </c>
      <c r="E42" s="199">
        <v>4913525.0</v>
      </c>
      <c r="F42" s="199" t="s">
        <v>683</v>
      </c>
      <c r="G42" s="199" t="s">
        <v>683</v>
      </c>
      <c r="H42" s="199">
        <v>1.8864278E7</v>
      </c>
      <c r="I42" s="199" t="s">
        <v>683</v>
      </c>
      <c r="J42" s="199">
        <v>63094.0</v>
      </c>
      <c r="K42" s="199">
        <v>28980.0</v>
      </c>
      <c r="L42" s="199" t="s">
        <v>683</v>
      </c>
      <c r="M42" s="212">
        <v>19363.0</v>
      </c>
      <c r="N42" s="212">
        <v>0.0</v>
      </c>
      <c r="O42" s="212">
        <v>0.0</v>
      </c>
      <c r="P42" s="212">
        <v>8.4817268E7</v>
      </c>
      <c r="Q42" s="212">
        <v>0.0</v>
      </c>
      <c r="R42" s="199" t="s">
        <v>683</v>
      </c>
      <c r="S42" s="212">
        <v>0.0</v>
      </c>
      <c r="T42" s="212" t="s">
        <v>683</v>
      </c>
      <c r="U42" s="212">
        <v>0.0</v>
      </c>
      <c r="V42" s="212">
        <v>76320.0</v>
      </c>
      <c r="W42" s="212">
        <f t="shared" si="10"/>
        <v>103869303</v>
      </c>
      <c r="X42" s="199">
        <v>4913525.0</v>
      </c>
      <c r="Y42" s="199">
        <v>1.18177426E8</v>
      </c>
      <c r="Z42" s="199"/>
      <c r="AA42" s="199"/>
      <c r="AB42" s="199"/>
      <c r="AC42" s="199"/>
      <c r="AD42" s="212" t="s">
        <v>683</v>
      </c>
      <c r="AE42" s="212" t="s">
        <v>683</v>
      </c>
      <c r="AF42" s="213" t="str">
        <f>Table1[[#This Row],[2019 Scope 1 (MeT Co2)]]</f>
        <v>#ERROR!</v>
      </c>
      <c r="AG42" s="214" t="str">
        <f t="shared" si="2"/>
        <v>#ERROR!</v>
      </c>
      <c r="AH42" s="215" t="str">
        <f t="shared" si="3"/>
        <v>#ERROR!</v>
      </c>
      <c r="AI42" s="209"/>
      <c r="AJ42" s="209"/>
      <c r="AK42" s="212" t="s">
        <v>683</v>
      </c>
      <c r="AL42" s="212" t="s">
        <v>683</v>
      </c>
      <c r="AM42" s="213" t="str">
        <f>Table1[[#This Row],[2019 Scope 2 ]]</f>
        <v>#ERROR!</v>
      </c>
      <c r="AN42" s="214" t="str">
        <f t="shared" si="4"/>
        <v>#ERROR!</v>
      </c>
      <c r="AO42" s="215" t="str">
        <f t="shared" si="5"/>
        <v>#ERROR!</v>
      </c>
      <c r="AP42" s="214" t="str">
        <f t="shared" si="6"/>
        <v>#ERROR!</v>
      </c>
      <c r="AQ42" s="215" t="str">
        <f t="shared" si="7"/>
        <v>#ERROR!</v>
      </c>
      <c r="AR42" s="216" t="str">
        <f>Table1[[#This Row],[2019 Scope 3 ]]</f>
        <v>#ERROR!</v>
      </c>
      <c r="AS42" s="217" t="str">
        <f t="shared" si="8"/>
        <v>#ERROR!</v>
      </c>
      <c r="AT42" s="218" t="str">
        <f t="shared" si="9"/>
        <v>#ERROR!</v>
      </c>
      <c r="BI42" s="199">
        <v>6113.0</v>
      </c>
    </row>
    <row r="43" ht="12.75" hidden="1" customHeight="1">
      <c r="A43" s="5">
        <f>companies!A43</f>
        <v>42</v>
      </c>
      <c r="B43" s="199" t="s">
        <v>1254</v>
      </c>
      <c r="C43" s="199" t="s">
        <v>1262</v>
      </c>
      <c r="D43" s="199" t="s">
        <v>1262</v>
      </c>
      <c r="E43" s="199" t="s">
        <v>1262</v>
      </c>
      <c r="F43" s="199" t="s">
        <v>1262</v>
      </c>
      <c r="G43" s="199" t="s">
        <v>1262</v>
      </c>
      <c r="H43" s="199" t="s">
        <v>1262</v>
      </c>
      <c r="I43" s="199" t="s">
        <v>1262</v>
      </c>
      <c r="J43" s="199" t="s">
        <v>1262</v>
      </c>
      <c r="K43" s="199" t="s">
        <v>1262</v>
      </c>
      <c r="L43" s="199" t="s">
        <v>1262</v>
      </c>
      <c r="M43" s="199" t="s">
        <v>1262</v>
      </c>
      <c r="N43" s="199" t="s">
        <v>1262</v>
      </c>
      <c r="O43" s="199" t="s">
        <v>1262</v>
      </c>
      <c r="P43" s="199" t="s">
        <v>1262</v>
      </c>
      <c r="Q43" s="199" t="s">
        <v>1262</v>
      </c>
      <c r="R43" s="199" t="s">
        <v>1262</v>
      </c>
      <c r="S43" s="199" t="s">
        <v>1262</v>
      </c>
      <c r="T43" s="199" t="s">
        <v>1262</v>
      </c>
      <c r="U43" s="199" t="s">
        <v>1262</v>
      </c>
      <c r="V43" s="199" t="s">
        <v>1262</v>
      </c>
      <c r="W43" s="212">
        <f t="shared" si="10"/>
        <v>0</v>
      </c>
      <c r="X43" s="199">
        <v>0.0</v>
      </c>
      <c r="Y43" s="199"/>
      <c r="Z43" s="199"/>
      <c r="AA43" s="199"/>
      <c r="AB43" s="212"/>
      <c r="AC43" s="212"/>
      <c r="AD43" s="212" t="e">
        <v>#N/A</v>
      </c>
      <c r="AE43" s="212" t="e">
        <v>#N/A</v>
      </c>
      <c r="AF43" s="213" t="str">
        <f>Table1[[#This Row],[2019 Scope 1 (MeT Co2)]]</f>
        <v>#ERROR!</v>
      </c>
      <c r="AG43" s="214" t="str">
        <f t="shared" si="2"/>
        <v>#ERROR!</v>
      </c>
      <c r="AH43" s="215" t="str">
        <f t="shared" si="3"/>
        <v>#ERROR!</v>
      </c>
      <c r="AI43" s="209"/>
      <c r="AJ43" s="209"/>
      <c r="AK43" s="212" t="e">
        <v>#N/A</v>
      </c>
      <c r="AL43" s="212" t="e">
        <v>#N/A</v>
      </c>
      <c r="AM43" s="213" t="str">
        <f>Table1[[#This Row],[2019 Scope 2 ]]</f>
        <v>#ERROR!</v>
      </c>
      <c r="AN43" s="214" t="str">
        <f t="shared" si="4"/>
        <v>#ERROR!</v>
      </c>
      <c r="AO43" s="215" t="str">
        <f t="shared" si="5"/>
        <v>#ERROR!</v>
      </c>
      <c r="AP43" s="214" t="str">
        <f t="shared" si="6"/>
        <v>#ERROR!</v>
      </c>
      <c r="AQ43" s="215" t="str">
        <f t="shared" si="7"/>
        <v>#ERROR!</v>
      </c>
      <c r="AR43" s="216" t="str">
        <f>Table1[[#This Row],[2019 Scope 3 ]]</f>
        <v>#ERROR!</v>
      </c>
      <c r="AS43" s="217" t="str">
        <f t="shared" si="8"/>
        <v>#ERROR!</v>
      </c>
      <c r="AT43" s="218" t="str">
        <f t="shared" si="9"/>
        <v>#ERROR!</v>
      </c>
    </row>
    <row r="44" ht="12.75" hidden="1" customHeight="1">
      <c r="A44" s="5">
        <f>companies!A44</f>
        <v>43</v>
      </c>
      <c r="B44" s="199" t="s">
        <v>1254</v>
      </c>
      <c r="C44" s="199" t="s">
        <v>1262</v>
      </c>
      <c r="D44" s="199" t="s">
        <v>1262</v>
      </c>
      <c r="E44" s="199" t="s">
        <v>1262</v>
      </c>
      <c r="F44" s="199" t="s">
        <v>1262</v>
      </c>
      <c r="G44" s="199" t="s">
        <v>1262</v>
      </c>
      <c r="H44" s="199" t="s">
        <v>1262</v>
      </c>
      <c r="I44" s="199" t="s">
        <v>1262</v>
      </c>
      <c r="J44" s="199" t="s">
        <v>1262</v>
      </c>
      <c r="K44" s="199" t="s">
        <v>1262</v>
      </c>
      <c r="L44" s="199" t="s">
        <v>1262</v>
      </c>
      <c r="M44" s="199" t="s">
        <v>1262</v>
      </c>
      <c r="N44" s="199" t="s">
        <v>1262</v>
      </c>
      <c r="O44" s="199" t="s">
        <v>1262</v>
      </c>
      <c r="P44" s="199" t="s">
        <v>1262</v>
      </c>
      <c r="Q44" s="199" t="s">
        <v>1262</v>
      </c>
      <c r="R44" s="199" t="s">
        <v>1262</v>
      </c>
      <c r="S44" s="199" t="s">
        <v>1262</v>
      </c>
      <c r="T44" s="199" t="s">
        <v>1262</v>
      </c>
      <c r="U44" s="199" t="s">
        <v>1262</v>
      </c>
      <c r="V44" s="199" t="s">
        <v>1262</v>
      </c>
      <c r="W44" s="212">
        <f t="shared" si="10"/>
        <v>0</v>
      </c>
      <c r="X44" s="199">
        <v>0.0</v>
      </c>
      <c r="Y44" s="199"/>
      <c r="Z44" s="199"/>
      <c r="AA44" s="199"/>
      <c r="AB44" s="212"/>
      <c r="AC44" s="212"/>
      <c r="AD44" s="212" t="e">
        <v>#N/A</v>
      </c>
      <c r="AE44" s="212" t="e">
        <v>#N/A</v>
      </c>
      <c r="AF44" s="213" t="str">
        <f>Table1[[#This Row],[2019 Scope 1 (MeT Co2)]]</f>
        <v>#ERROR!</v>
      </c>
      <c r="AG44" s="214" t="str">
        <f t="shared" si="2"/>
        <v>#ERROR!</v>
      </c>
      <c r="AH44" s="215" t="str">
        <f t="shared" si="3"/>
        <v>#ERROR!</v>
      </c>
      <c r="AI44" s="209"/>
      <c r="AJ44" s="209"/>
      <c r="AK44" s="212" t="e">
        <v>#N/A</v>
      </c>
      <c r="AL44" s="212" t="e">
        <v>#N/A</v>
      </c>
      <c r="AM44" s="213" t="str">
        <f>Table1[[#This Row],[2019 Scope 2 ]]</f>
        <v>#ERROR!</v>
      </c>
      <c r="AN44" s="214" t="str">
        <f t="shared" si="4"/>
        <v>#ERROR!</v>
      </c>
      <c r="AO44" s="215" t="str">
        <f t="shared" si="5"/>
        <v>#ERROR!</v>
      </c>
      <c r="AP44" s="214" t="str">
        <f t="shared" si="6"/>
        <v>#ERROR!</v>
      </c>
      <c r="AQ44" s="215" t="str">
        <f t="shared" si="7"/>
        <v>#ERROR!</v>
      </c>
      <c r="AR44" s="216" t="str">
        <f>Table1[[#This Row],[2019 Scope 3 ]]</f>
        <v>#ERROR!</v>
      </c>
      <c r="AS44" s="217" t="str">
        <f t="shared" si="8"/>
        <v>#ERROR!</v>
      </c>
      <c r="AT44" s="218" t="str">
        <f t="shared" si="9"/>
        <v>#ERROR!</v>
      </c>
    </row>
    <row r="45" ht="12.75" hidden="1" customHeight="1">
      <c r="A45" s="5">
        <f>companies!A45</f>
        <v>44</v>
      </c>
      <c r="B45" s="199" t="s">
        <v>1254</v>
      </c>
      <c r="C45" s="199">
        <v>1.5406173E7</v>
      </c>
      <c r="D45" s="199">
        <v>995988.0</v>
      </c>
      <c r="E45" s="199">
        <v>995988.0</v>
      </c>
      <c r="F45" s="199" t="s">
        <v>683</v>
      </c>
      <c r="G45" s="199" t="s">
        <v>683</v>
      </c>
      <c r="H45" s="199" t="s">
        <v>683</v>
      </c>
      <c r="I45" s="199">
        <v>2817829.0</v>
      </c>
      <c r="J45" s="199" t="s">
        <v>683</v>
      </c>
      <c r="K45" s="199">
        <v>79054.0</v>
      </c>
      <c r="L45" s="199" t="s">
        <v>683</v>
      </c>
      <c r="M45" s="212" t="s">
        <v>683</v>
      </c>
      <c r="N45" s="212" t="s">
        <v>683</v>
      </c>
      <c r="O45" s="212" t="s">
        <v>683</v>
      </c>
      <c r="P45" s="212" t="s">
        <v>683</v>
      </c>
      <c r="Q45" s="212" t="s">
        <v>683</v>
      </c>
      <c r="R45" s="199">
        <v>202410.0</v>
      </c>
      <c r="S45" s="212" t="s">
        <v>683</v>
      </c>
      <c r="T45" s="212" t="s">
        <v>683</v>
      </c>
      <c r="U45" s="212" t="s">
        <v>683</v>
      </c>
      <c r="V45" s="212" t="s">
        <v>683</v>
      </c>
      <c r="W45" s="212">
        <f t="shared" si="10"/>
        <v>3099293</v>
      </c>
      <c r="X45" s="199">
        <v>995988.0</v>
      </c>
      <c r="Y45" s="199">
        <v>1.9501454E7</v>
      </c>
      <c r="Z45" s="199"/>
      <c r="AA45" s="199"/>
      <c r="AB45" s="199"/>
      <c r="AC45" s="199"/>
      <c r="AD45" s="212" t="s">
        <v>683</v>
      </c>
      <c r="AE45" s="212" t="s">
        <v>683</v>
      </c>
      <c r="AF45" s="213" t="str">
        <f>Table1[[#This Row],[2019 Scope 1 (MeT Co2)]]</f>
        <v>#ERROR!</v>
      </c>
      <c r="AG45" s="214" t="str">
        <f t="shared" si="2"/>
        <v>#ERROR!</v>
      </c>
      <c r="AH45" s="215" t="str">
        <f t="shared" si="3"/>
        <v>#ERROR!</v>
      </c>
      <c r="AI45" s="209"/>
      <c r="AJ45" s="209"/>
      <c r="AK45" s="212" t="s">
        <v>683</v>
      </c>
      <c r="AL45" s="212" t="s">
        <v>683</v>
      </c>
      <c r="AM45" s="213" t="str">
        <f>Table1[[#This Row],[2019 Scope 2 ]]</f>
        <v>#ERROR!</v>
      </c>
      <c r="AN45" s="214" t="str">
        <f t="shared" si="4"/>
        <v>#ERROR!</v>
      </c>
      <c r="AO45" s="215" t="str">
        <f t="shared" si="5"/>
        <v>#ERROR!</v>
      </c>
      <c r="AP45" s="214" t="str">
        <f t="shared" si="6"/>
        <v>#ERROR!</v>
      </c>
      <c r="AQ45" s="215" t="str">
        <f t="shared" si="7"/>
        <v>#ERROR!</v>
      </c>
      <c r="AR45" s="216" t="str">
        <f>Table1[[#This Row],[2019 Scope 3 ]]</f>
        <v>#ERROR!</v>
      </c>
      <c r="AS45" s="217" t="str">
        <f t="shared" si="8"/>
        <v>#ERROR!</v>
      </c>
      <c r="AT45" s="218" t="str">
        <f t="shared" si="9"/>
        <v>#ERROR!</v>
      </c>
      <c r="BI45" s="4">
        <v>6287.0</v>
      </c>
    </row>
    <row r="46" ht="12.75" hidden="1" customHeight="1">
      <c r="A46" s="5">
        <f>companies!A46</f>
        <v>45</v>
      </c>
      <c r="B46" s="199" t="s">
        <v>1254</v>
      </c>
      <c r="C46" s="199">
        <v>1451947.0</v>
      </c>
      <c r="D46" s="199">
        <v>3195704.0</v>
      </c>
      <c r="E46" s="199">
        <v>3068182.0</v>
      </c>
      <c r="F46" s="199">
        <v>3.9676648E7</v>
      </c>
      <c r="G46" s="199">
        <v>1280384.0</v>
      </c>
      <c r="H46" s="199">
        <v>1066000.0</v>
      </c>
      <c r="I46" s="199">
        <v>2102900.0</v>
      </c>
      <c r="J46" s="199">
        <v>9297.0</v>
      </c>
      <c r="K46" s="199">
        <v>61306.0</v>
      </c>
      <c r="L46" s="199">
        <v>803387.0</v>
      </c>
      <c r="M46" s="212" t="s">
        <v>683</v>
      </c>
      <c r="N46" s="212" t="s">
        <v>683</v>
      </c>
      <c r="O46" s="212" t="s">
        <v>683</v>
      </c>
      <c r="P46" s="212">
        <v>1.3476E8</v>
      </c>
      <c r="Q46" s="212">
        <v>1360000.0</v>
      </c>
      <c r="R46" s="199" t="s">
        <v>683</v>
      </c>
      <c r="S46" s="212">
        <v>1957800.0</v>
      </c>
      <c r="T46" s="212" t="s">
        <v>683</v>
      </c>
      <c r="U46" s="212" t="s">
        <v>683</v>
      </c>
      <c r="V46" s="212" t="s">
        <v>683</v>
      </c>
      <c r="W46" s="212">
        <f t="shared" si="10"/>
        <v>183077722</v>
      </c>
      <c r="X46" s="199">
        <v>3068182.0</v>
      </c>
      <c r="Y46" s="199">
        <v>1.87597851E8</v>
      </c>
      <c r="Z46" s="199"/>
      <c r="AA46" s="199"/>
      <c r="AB46" s="199"/>
      <c r="AC46" s="199"/>
      <c r="AD46" s="212" t="s">
        <v>683</v>
      </c>
      <c r="AE46" s="212" t="s">
        <v>683</v>
      </c>
      <c r="AF46" s="213" t="str">
        <f>Table1[[#This Row],[2019 Scope 1 (MeT Co2)]]</f>
        <v>#ERROR!</v>
      </c>
      <c r="AG46" s="214" t="str">
        <f t="shared" si="2"/>
        <v>#ERROR!</v>
      </c>
      <c r="AH46" s="215" t="str">
        <f t="shared" si="3"/>
        <v>#ERROR!</v>
      </c>
      <c r="AI46" s="209"/>
      <c r="AJ46" s="209"/>
      <c r="AK46" s="212" t="s">
        <v>683</v>
      </c>
      <c r="AL46" s="212" t="s">
        <v>683</v>
      </c>
      <c r="AM46" s="213" t="str">
        <f>Table1[[#This Row],[2019 Scope 2 ]]</f>
        <v>#ERROR!</v>
      </c>
      <c r="AN46" s="214" t="str">
        <f t="shared" si="4"/>
        <v>#ERROR!</v>
      </c>
      <c r="AO46" s="215" t="str">
        <f t="shared" si="5"/>
        <v>#ERROR!</v>
      </c>
      <c r="AP46" s="214" t="str">
        <f t="shared" si="6"/>
        <v>#ERROR!</v>
      </c>
      <c r="AQ46" s="215" t="str">
        <f t="shared" si="7"/>
        <v>#ERROR!</v>
      </c>
      <c r="AR46" s="216" t="str">
        <f>Table1[[#This Row],[2019 Scope 3 ]]</f>
        <v>#ERROR!</v>
      </c>
      <c r="AS46" s="217" t="str">
        <f t="shared" si="8"/>
        <v>#ERROR!</v>
      </c>
      <c r="AT46" s="218" t="str">
        <f t="shared" si="9"/>
        <v>#ERROR!</v>
      </c>
      <c r="BI46" s="4">
        <v>6595.0</v>
      </c>
    </row>
    <row r="47" ht="12.75" hidden="1" customHeight="1">
      <c r="A47" s="5">
        <f>companies!A47</f>
        <v>46</v>
      </c>
      <c r="B47" s="199" t="s">
        <v>1254</v>
      </c>
      <c r="C47" s="199">
        <v>317081.0</v>
      </c>
      <c r="D47" s="199" t="s">
        <v>683</v>
      </c>
      <c r="E47" s="199">
        <v>445119.0</v>
      </c>
      <c r="F47" s="199" t="s">
        <v>683</v>
      </c>
      <c r="G47" s="199" t="s">
        <v>683</v>
      </c>
      <c r="H47" s="199" t="s">
        <v>683</v>
      </c>
      <c r="I47" s="199" t="s">
        <v>683</v>
      </c>
      <c r="J47" s="199" t="s">
        <v>683</v>
      </c>
      <c r="K47" s="199" t="s">
        <v>683</v>
      </c>
      <c r="L47" s="199" t="s">
        <v>683</v>
      </c>
      <c r="M47" s="212" t="s">
        <v>683</v>
      </c>
      <c r="N47" s="212" t="s">
        <v>683</v>
      </c>
      <c r="O47" s="212" t="s">
        <v>683</v>
      </c>
      <c r="P47" s="212" t="s">
        <v>683</v>
      </c>
      <c r="Q47" s="212" t="s">
        <v>683</v>
      </c>
      <c r="R47" s="199" t="s">
        <v>683</v>
      </c>
      <c r="S47" s="212" t="s">
        <v>683</v>
      </c>
      <c r="T47" s="212" t="s">
        <v>683</v>
      </c>
      <c r="U47" s="212" t="s">
        <v>683</v>
      </c>
      <c r="V47" s="212" t="s">
        <v>683</v>
      </c>
      <c r="W47" s="212">
        <f t="shared" si="10"/>
        <v>0</v>
      </c>
      <c r="X47" s="199">
        <v>445119.0</v>
      </c>
      <c r="Y47" s="199">
        <v>762200.0</v>
      </c>
      <c r="Z47" s="199"/>
      <c r="AA47" s="199"/>
      <c r="AB47" s="199"/>
      <c r="AC47" s="199"/>
      <c r="AD47" s="212" t="s">
        <v>1255</v>
      </c>
      <c r="AE47" s="212" t="s">
        <v>1256</v>
      </c>
      <c r="AF47" s="213" t="str">
        <f>Table1[[#This Row],[2019 Scope 1 (MeT Co2)]]</f>
        <v>#ERROR!</v>
      </c>
      <c r="AG47" s="214" t="str">
        <f t="shared" si="2"/>
        <v>#ERROR!</v>
      </c>
      <c r="AH47" s="215" t="str">
        <f t="shared" si="3"/>
        <v>#ERROR!</v>
      </c>
      <c r="AI47" s="209"/>
      <c r="AJ47" s="209"/>
      <c r="AK47" s="212" t="s">
        <v>1255</v>
      </c>
      <c r="AL47" s="212" t="s">
        <v>1256</v>
      </c>
      <c r="AM47" s="213" t="str">
        <f>Table1[[#This Row],[2019 Scope 2 ]]</f>
        <v>#ERROR!</v>
      </c>
      <c r="AN47" s="214" t="str">
        <f t="shared" si="4"/>
        <v>#ERROR!</v>
      </c>
      <c r="AO47" s="215" t="str">
        <f t="shared" si="5"/>
        <v>#ERROR!</v>
      </c>
      <c r="AP47" s="214" t="str">
        <f t="shared" si="6"/>
        <v>#ERROR!</v>
      </c>
      <c r="AQ47" s="215" t="str">
        <f t="shared" si="7"/>
        <v>#ERROR!</v>
      </c>
      <c r="AR47" s="216" t="str">
        <f>Table1[[#This Row],[2019 Scope 3 ]]</f>
        <v>#ERROR!</v>
      </c>
      <c r="AS47" s="217" t="str">
        <f t="shared" si="8"/>
        <v>#ERROR!</v>
      </c>
      <c r="AT47" s="218" t="str">
        <f t="shared" si="9"/>
        <v>#ERROR!</v>
      </c>
      <c r="BI47" s="4">
        <v>7147.0</v>
      </c>
    </row>
    <row r="48" ht="12.75" hidden="1" customHeight="1">
      <c r="A48" s="5">
        <f>companies!A48</f>
        <v>47</v>
      </c>
      <c r="B48" s="199" t="s">
        <v>1254</v>
      </c>
      <c r="C48" s="199">
        <v>997409.519</v>
      </c>
      <c r="D48" s="199">
        <v>1416578.884</v>
      </c>
      <c r="E48" s="199">
        <v>1387615.018</v>
      </c>
      <c r="F48" s="199" t="s">
        <v>683</v>
      </c>
      <c r="G48" s="199" t="s">
        <v>683</v>
      </c>
      <c r="H48" s="199" t="s">
        <v>683</v>
      </c>
      <c r="I48" s="199" t="s">
        <v>683</v>
      </c>
      <c r="J48" s="199" t="s">
        <v>683</v>
      </c>
      <c r="K48" s="199">
        <v>183639.078</v>
      </c>
      <c r="L48" s="199" t="s">
        <v>683</v>
      </c>
      <c r="M48" s="212" t="s">
        <v>683</v>
      </c>
      <c r="N48" s="212" t="s">
        <v>683</v>
      </c>
      <c r="O48" s="212" t="s">
        <v>683</v>
      </c>
      <c r="P48" s="212" t="s">
        <v>683</v>
      </c>
      <c r="Q48" s="212" t="s">
        <v>683</v>
      </c>
      <c r="R48" s="199" t="s">
        <v>683</v>
      </c>
      <c r="S48" s="212" t="s">
        <v>683</v>
      </c>
      <c r="T48" s="212">
        <v>682075.0</v>
      </c>
      <c r="U48" s="212" t="s">
        <v>683</v>
      </c>
      <c r="V48" s="212" t="s">
        <v>683</v>
      </c>
      <c r="W48" s="212">
        <f t="shared" si="10"/>
        <v>865714.078</v>
      </c>
      <c r="X48" s="199">
        <v>1387615.018</v>
      </c>
      <c r="Y48" s="199">
        <v>3250738.615</v>
      </c>
      <c r="Z48" s="199"/>
      <c r="AA48" s="199"/>
      <c r="AB48" s="212"/>
      <c r="AC48" s="212"/>
      <c r="AD48" s="212" t="s">
        <v>683</v>
      </c>
      <c r="AE48" s="212" t="s">
        <v>683</v>
      </c>
      <c r="AF48" s="213" t="str">
        <f>Table1[[#This Row],[2019 Scope 1 (MeT Co2)]]</f>
        <v>#ERROR!</v>
      </c>
      <c r="AG48" s="214" t="str">
        <f t="shared" si="2"/>
        <v>#ERROR!</v>
      </c>
      <c r="AH48" s="215" t="str">
        <f t="shared" si="3"/>
        <v>#ERROR!</v>
      </c>
      <c r="AI48" s="209"/>
      <c r="AJ48" s="209"/>
      <c r="AK48" s="212" t="s">
        <v>683</v>
      </c>
      <c r="AL48" s="212" t="s">
        <v>683</v>
      </c>
      <c r="AM48" s="213" t="str">
        <f>Table1[[#This Row],[2019 Scope 2 ]]</f>
        <v>#ERROR!</v>
      </c>
      <c r="AN48" s="214" t="str">
        <f t="shared" si="4"/>
        <v>#ERROR!</v>
      </c>
      <c r="AO48" s="215" t="str">
        <f t="shared" si="5"/>
        <v>#ERROR!</v>
      </c>
      <c r="AP48" s="214" t="str">
        <f t="shared" si="6"/>
        <v>#ERROR!</v>
      </c>
      <c r="AQ48" s="215" t="str">
        <f t="shared" si="7"/>
        <v>#ERROR!</v>
      </c>
      <c r="AR48" s="216" t="str">
        <f>Table1[[#This Row],[2019 Scope 3 ]]</f>
        <v>#ERROR!</v>
      </c>
      <c r="AS48" s="217" t="str">
        <f t="shared" si="8"/>
        <v>#ERROR!</v>
      </c>
      <c r="AT48" s="218" t="str">
        <f t="shared" si="9"/>
        <v>#ERROR!</v>
      </c>
      <c r="BI48" s="199">
        <v>7166.0</v>
      </c>
    </row>
    <row r="49" ht="12.75" hidden="1" customHeight="1">
      <c r="A49" s="5">
        <f>companies!A49</f>
        <v>48</v>
      </c>
      <c r="B49" s="199" t="s">
        <v>1254</v>
      </c>
      <c r="C49" s="199">
        <v>1589700.0</v>
      </c>
      <c r="D49" s="199">
        <v>4381970.0</v>
      </c>
      <c r="E49" s="199">
        <v>3721875.0</v>
      </c>
      <c r="F49" s="199">
        <v>4.5505504E7</v>
      </c>
      <c r="G49" s="199">
        <v>4597425.0</v>
      </c>
      <c r="H49" s="199">
        <v>322403.0</v>
      </c>
      <c r="I49" s="199">
        <v>3449729.0</v>
      </c>
      <c r="J49" s="199">
        <v>954.0</v>
      </c>
      <c r="K49" s="199">
        <v>40051.0</v>
      </c>
      <c r="L49" s="199">
        <v>123000.0</v>
      </c>
      <c r="M49" s="212">
        <v>10077.0</v>
      </c>
      <c r="N49" s="212">
        <v>1922037.0</v>
      </c>
      <c r="O49" s="212">
        <v>120731.0</v>
      </c>
      <c r="P49" s="212">
        <v>1.90123729E8</v>
      </c>
      <c r="Q49" s="212">
        <v>2938656.0</v>
      </c>
      <c r="R49" s="199">
        <v>20459.0</v>
      </c>
      <c r="S49" s="212">
        <v>138641.0</v>
      </c>
      <c r="T49" s="212" t="s">
        <v>683</v>
      </c>
      <c r="U49" s="212" t="s">
        <v>683</v>
      </c>
      <c r="V49" s="212" t="s">
        <v>683</v>
      </c>
      <c r="W49" s="212">
        <f t="shared" si="10"/>
        <v>249313396</v>
      </c>
      <c r="X49" s="199">
        <v>3721875.0</v>
      </c>
      <c r="Y49" s="199">
        <v>2.54624971E8</v>
      </c>
      <c r="Z49" s="199"/>
      <c r="AA49" s="199"/>
      <c r="AB49" s="199"/>
      <c r="AC49" s="199"/>
      <c r="AD49" s="212" t="s">
        <v>683</v>
      </c>
      <c r="AE49" s="212" t="s">
        <v>683</v>
      </c>
      <c r="AF49" s="213" t="str">
        <f>Table1[[#This Row],[2019 Scope 1 (MeT Co2)]]</f>
        <v>#ERROR!</v>
      </c>
      <c r="AG49" s="214" t="str">
        <f t="shared" si="2"/>
        <v>#ERROR!</v>
      </c>
      <c r="AH49" s="215" t="str">
        <f t="shared" si="3"/>
        <v>#ERROR!</v>
      </c>
      <c r="AI49" s="209"/>
      <c r="AJ49" s="209"/>
      <c r="AK49" s="212" t="s">
        <v>683</v>
      </c>
      <c r="AL49" s="212" t="s">
        <v>683</v>
      </c>
      <c r="AM49" s="213" t="str">
        <f>Table1[[#This Row],[2019 Scope 2 ]]</f>
        <v>#ERROR!</v>
      </c>
      <c r="AN49" s="214" t="str">
        <f t="shared" si="4"/>
        <v>#ERROR!</v>
      </c>
      <c r="AO49" s="215" t="str">
        <f t="shared" si="5"/>
        <v>#ERROR!</v>
      </c>
      <c r="AP49" s="214" t="str">
        <f t="shared" si="6"/>
        <v>#ERROR!</v>
      </c>
      <c r="AQ49" s="215" t="str">
        <f t="shared" si="7"/>
        <v>#ERROR!</v>
      </c>
      <c r="AR49" s="216" t="str">
        <f>Table1[[#This Row],[2019 Scope 3 ]]</f>
        <v>#ERROR!</v>
      </c>
      <c r="AS49" s="217" t="str">
        <f t="shared" si="8"/>
        <v>#ERROR!</v>
      </c>
      <c r="AT49" s="218" t="str">
        <f t="shared" si="9"/>
        <v>#ERROR!</v>
      </c>
      <c r="BI49" s="4">
        <v>7164.0</v>
      </c>
    </row>
    <row r="50" ht="12.75" hidden="1" customHeight="1">
      <c r="A50" s="5">
        <f>companies!A50</f>
        <v>49</v>
      </c>
      <c r="B50" s="199" t="s">
        <v>1254</v>
      </c>
      <c r="C50" s="199">
        <v>52019.0</v>
      </c>
      <c r="D50" s="199">
        <v>42546.0</v>
      </c>
      <c r="E50" s="199">
        <v>21716.0</v>
      </c>
      <c r="F50" s="199">
        <v>1229479.0</v>
      </c>
      <c r="G50" s="199">
        <v>95700.0</v>
      </c>
      <c r="H50" s="199">
        <v>25250.0</v>
      </c>
      <c r="I50" s="199">
        <v>17003.0</v>
      </c>
      <c r="J50" s="199">
        <v>4810.0</v>
      </c>
      <c r="K50" s="199">
        <v>40399.0</v>
      </c>
      <c r="L50" s="199">
        <v>23656.0</v>
      </c>
      <c r="M50" s="212" t="s">
        <v>683</v>
      </c>
      <c r="N50" s="212" t="s">
        <v>683</v>
      </c>
      <c r="O50" s="212" t="s">
        <v>683</v>
      </c>
      <c r="P50" s="212" t="s">
        <v>683</v>
      </c>
      <c r="Q50" s="212" t="s">
        <v>683</v>
      </c>
      <c r="R50" s="199" t="s">
        <v>683</v>
      </c>
      <c r="S50" s="212" t="s">
        <v>683</v>
      </c>
      <c r="T50" s="212" t="s">
        <v>683</v>
      </c>
      <c r="U50" s="212" t="s">
        <v>683</v>
      </c>
      <c r="V50" s="212" t="s">
        <v>683</v>
      </c>
      <c r="W50" s="212">
        <f t="shared" si="10"/>
        <v>1436297</v>
      </c>
      <c r="X50" s="199">
        <v>21716.0</v>
      </c>
      <c r="Y50" s="199">
        <v>1510032.0</v>
      </c>
      <c r="Z50" s="199"/>
      <c r="AA50" s="199"/>
      <c r="AB50" s="199"/>
      <c r="AC50" s="199"/>
      <c r="AD50" s="212" t="s">
        <v>683</v>
      </c>
      <c r="AE50" s="212" t="s">
        <v>683</v>
      </c>
      <c r="AF50" s="213" t="str">
        <f>Table1[[#This Row],[2019 Scope 1 (MeT Co2)]]</f>
        <v>#ERROR!</v>
      </c>
      <c r="AG50" s="214" t="str">
        <f t="shared" si="2"/>
        <v>#ERROR!</v>
      </c>
      <c r="AH50" s="215" t="str">
        <f t="shared" si="3"/>
        <v>#ERROR!</v>
      </c>
      <c r="AI50" s="209"/>
      <c r="AJ50" s="209"/>
      <c r="AK50" s="212" t="s">
        <v>683</v>
      </c>
      <c r="AL50" s="212" t="s">
        <v>683</v>
      </c>
      <c r="AM50" s="213" t="str">
        <f>Table1[[#This Row],[2019 Scope 2 ]]</f>
        <v>#ERROR!</v>
      </c>
      <c r="AN50" s="214" t="str">
        <f t="shared" si="4"/>
        <v>#ERROR!</v>
      </c>
      <c r="AO50" s="215" t="str">
        <f t="shared" si="5"/>
        <v>#ERROR!</v>
      </c>
      <c r="AP50" s="214" t="str">
        <f t="shared" si="6"/>
        <v>#ERROR!</v>
      </c>
      <c r="AQ50" s="215" t="str">
        <f t="shared" si="7"/>
        <v>#ERROR!</v>
      </c>
      <c r="AR50" s="216" t="str">
        <f>Table1[[#This Row],[2019 Scope 3 ]]</f>
        <v>#ERROR!</v>
      </c>
      <c r="AS50" s="217" t="str">
        <f t="shared" si="8"/>
        <v>#ERROR!</v>
      </c>
      <c r="AT50" s="218" t="str">
        <f t="shared" si="9"/>
        <v>#ERROR!</v>
      </c>
      <c r="BI50" s="4">
        <v>7345.0</v>
      </c>
    </row>
    <row r="51" ht="12.75" hidden="1" customHeight="1">
      <c r="A51" s="5">
        <f>companies!A51</f>
        <v>50</v>
      </c>
      <c r="B51" s="199" t="s">
        <v>1254</v>
      </c>
      <c r="C51" s="199">
        <v>12673.0</v>
      </c>
      <c r="D51" s="199">
        <v>166249.0</v>
      </c>
      <c r="E51" s="199">
        <v>9109.0</v>
      </c>
      <c r="F51" s="199">
        <v>1125000.0</v>
      </c>
      <c r="G51" s="199" t="s">
        <v>683</v>
      </c>
      <c r="H51" s="199">
        <v>40000.0</v>
      </c>
      <c r="I51" s="199" t="s">
        <v>683</v>
      </c>
      <c r="J51" s="199">
        <v>291.0</v>
      </c>
      <c r="K51" s="199">
        <v>135473.0</v>
      </c>
      <c r="L51" s="199">
        <v>91000.0</v>
      </c>
      <c r="M51" s="212" t="s">
        <v>683</v>
      </c>
      <c r="N51" s="212" t="s">
        <v>683</v>
      </c>
      <c r="O51" s="212" t="s">
        <v>683</v>
      </c>
      <c r="P51" s="212" t="s">
        <v>683</v>
      </c>
      <c r="Q51" s="212" t="s">
        <v>683</v>
      </c>
      <c r="R51" s="199">
        <v>12700.0</v>
      </c>
      <c r="S51" s="212" t="s">
        <v>683</v>
      </c>
      <c r="T51" s="212" t="s">
        <v>683</v>
      </c>
      <c r="U51" s="212" t="s">
        <v>683</v>
      </c>
      <c r="V51" s="212" t="s">
        <v>683</v>
      </c>
      <c r="W51" s="212">
        <f t="shared" si="10"/>
        <v>1404464</v>
      </c>
      <c r="X51" s="199">
        <v>9109.0</v>
      </c>
      <c r="Y51" s="199">
        <v>1426246.0</v>
      </c>
      <c r="Z51" s="199"/>
      <c r="AA51" s="199"/>
      <c r="AB51" s="199"/>
      <c r="AC51" s="199"/>
      <c r="AD51" s="212" t="s">
        <v>683</v>
      </c>
      <c r="AE51" s="212" t="s">
        <v>683</v>
      </c>
      <c r="AF51" s="213" t="str">
        <f>Table1[[#This Row],[2019 Scope 1 (MeT Co2)]]</f>
        <v>#ERROR!</v>
      </c>
      <c r="AG51" s="214" t="str">
        <f t="shared" si="2"/>
        <v>#ERROR!</v>
      </c>
      <c r="AH51" s="215" t="str">
        <f t="shared" si="3"/>
        <v>#ERROR!</v>
      </c>
      <c r="AI51" s="209"/>
      <c r="AJ51" s="209"/>
      <c r="AK51" s="212" t="s">
        <v>683</v>
      </c>
      <c r="AL51" s="212" t="s">
        <v>683</v>
      </c>
      <c r="AM51" s="213" t="str">
        <f>Table1[[#This Row],[2019 Scope 2 ]]</f>
        <v>#ERROR!</v>
      </c>
      <c r="AN51" s="214" t="str">
        <f t="shared" si="4"/>
        <v>#ERROR!</v>
      </c>
      <c r="AO51" s="215" t="str">
        <f t="shared" si="5"/>
        <v>#ERROR!</v>
      </c>
      <c r="AP51" s="214" t="str">
        <f t="shared" si="6"/>
        <v>#ERROR!</v>
      </c>
      <c r="AQ51" s="215" t="str">
        <f t="shared" si="7"/>
        <v>#ERROR!</v>
      </c>
      <c r="AR51" s="216" t="str">
        <f>Table1[[#This Row],[2019 Scope 3 ]]</f>
        <v>#ERROR!</v>
      </c>
      <c r="AS51" s="217" t="str">
        <f t="shared" si="8"/>
        <v>#ERROR!</v>
      </c>
      <c r="AT51" s="218" t="str">
        <f t="shared" si="9"/>
        <v>#ERROR!</v>
      </c>
      <c r="BI51" s="4">
        <v>7599.0</v>
      </c>
    </row>
    <row r="52" ht="12.75" hidden="1" customHeight="1">
      <c r="A52" s="5">
        <f>companies!A52</f>
        <v>51</v>
      </c>
      <c r="B52" s="199" t="s">
        <v>1254</v>
      </c>
      <c r="C52" s="199">
        <v>554317.0</v>
      </c>
      <c r="D52" s="199">
        <v>1393916.0</v>
      </c>
      <c r="E52" s="199">
        <v>1302648.0</v>
      </c>
      <c r="F52" s="199">
        <v>4.4487507E7</v>
      </c>
      <c r="G52" s="199" t="s">
        <v>683</v>
      </c>
      <c r="H52" s="199">
        <v>420000.0</v>
      </c>
      <c r="I52" s="199">
        <v>2665080.0</v>
      </c>
      <c r="J52" s="199" t="s">
        <v>683</v>
      </c>
      <c r="K52" s="199" t="s">
        <v>683</v>
      </c>
      <c r="L52" s="199">
        <v>564400.0</v>
      </c>
      <c r="M52" s="212" t="s">
        <v>683</v>
      </c>
      <c r="N52" s="212" t="s">
        <v>683</v>
      </c>
      <c r="O52" s="212" t="s">
        <v>683</v>
      </c>
      <c r="P52" s="212">
        <v>1.56500611E8</v>
      </c>
      <c r="Q52" s="212" t="s">
        <v>683</v>
      </c>
      <c r="R52" s="199" t="s">
        <v>683</v>
      </c>
      <c r="S52" s="212" t="s">
        <v>683</v>
      </c>
      <c r="T52" s="212" t="s">
        <v>683</v>
      </c>
      <c r="U52" s="212" t="s">
        <v>683</v>
      </c>
      <c r="V52" s="212" t="s">
        <v>683</v>
      </c>
      <c r="W52" s="212">
        <f t="shared" si="10"/>
        <v>204637598</v>
      </c>
      <c r="X52" s="199">
        <v>1302648.0</v>
      </c>
      <c r="Y52" s="199">
        <v>2.06494563E8</v>
      </c>
      <c r="Z52" s="199"/>
      <c r="AA52" s="199"/>
      <c r="AB52" s="199"/>
      <c r="AC52" s="199"/>
      <c r="AD52" s="212" t="s">
        <v>683</v>
      </c>
      <c r="AE52" s="212" t="s">
        <v>683</v>
      </c>
      <c r="AF52" s="213" t="str">
        <f>Table1[[#This Row],[2019 Scope 1 (MeT Co2)]]</f>
        <v>#ERROR!</v>
      </c>
      <c r="AG52" s="214" t="str">
        <f t="shared" si="2"/>
        <v>#ERROR!</v>
      </c>
      <c r="AH52" s="215" t="str">
        <f t="shared" si="3"/>
        <v>#ERROR!</v>
      </c>
      <c r="AI52" s="209"/>
      <c r="AJ52" s="209"/>
      <c r="AK52" s="212" t="s">
        <v>683</v>
      </c>
      <c r="AL52" s="212" t="s">
        <v>683</v>
      </c>
      <c r="AM52" s="213" t="str">
        <f>Table1[[#This Row],[2019 Scope 2 ]]</f>
        <v>#ERROR!</v>
      </c>
      <c r="AN52" s="214" t="str">
        <f t="shared" si="4"/>
        <v>#ERROR!</v>
      </c>
      <c r="AO52" s="215" t="str">
        <f t="shared" si="5"/>
        <v>#ERROR!</v>
      </c>
      <c r="AP52" s="214" t="str">
        <f t="shared" si="6"/>
        <v>#ERROR!</v>
      </c>
      <c r="AQ52" s="215" t="str">
        <f t="shared" si="7"/>
        <v>#ERROR!</v>
      </c>
      <c r="AR52" s="216" t="str">
        <f>Table1[[#This Row],[2019 Scope 3 ]]</f>
        <v>#ERROR!</v>
      </c>
      <c r="AS52" s="217" t="str">
        <f t="shared" si="8"/>
        <v>#ERROR!</v>
      </c>
      <c r="AT52" s="218" t="str">
        <f t="shared" si="9"/>
        <v>#ERROR!</v>
      </c>
      <c r="BI52" s="4">
        <v>8526.0</v>
      </c>
    </row>
    <row r="53" ht="12.75" hidden="1" customHeight="1">
      <c r="A53" s="5">
        <f>companies!A53</f>
        <v>52</v>
      </c>
      <c r="B53" s="199" t="s">
        <v>1254</v>
      </c>
      <c r="C53" s="199">
        <v>1090649.0</v>
      </c>
      <c r="D53" s="199">
        <v>951982.0</v>
      </c>
      <c r="E53" s="199">
        <v>933484.0</v>
      </c>
      <c r="F53" s="199">
        <v>1.6976983E7</v>
      </c>
      <c r="G53" s="199">
        <v>518408.0</v>
      </c>
      <c r="H53" s="199">
        <v>306478.0</v>
      </c>
      <c r="I53" s="199" t="s">
        <v>683</v>
      </c>
      <c r="J53" s="199" t="s">
        <v>683</v>
      </c>
      <c r="K53" s="199">
        <v>163207.0</v>
      </c>
      <c r="L53" s="199">
        <v>104444.0</v>
      </c>
      <c r="M53" s="212" t="s">
        <v>683</v>
      </c>
      <c r="N53" s="212" t="s">
        <v>683</v>
      </c>
      <c r="O53" s="212" t="s">
        <v>683</v>
      </c>
      <c r="P53" s="212" t="s">
        <v>683</v>
      </c>
      <c r="Q53" s="212" t="s">
        <v>683</v>
      </c>
      <c r="R53" s="199">
        <v>17530.0</v>
      </c>
      <c r="S53" s="212" t="s">
        <v>683</v>
      </c>
      <c r="T53" s="212" t="s">
        <v>683</v>
      </c>
      <c r="U53" s="212" t="s">
        <v>683</v>
      </c>
      <c r="V53" s="212" t="s">
        <v>683</v>
      </c>
      <c r="W53" s="212">
        <f t="shared" si="10"/>
        <v>18087050</v>
      </c>
      <c r="X53" s="199">
        <v>933484.0</v>
      </c>
      <c r="Y53" s="199">
        <v>2.0111183E7</v>
      </c>
      <c r="Z53" s="199"/>
      <c r="AA53" s="199"/>
      <c r="AB53" s="199"/>
      <c r="AC53" s="199"/>
      <c r="AD53" s="212" t="s">
        <v>683</v>
      </c>
      <c r="AE53" s="212" t="s">
        <v>683</v>
      </c>
      <c r="AF53" s="213" t="str">
        <f>Table1[[#This Row],[2019 Scope 1 (MeT Co2)]]</f>
        <v>#ERROR!</v>
      </c>
      <c r="AG53" s="214" t="str">
        <f t="shared" si="2"/>
        <v>#ERROR!</v>
      </c>
      <c r="AH53" s="215" t="str">
        <f t="shared" si="3"/>
        <v>#ERROR!</v>
      </c>
      <c r="AI53" s="209"/>
      <c r="AJ53" s="209"/>
      <c r="AK53" s="212" t="s">
        <v>683</v>
      </c>
      <c r="AL53" s="212" t="s">
        <v>683</v>
      </c>
      <c r="AM53" s="213" t="str">
        <f>Table1[[#This Row],[2019 Scope 2 ]]</f>
        <v>#ERROR!</v>
      </c>
      <c r="AN53" s="214" t="str">
        <f t="shared" si="4"/>
        <v>#ERROR!</v>
      </c>
      <c r="AO53" s="215" t="str">
        <f t="shared" si="5"/>
        <v>#ERROR!</v>
      </c>
      <c r="AP53" s="214" t="str">
        <f t="shared" si="6"/>
        <v>#ERROR!</v>
      </c>
      <c r="AQ53" s="215" t="str">
        <f t="shared" si="7"/>
        <v>#ERROR!</v>
      </c>
      <c r="AR53" s="216" t="str">
        <f>Table1[[#This Row],[2019 Scope 3 ]]</f>
        <v>#ERROR!</v>
      </c>
      <c r="AS53" s="217" t="str">
        <f t="shared" si="8"/>
        <v>#ERROR!</v>
      </c>
      <c r="AT53" s="218" t="str">
        <f t="shared" si="9"/>
        <v>#ERROR!</v>
      </c>
      <c r="BI53" s="4">
        <v>8553.0</v>
      </c>
    </row>
    <row r="54" ht="12.75" hidden="1" customHeight="1">
      <c r="A54" s="5">
        <f>companies!A54</f>
        <v>53</v>
      </c>
      <c r="B54" s="199" t="s">
        <v>1254</v>
      </c>
      <c r="C54" s="199">
        <v>117723.0</v>
      </c>
      <c r="D54" s="199">
        <v>987066.0</v>
      </c>
      <c r="E54" s="199">
        <v>827369.0</v>
      </c>
      <c r="F54" s="199">
        <v>318989.0</v>
      </c>
      <c r="G54" s="199" t="s">
        <v>683</v>
      </c>
      <c r="H54" s="199" t="s">
        <v>683</v>
      </c>
      <c r="I54" s="199" t="s">
        <v>683</v>
      </c>
      <c r="J54" s="199" t="s">
        <v>683</v>
      </c>
      <c r="K54" s="199">
        <v>393448.0</v>
      </c>
      <c r="L54" s="199">
        <v>119404.0</v>
      </c>
      <c r="M54" s="212">
        <v>39505.0</v>
      </c>
      <c r="N54" s="212" t="s">
        <v>683</v>
      </c>
      <c r="O54" s="212" t="s">
        <v>683</v>
      </c>
      <c r="P54" s="212">
        <v>287068.0</v>
      </c>
      <c r="Q54" s="212" t="s">
        <v>683</v>
      </c>
      <c r="R54" s="199" t="s">
        <v>683</v>
      </c>
      <c r="S54" s="212" t="s">
        <v>683</v>
      </c>
      <c r="T54" s="212" t="s">
        <v>683</v>
      </c>
      <c r="U54" s="212" t="s">
        <v>683</v>
      </c>
      <c r="V54" s="212" t="s">
        <v>683</v>
      </c>
      <c r="W54" s="212">
        <f t="shared" si="10"/>
        <v>1158414</v>
      </c>
      <c r="X54" s="199">
        <v>827369.0</v>
      </c>
      <c r="Y54" s="199">
        <v>2103506.0</v>
      </c>
      <c r="Z54" s="199"/>
      <c r="AA54" s="199"/>
      <c r="AB54" s="199"/>
      <c r="AC54" s="199"/>
      <c r="AD54" s="212" t="s">
        <v>683</v>
      </c>
      <c r="AE54" s="212" t="s">
        <v>683</v>
      </c>
      <c r="AF54" s="213" t="str">
        <f>Table1[[#This Row],[2019 Scope 1 (MeT Co2)]]</f>
        <v>#ERROR!</v>
      </c>
      <c r="AG54" s="214" t="str">
        <f t="shared" si="2"/>
        <v>#ERROR!</v>
      </c>
      <c r="AH54" s="215" t="str">
        <f t="shared" si="3"/>
        <v>#ERROR!</v>
      </c>
      <c r="AI54" s="209"/>
      <c r="AJ54" s="209"/>
      <c r="AK54" s="212" t="s">
        <v>683</v>
      </c>
      <c r="AL54" s="212" t="s">
        <v>683</v>
      </c>
      <c r="AM54" s="213" t="str">
        <f>Table1[[#This Row],[2019 Scope 2 ]]</f>
        <v>#ERROR!</v>
      </c>
      <c r="AN54" s="214" t="str">
        <f t="shared" si="4"/>
        <v>#ERROR!</v>
      </c>
      <c r="AO54" s="215" t="str">
        <f t="shared" si="5"/>
        <v>#ERROR!</v>
      </c>
      <c r="AP54" s="214" t="str">
        <f t="shared" si="6"/>
        <v>#ERROR!</v>
      </c>
      <c r="AQ54" s="215" t="str">
        <f t="shared" si="7"/>
        <v>#ERROR!</v>
      </c>
      <c r="AR54" s="216" t="str">
        <f>Table1[[#This Row],[2019 Scope 3 ]]</f>
        <v>#ERROR!</v>
      </c>
      <c r="AS54" s="217" t="str">
        <f t="shared" si="8"/>
        <v>#ERROR!</v>
      </c>
      <c r="AT54" s="218" t="str">
        <f t="shared" si="9"/>
        <v>#ERROR!</v>
      </c>
      <c r="BI54" s="199">
        <v>9284.0</v>
      </c>
    </row>
    <row r="55" ht="12.75" hidden="1" customHeight="1">
      <c r="A55" s="5">
        <f>companies!A55</f>
        <v>54</v>
      </c>
      <c r="B55" s="199" t="s">
        <v>1254</v>
      </c>
      <c r="C55" s="199">
        <v>1489000.0</v>
      </c>
      <c r="D55" s="199">
        <v>3345000.0</v>
      </c>
      <c r="E55" s="199">
        <v>1299000.0</v>
      </c>
      <c r="F55" s="199">
        <v>4446000.0</v>
      </c>
      <c r="G55" s="199">
        <v>36000.0</v>
      </c>
      <c r="H55" s="199">
        <v>115000.0</v>
      </c>
      <c r="I55" s="199">
        <v>157000.0</v>
      </c>
      <c r="J55" s="199">
        <v>2000.0</v>
      </c>
      <c r="K55" s="199">
        <v>136000.0</v>
      </c>
      <c r="L55" s="199">
        <v>516000.0</v>
      </c>
      <c r="M55" s="212">
        <v>21000.0</v>
      </c>
      <c r="N55" s="212">
        <v>98000.0</v>
      </c>
      <c r="O55" s="212">
        <v>285000.0</v>
      </c>
      <c r="P55" s="212">
        <v>3927000.0</v>
      </c>
      <c r="Q55" s="212" t="s">
        <v>683</v>
      </c>
      <c r="R55" s="199" t="s">
        <v>683</v>
      </c>
      <c r="S55" s="212" t="s">
        <v>683</v>
      </c>
      <c r="T55" s="212" t="s">
        <v>683</v>
      </c>
      <c r="U55" s="212" t="s">
        <v>683</v>
      </c>
      <c r="V55" s="212" t="s">
        <v>683</v>
      </c>
      <c r="W55" s="212">
        <f t="shared" si="10"/>
        <v>9739000</v>
      </c>
      <c r="X55" s="199">
        <v>1299000.0</v>
      </c>
      <c r="Y55" s="199">
        <v>1.2527E7</v>
      </c>
      <c r="Z55" s="199"/>
      <c r="AA55" s="199"/>
      <c r="AB55" s="199"/>
      <c r="AC55" s="199"/>
      <c r="AD55" s="212" t="s">
        <v>683</v>
      </c>
      <c r="AE55" s="212" t="s">
        <v>683</v>
      </c>
      <c r="AF55" s="213" t="str">
        <f>Table1[[#This Row],[2019 Scope 1 (MeT Co2)]]</f>
        <v>#ERROR!</v>
      </c>
      <c r="AG55" s="214" t="str">
        <f t="shared" si="2"/>
        <v>#ERROR!</v>
      </c>
      <c r="AH55" s="215" t="str">
        <f t="shared" si="3"/>
        <v>#ERROR!</v>
      </c>
      <c r="AI55" s="209"/>
      <c r="AJ55" s="209"/>
      <c r="AK55" s="212" t="s">
        <v>683</v>
      </c>
      <c r="AL55" s="212" t="s">
        <v>683</v>
      </c>
      <c r="AM55" s="213" t="str">
        <f>Table1[[#This Row],[2019 Scope 2 ]]</f>
        <v>#ERROR!</v>
      </c>
      <c r="AN55" s="214" t="str">
        <f t="shared" si="4"/>
        <v>#ERROR!</v>
      </c>
      <c r="AO55" s="215" t="str">
        <f t="shared" si="5"/>
        <v>#ERROR!</v>
      </c>
      <c r="AP55" s="214" t="str">
        <f t="shared" si="6"/>
        <v>#ERROR!</v>
      </c>
      <c r="AQ55" s="215" t="str">
        <f t="shared" si="7"/>
        <v>#ERROR!</v>
      </c>
      <c r="AR55" s="216" t="str">
        <f>Table1[[#This Row],[2019 Scope 3 ]]</f>
        <v>#ERROR!</v>
      </c>
      <c r="AS55" s="217" t="str">
        <f t="shared" si="8"/>
        <v>#ERROR!</v>
      </c>
      <c r="AT55" s="218" t="str">
        <f t="shared" si="9"/>
        <v>#ERROR!</v>
      </c>
      <c r="BI55" s="4">
        <v>9298.0</v>
      </c>
    </row>
    <row r="56" ht="12.75" hidden="1" customHeight="1">
      <c r="A56" s="5">
        <f>companies!A56</f>
        <v>55</v>
      </c>
      <c r="B56" s="199" t="s">
        <v>1254</v>
      </c>
      <c r="C56" s="199">
        <v>415094.0</v>
      </c>
      <c r="D56" s="199">
        <v>648598.0</v>
      </c>
      <c r="E56" s="199">
        <v>518542.0</v>
      </c>
      <c r="F56" s="199">
        <v>9229943.0</v>
      </c>
      <c r="G56" s="199">
        <v>281092.0</v>
      </c>
      <c r="H56" s="199">
        <v>47245.0</v>
      </c>
      <c r="I56" s="199">
        <v>2201590.0</v>
      </c>
      <c r="J56" s="199">
        <v>3618.0</v>
      </c>
      <c r="K56" s="199">
        <v>601637.0</v>
      </c>
      <c r="L56" s="199">
        <v>267881.0</v>
      </c>
      <c r="M56" s="212">
        <v>39830.0</v>
      </c>
      <c r="N56" s="212">
        <v>65447.0</v>
      </c>
      <c r="O56" s="212" t="s">
        <v>683</v>
      </c>
      <c r="P56" s="212">
        <v>7417224.0</v>
      </c>
      <c r="Q56" s="212">
        <v>209994.0</v>
      </c>
      <c r="R56" s="199" t="s">
        <v>683</v>
      </c>
      <c r="S56" s="212" t="s">
        <v>683</v>
      </c>
      <c r="T56" s="212" t="s">
        <v>683</v>
      </c>
      <c r="U56" s="212" t="s">
        <v>683</v>
      </c>
      <c r="V56" s="212" t="s">
        <v>683</v>
      </c>
      <c r="W56" s="212">
        <f t="shared" si="10"/>
        <v>20365501</v>
      </c>
      <c r="X56" s="199">
        <v>518542.0</v>
      </c>
      <c r="Y56" s="199">
        <v>2.1299137E7</v>
      </c>
      <c r="Z56" s="199"/>
      <c r="AA56" s="199"/>
      <c r="AB56" s="199"/>
      <c r="AC56" s="199"/>
      <c r="AD56" s="212" t="s">
        <v>683</v>
      </c>
      <c r="AE56" s="212" t="s">
        <v>683</v>
      </c>
      <c r="AF56" s="213" t="str">
        <f>Table1[[#This Row],[2019 Scope 1 (MeT Co2)]]</f>
        <v>#ERROR!</v>
      </c>
      <c r="AG56" s="214" t="str">
        <f t="shared" si="2"/>
        <v>#ERROR!</v>
      </c>
      <c r="AH56" s="215" t="str">
        <f t="shared" si="3"/>
        <v>#ERROR!</v>
      </c>
      <c r="AI56" s="209"/>
      <c r="AJ56" s="209"/>
      <c r="AK56" s="212" t="s">
        <v>683</v>
      </c>
      <c r="AL56" s="212" t="s">
        <v>683</v>
      </c>
      <c r="AM56" s="213" t="str">
        <f>Table1[[#This Row],[2019 Scope 2 ]]</f>
        <v>#ERROR!</v>
      </c>
      <c r="AN56" s="214" t="str">
        <f t="shared" si="4"/>
        <v>#ERROR!</v>
      </c>
      <c r="AO56" s="215" t="str">
        <f t="shared" si="5"/>
        <v>#ERROR!</v>
      </c>
      <c r="AP56" s="214" t="str">
        <f t="shared" si="6"/>
        <v>#ERROR!</v>
      </c>
      <c r="AQ56" s="215" t="str">
        <f t="shared" si="7"/>
        <v>#ERROR!</v>
      </c>
      <c r="AR56" s="216" t="str">
        <f>Table1[[#This Row],[2019 Scope 3 ]]</f>
        <v>#ERROR!</v>
      </c>
      <c r="AS56" s="217" t="str">
        <f t="shared" si="8"/>
        <v>#ERROR!</v>
      </c>
      <c r="AT56" s="218" t="str">
        <f t="shared" si="9"/>
        <v>#ERROR!</v>
      </c>
      <c r="BI56" s="4">
        <v>9829.0</v>
      </c>
    </row>
    <row r="57" ht="12.75" hidden="1" customHeight="1">
      <c r="A57" s="5">
        <f>companies!A57</f>
        <v>56</v>
      </c>
      <c r="B57" s="199" t="s">
        <v>1254</v>
      </c>
      <c r="C57" s="199">
        <v>81655.0</v>
      </c>
      <c r="D57" s="199">
        <v>692299.0</v>
      </c>
      <c r="E57" s="199">
        <v>556142.0</v>
      </c>
      <c r="F57" s="199" t="s">
        <v>683</v>
      </c>
      <c r="G57" s="199" t="s">
        <v>683</v>
      </c>
      <c r="H57" s="199">
        <v>32229.0</v>
      </c>
      <c r="I57" s="199" t="s">
        <v>683</v>
      </c>
      <c r="J57" s="199" t="s">
        <v>683</v>
      </c>
      <c r="K57" s="199">
        <v>181004.0</v>
      </c>
      <c r="L57" s="199" t="s">
        <v>683</v>
      </c>
      <c r="M57" s="212" t="s">
        <v>683</v>
      </c>
      <c r="N57" s="212" t="s">
        <v>683</v>
      </c>
      <c r="O57" s="212" t="s">
        <v>683</v>
      </c>
      <c r="P57" s="212" t="s">
        <v>683</v>
      </c>
      <c r="Q57" s="212" t="s">
        <v>683</v>
      </c>
      <c r="R57" s="199" t="s">
        <v>683</v>
      </c>
      <c r="S57" s="212" t="s">
        <v>683</v>
      </c>
      <c r="T57" s="212" t="s">
        <v>683</v>
      </c>
      <c r="U57" s="212" t="s">
        <v>683</v>
      </c>
      <c r="V57" s="212" t="s">
        <v>683</v>
      </c>
      <c r="W57" s="212">
        <f t="shared" si="10"/>
        <v>213233</v>
      </c>
      <c r="X57" s="199">
        <v>556142.0</v>
      </c>
      <c r="Y57" s="199">
        <v>851030.0</v>
      </c>
      <c r="Z57" s="199"/>
      <c r="AA57" s="199"/>
      <c r="AB57" s="199"/>
      <c r="AC57" s="199"/>
      <c r="AD57" s="212" t="s">
        <v>683</v>
      </c>
      <c r="AE57" s="212" t="s">
        <v>683</v>
      </c>
      <c r="AF57" s="213" t="str">
        <f>Table1[[#This Row],[2019 Scope 1 (MeT Co2)]]</f>
        <v>#ERROR!</v>
      </c>
      <c r="AG57" s="214" t="str">
        <f t="shared" si="2"/>
        <v>#ERROR!</v>
      </c>
      <c r="AH57" s="215" t="str">
        <f t="shared" si="3"/>
        <v>#ERROR!</v>
      </c>
      <c r="AI57" s="209"/>
      <c r="AJ57" s="209"/>
      <c r="AK57" s="212" t="s">
        <v>683</v>
      </c>
      <c r="AL57" s="212" t="s">
        <v>683</v>
      </c>
      <c r="AM57" s="213" t="str">
        <f>Table1[[#This Row],[2019 Scope 2 ]]</f>
        <v>#ERROR!</v>
      </c>
      <c r="AN57" s="214" t="str">
        <f t="shared" si="4"/>
        <v>#ERROR!</v>
      </c>
      <c r="AO57" s="215" t="str">
        <f t="shared" si="5"/>
        <v>#ERROR!</v>
      </c>
      <c r="AP57" s="214" t="str">
        <f t="shared" si="6"/>
        <v>#ERROR!</v>
      </c>
      <c r="AQ57" s="215" t="str">
        <f t="shared" si="7"/>
        <v>#ERROR!</v>
      </c>
      <c r="AR57" s="216" t="str">
        <f>Table1[[#This Row],[2019 Scope 3 ]]</f>
        <v>#ERROR!</v>
      </c>
      <c r="AS57" s="217" t="str">
        <f t="shared" si="8"/>
        <v>#ERROR!</v>
      </c>
      <c r="AT57" s="218" t="str">
        <f t="shared" si="9"/>
        <v>#ERROR!</v>
      </c>
      <c r="BI57" s="4">
        <v>9871.0</v>
      </c>
    </row>
    <row r="58" ht="12.75" hidden="1" customHeight="1">
      <c r="A58" s="5">
        <f>companies!A58</f>
        <v>57</v>
      </c>
      <c r="B58" s="199" t="s">
        <v>1254</v>
      </c>
      <c r="C58" s="199" t="s">
        <v>1262</v>
      </c>
      <c r="D58" s="199" t="s">
        <v>1262</v>
      </c>
      <c r="E58" s="199" t="s">
        <v>1262</v>
      </c>
      <c r="F58" s="199" t="s">
        <v>1262</v>
      </c>
      <c r="G58" s="199" t="s">
        <v>1262</v>
      </c>
      <c r="H58" s="199" t="s">
        <v>1262</v>
      </c>
      <c r="I58" s="199" t="s">
        <v>1262</v>
      </c>
      <c r="J58" s="199" t="s">
        <v>1262</v>
      </c>
      <c r="K58" s="199" t="s">
        <v>1262</v>
      </c>
      <c r="L58" s="199" t="s">
        <v>1262</v>
      </c>
      <c r="M58" s="199" t="s">
        <v>1262</v>
      </c>
      <c r="N58" s="199" t="s">
        <v>1262</v>
      </c>
      <c r="O58" s="199" t="s">
        <v>1262</v>
      </c>
      <c r="P58" s="199" t="s">
        <v>1262</v>
      </c>
      <c r="Q58" s="199" t="s">
        <v>1262</v>
      </c>
      <c r="R58" s="199" t="s">
        <v>1262</v>
      </c>
      <c r="S58" s="199" t="s">
        <v>1262</v>
      </c>
      <c r="T58" s="199" t="s">
        <v>1262</v>
      </c>
      <c r="U58" s="199" t="s">
        <v>1262</v>
      </c>
      <c r="V58" s="199" t="s">
        <v>1262</v>
      </c>
      <c r="W58" s="212">
        <f t="shared" si="10"/>
        <v>0</v>
      </c>
      <c r="X58" s="199">
        <v>0.0</v>
      </c>
      <c r="Y58" s="199"/>
      <c r="Z58" s="199"/>
      <c r="AA58" s="199"/>
      <c r="AB58" s="212"/>
      <c r="AC58" s="212"/>
      <c r="AD58" s="212" t="e">
        <v>#N/A</v>
      </c>
      <c r="AE58" s="212" t="e">
        <v>#N/A</v>
      </c>
      <c r="AF58" s="213" t="str">
        <f>Table1[[#This Row],[2019 Scope 1 (MeT Co2)]]</f>
        <v>#ERROR!</v>
      </c>
      <c r="AG58" s="214" t="str">
        <f t="shared" si="2"/>
        <v>#ERROR!</v>
      </c>
      <c r="AH58" s="215" t="str">
        <f t="shared" si="3"/>
        <v>#ERROR!</v>
      </c>
      <c r="AI58" s="209"/>
      <c r="AJ58" s="209"/>
      <c r="AK58" s="212" t="e">
        <v>#N/A</v>
      </c>
      <c r="AL58" s="212" t="e">
        <v>#N/A</v>
      </c>
      <c r="AM58" s="213" t="str">
        <f>Table1[[#This Row],[2019 Scope 2 ]]</f>
        <v>#ERROR!</v>
      </c>
      <c r="AN58" s="214" t="str">
        <f t="shared" si="4"/>
        <v>#ERROR!</v>
      </c>
      <c r="AO58" s="215" t="str">
        <f t="shared" si="5"/>
        <v>#ERROR!</v>
      </c>
      <c r="AP58" s="214" t="str">
        <f t="shared" si="6"/>
        <v>#ERROR!</v>
      </c>
      <c r="AQ58" s="215" t="str">
        <f t="shared" si="7"/>
        <v>#ERROR!</v>
      </c>
      <c r="AR58" s="216" t="str">
        <f>Table1[[#This Row],[2019 Scope 3 ]]</f>
        <v>#ERROR!</v>
      </c>
      <c r="AS58" s="217" t="str">
        <f t="shared" si="8"/>
        <v>#ERROR!</v>
      </c>
      <c r="AT58" s="218" t="str">
        <f t="shared" si="9"/>
        <v>#ERROR!</v>
      </c>
    </row>
    <row r="59" ht="12.75" hidden="1" customHeight="1">
      <c r="A59" s="5">
        <f>companies!A59</f>
        <v>58</v>
      </c>
      <c r="B59" s="199" t="s">
        <v>1254</v>
      </c>
      <c r="C59" s="199">
        <v>649256.0</v>
      </c>
      <c r="D59" s="199">
        <v>773066.0</v>
      </c>
      <c r="E59" s="199" t="s">
        <v>683</v>
      </c>
      <c r="F59" s="199">
        <v>1.8282750168E7</v>
      </c>
      <c r="G59" s="199">
        <v>397603.648</v>
      </c>
      <c r="H59" s="199">
        <v>717228.775</v>
      </c>
      <c r="I59" s="199">
        <v>1366415.404</v>
      </c>
      <c r="J59" s="199">
        <v>52106.122</v>
      </c>
      <c r="K59" s="199">
        <v>18988.075</v>
      </c>
      <c r="L59" s="199">
        <v>105896.625</v>
      </c>
      <c r="M59" s="212" t="s">
        <v>683</v>
      </c>
      <c r="N59" s="212">
        <v>1307392.304</v>
      </c>
      <c r="O59" s="212" t="s">
        <v>683</v>
      </c>
      <c r="P59" s="212" t="s">
        <v>683</v>
      </c>
      <c r="Q59" s="212">
        <v>1029151.785</v>
      </c>
      <c r="R59" s="199" t="s">
        <v>683</v>
      </c>
      <c r="S59" s="212" t="s">
        <v>683</v>
      </c>
      <c r="T59" s="212" t="s">
        <v>683</v>
      </c>
      <c r="U59" s="212" t="s">
        <v>683</v>
      </c>
      <c r="V59" s="212" t="s">
        <v>683</v>
      </c>
      <c r="W59" s="212">
        <f t="shared" si="10"/>
        <v>23277532.91</v>
      </c>
      <c r="X59" s="199">
        <v>773066.0</v>
      </c>
      <c r="Y59" s="199">
        <v>2.4699854906E7</v>
      </c>
      <c r="Z59" s="199"/>
      <c r="AA59" s="199"/>
      <c r="AB59" s="212"/>
      <c r="AC59" s="212"/>
      <c r="AD59" s="212" t="s">
        <v>683</v>
      </c>
      <c r="AE59" s="212" t="s">
        <v>683</v>
      </c>
      <c r="AF59" s="213" t="str">
        <f>Table1[[#This Row],[2019 Scope 1 (MeT Co2)]]</f>
        <v>#ERROR!</v>
      </c>
      <c r="AG59" s="214" t="str">
        <f t="shared" si="2"/>
        <v>#ERROR!</v>
      </c>
      <c r="AH59" s="215" t="str">
        <f t="shared" si="3"/>
        <v>#ERROR!</v>
      </c>
      <c r="AI59" s="209"/>
      <c r="AJ59" s="209"/>
      <c r="AK59" s="212" t="s">
        <v>683</v>
      </c>
      <c r="AL59" s="212" t="s">
        <v>683</v>
      </c>
      <c r="AM59" s="213" t="str">
        <f>Table1[[#This Row],[2019 Scope 2 ]]</f>
        <v>#ERROR!</v>
      </c>
      <c r="AN59" s="214" t="str">
        <f t="shared" si="4"/>
        <v>#ERROR!</v>
      </c>
      <c r="AO59" s="215" t="str">
        <f t="shared" si="5"/>
        <v>#ERROR!</v>
      </c>
      <c r="AP59" s="214" t="str">
        <f t="shared" si="6"/>
        <v>#ERROR!</v>
      </c>
      <c r="AQ59" s="215" t="str">
        <f t="shared" si="7"/>
        <v>#ERROR!</v>
      </c>
      <c r="AR59" s="216" t="str">
        <f>Table1[[#This Row],[2019 Scope 3 ]]</f>
        <v>#ERROR!</v>
      </c>
      <c r="AS59" s="217" t="str">
        <f t="shared" si="8"/>
        <v>#ERROR!</v>
      </c>
      <c r="AT59" s="218" t="str">
        <f t="shared" si="9"/>
        <v>#ERROR!</v>
      </c>
      <c r="BI59" s="4">
        <v>58857.0</v>
      </c>
    </row>
    <row r="60" ht="12.75" hidden="1" customHeight="1">
      <c r="A60" s="5">
        <f>companies!A60</f>
        <v>59</v>
      </c>
      <c r="B60" s="199" t="s">
        <v>1254</v>
      </c>
      <c r="C60" s="199">
        <v>305362.0</v>
      </c>
      <c r="D60" s="199">
        <v>662659.0</v>
      </c>
      <c r="E60" s="199">
        <v>466073.0</v>
      </c>
      <c r="F60" s="199">
        <v>7700000.0</v>
      </c>
      <c r="G60" s="199">
        <v>370000.0</v>
      </c>
      <c r="H60" s="199">
        <v>105000.0</v>
      </c>
      <c r="I60" s="199">
        <v>60000.0</v>
      </c>
      <c r="J60" s="199">
        <v>4500.0</v>
      </c>
      <c r="K60" s="199">
        <v>190000.0</v>
      </c>
      <c r="L60" s="199">
        <v>215000.0</v>
      </c>
      <c r="M60" s="212" t="s">
        <v>683</v>
      </c>
      <c r="N60" s="212" t="s">
        <v>683</v>
      </c>
      <c r="O60" s="212" t="s">
        <v>683</v>
      </c>
      <c r="P60" s="212">
        <v>2.2E7</v>
      </c>
      <c r="Q60" s="212" t="s">
        <v>683</v>
      </c>
      <c r="R60" s="199" t="s">
        <v>683</v>
      </c>
      <c r="S60" s="212" t="s">
        <v>683</v>
      </c>
      <c r="T60" s="212" t="s">
        <v>683</v>
      </c>
      <c r="U60" s="212" t="s">
        <v>683</v>
      </c>
      <c r="V60" s="212" t="s">
        <v>683</v>
      </c>
      <c r="W60" s="212">
        <f t="shared" si="10"/>
        <v>30644500</v>
      </c>
      <c r="X60" s="199">
        <v>466073.0</v>
      </c>
      <c r="Y60" s="199">
        <v>3.1415935E7</v>
      </c>
      <c r="Z60" s="199"/>
      <c r="AA60" s="199"/>
      <c r="AB60" s="199"/>
      <c r="AC60" s="199"/>
      <c r="AD60" s="212" t="s">
        <v>683</v>
      </c>
      <c r="AE60" s="212" t="s">
        <v>683</v>
      </c>
      <c r="AF60" s="213" t="str">
        <f>Table1[[#This Row],[2019 Scope 1 (MeT Co2)]]</f>
        <v>#ERROR!</v>
      </c>
      <c r="AG60" s="214" t="str">
        <f t="shared" si="2"/>
        <v>#ERROR!</v>
      </c>
      <c r="AH60" s="215" t="str">
        <f t="shared" si="3"/>
        <v>#ERROR!</v>
      </c>
      <c r="AI60" s="209"/>
      <c r="AJ60" s="209"/>
      <c r="AK60" s="212" t="s">
        <v>683</v>
      </c>
      <c r="AL60" s="212" t="s">
        <v>683</v>
      </c>
      <c r="AM60" s="213" t="str">
        <f>Table1[[#This Row],[2019 Scope 2 ]]</f>
        <v>#ERROR!</v>
      </c>
      <c r="AN60" s="214" t="str">
        <f t="shared" si="4"/>
        <v>#ERROR!</v>
      </c>
      <c r="AO60" s="215" t="str">
        <f t="shared" si="5"/>
        <v>#ERROR!</v>
      </c>
      <c r="AP60" s="214" t="str">
        <f t="shared" si="6"/>
        <v>#ERROR!</v>
      </c>
      <c r="AQ60" s="215" t="str">
        <f t="shared" si="7"/>
        <v>#ERROR!</v>
      </c>
      <c r="AR60" s="216" t="str">
        <f>Table1[[#This Row],[2019 Scope 3 ]]</f>
        <v>#ERROR!</v>
      </c>
      <c r="AS60" s="217" t="str">
        <f t="shared" si="8"/>
        <v>#ERROR!</v>
      </c>
      <c r="AT60" s="218" t="str">
        <f t="shared" si="9"/>
        <v>#ERROR!</v>
      </c>
      <c r="BI60" s="4" t="s">
        <v>1259</v>
      </c>
    </row>
    <row r="61" ht="12.75" hidden="1" customHeight="1">
      <c r="A61" s="5">
        <f>companies!A61</f>
        <v>60</v>
      </c>
      <c r="B61" s="199" t="s">
        <v>1254</v>
      </c>
      <c r="C61" s="199">
        <v>484737.0</v>
      </c>
      <c r="D61" s="199">
        <v>1623768.0</v>
      </c>
      <c r="E61" s="199" t="s">
        <v>683</v>
      </c>
      <c r="F61" s="199" t="s">
        <v>683</v>
      </c>
      <c r="G61" s="199" t="s">
        <v>683</v>
      </c>
      <c r="H61" s="199" t="s">
        <v>683</v>
      </c>
      <c r="I61" s="199">
        <v>426134.0</v>
      </c>
      <c r="J61" s="199" t="s">
        <v>683</v>
      </c>
      <c r="K61" s="199">
        <v>10700.0</v>
      </c>
      <c r="L61" s="199" t="s">
        <v>683</v>
      </c>
      <c r="M61" s="212" t="s">
        <v>683</v>
      </c>
      <c r="N61" s="212" t="s">
        <v>683</v>
      </c>
      <c r="O61" s="212" t="s">
        <v>683</v>
      </c>
      <c r="P61" s="212">
        <v>1.2320822578E8</v>
      </c>
      <c r="Q61" s="212" t="s">
        <v>683</v>
      </c>
      <c r="R61" s="199" t="s">
        <v>683</v>
      </c>
      <c r="S61" s="212" t="s">
        <v>683</v>
      </c>
      <c r="T61" s="212" t="s">
        <v>683</v>
      </c>
      <c r="U61" s="212" t="s">
        <v>683</v>
      </c>
      <c r="V61" s="212" t="s">
        <v>683</v>
      </c>
      <c r="W61" s="212">
        <f t="shared" si="10"/>
        <v>123645059.8</v>
      </c>
      <c r="X61" s="199">
        <v>1623768.0</v>
      </c>
      <c r="Y61" s="199">
        <v>1.2575356478E8</v>
      </c>
      <c r="Z61" s="199"/>
      <c r="AA61" s="199"/>
      <c r="AB61" s="212"/>
      <c r="AC61" s="212"/>
      <c r="AD61" s="212" t="s">
        <v>683</v>
      </c>
      <c r="AE61" s="212" t="s">
        <v>683</v>
      </c>
      <c r="AF61" s="213" t="str">
        <f>Table1[[#This Row],[2019 Scope 1 (MeT Co2)]]</f>
        <v>#ERROR!</v>
      </c>
      <c r="AG61" s="214" t="str">
        <f t="shared" si="2"/>
        <v>#ERROR!</v>
      </c>
      <c r="AH61" s="215" t="str">
        <f t="shared" si="3"/>
        <v>#ERROR!</v>
      </c>
      <c r="AI61" s="209"/>
      <c r="AJ61" s="209"/>
      <c r="AK61" s="212" t="s">
        <v>683</v>
      </c>
      <c r="AL61" s="212" t="s">
        <v>683</v>
      </c>
      <c r="AM61" s="213" t="str">
        <f>Table1[[#This Row],[2019 Scope 2 ]]</f>
        <v>#ERROR!</v>
      </c>
      <c r="AN61" s="214" t="str">
        <f t="shared" si="4"/>
        <v>#ERROR!</v>
      </c>
      <c r="AO61" s="215" t="str">
        <f t="shared" si="5"/>
        <v>#ERROR!</v>
      </c>
      <c r="AP61" s="214" t="str">
        <f t="shared" si="6"/>
        <v>#ERROR!</v>
      </c>
      <c r="AQ61" s="215" t="str">
        <f t="shared" si="7"/>
        <v>#ERROR!</v>
      </c>
      <c r="AR61" s="216" t="str">
        <f>Table1[[#This Row],[2019 Scope 3 ]]</f>
        <v>#ERROR!</v>
      </c>
      <c r="AS61" s="217" t="str">
        <f t="shared" si="8"/>
        <v>#ERROR!</v>
      </c>
      <c r="AT61" s="218" t="str">
        <f t="shared" si="9"/>
        <v>#ERROR!</v>
      </c>
      <c r="BI61" s="4">
        <v>11017.0</v>
      </c>
    </row>
    <row r="62" ht="12.75" hidden="1" customHeight="1">
      <c r="A62" s="5">
        <f>companies!A62</f>
        <v>61</v>
      </c>
      <c r="B62" s="199" t="s">
        <v>1254</v>
      </c>
      <c r="C62" s="199">
        <v>4758.4</v>
      </c>
      <c r="D62" s="199">
        <v>52140.56</v>
      </c>
      <c r="E62" s="199">
        <v>162.0</v>
      </c>
      <c r="F62" s="199">
        <v>396269.96</v>
      </c>
      <c r="G62" s="199">
        <v>0.0</v>
      </c>
      <c r="H62" s="199">
        <v>8451.87</v>
      </c>
      <c r="I62" s="199">
        <v>0.0</v>
      </c>
      <c r="J62" s="199">
        <v>1288.49</v>
      </c>
      <c r="K62" s="199">
        <v>53738.0</v>
      </c>
      <c r="L62" s="199">
        <v>43263.87</v>
      </c>
      <c r="M62" s="212" t="s">
        <v>683</v>
      </c>
      <c r="N62" s="212" t="s">
        <v>683</v>
      </c>
      <c r="O62" s="212" t="s">
        <v>683</v>
      </c>
      <c r="P62" s="212" t="s">
        <v>683</v>
      </c>
      <c r="Q62" s="212" t="s">
        <v>683</v>
      </c>
      <c r="R62" s="199" t="s">
        <v>683</v>
      </c>
      <c r="S62" s="212" t="s">
        <v>683</v>
      </c>
      <c r="T62" s="212" t="s">
        <v>683</v>
      </c>
      <c r="U62" s="212" t="s">
        <v>683</v>
      </c>
      <c r="V62" s="212" t="s">
        <v>683</v>
      </c>
      <c r="W62" s="212">
        <f t="shared" si="10"/>
        <v>503012.19</v>
      </c>
      <c r="X62" s="199">
        <v>162.0</v>
      </c>
      <c r="Y62" s="199">
        <v>507932.59</v>
      </c>
      <c r="Z62" s="199"/>
      <c r="AA62" s="199"/>
      <c r="AB62" s="199"/>
      <c r="AC62" s="199"/>
      <c r="AD62" s="212" t="s">
        <v>683</v>
      </c>
      <c r="AE62" s="212" t="s">
        <v>683</v>
      </c>
      <c r="AF62" s="213" t="str">
        <f>Table1[[#This Row],[2019 Scope 1 (MeT Co2)]]</f>
        <v>#ERROR!</v>
      </c>
      <c r="AG62" s="214" t="str">
        <f t="shared" si="2"/>
        <v>#ERROR!</v>
      </c>
      <c r="AH62" s="215" t="str">
        <f t="shared" si="3"/>
        <v>#ERROR!</v>
      </c>
      <c r="AI62" s="209"/>
      <c r="AJ62" s="209"/>
      <c r="AK62" s="212" t="s">
        <v>683</v>
      </c>
      <c r="AL62" s="212" t="s">
        <v>683</v>
      </c>
      <c r="AM62" s="213" t="str">
        <f>Table1[[#This Row],[2019 Scope 2 ]]</f>
        <v>#ERROR!</v>
      </c>
      <c r="AN62" s="214" t="str">
        <f t="shared" si="4"/>
        <v>#ERROR!</v>
      </c>
      <c r="AO62" s="215" t="str">
        <f t="shared" si="5"/>
        <v>#ERROR!</v>
      </c>
      <c r="AP62" s="214" t="str">
        <f t="shared" si="6"/>
        <v>#ERROR!</v>
      </c>
      <c r="AQ62" s="215" t="str">
        <f t="shared" si="7"/>
        <v>#ERROR!</v>
      </c>
      <c r="AR62" s="216" t="str">
        <f>Table1[[#This Row],[2019 Scope 3 ]]</f>
        <v>#ERROR!</v>
      </c>
      <c r="AS62" s="217" t="str">
        <f t="shared" si="8"/>
        <v>#ERROR!</v>
      </c>
      <c r="AT62" s="218" t="str">
        <f t="shared" si="9"/>
        <v>#ERROR!</v>
      </c>
      <c r="BI62" s="4">
        <v>11421.0</v>
      </c>
    </row>
    <row r="63" ht="12.75" hidden="1" customHeight="1">
      <c r="A63" s="5">
        <f>companies!A63</f>
        <v>62</v>
      </c>
      <c r="B63" s="199" t="s">
        <v>1254</v>
      </c>
      <c r="C63" s="199">
        <v>107034.65</v>
      </c>
      <c r="D63" s="199">
        <v>569598.23</v>
      </c>
      <c r="E63" s="199">
        <v>492114.18</v>
      </c>
      <c r="F63" s="199">
        <v>4.111585155E7</v>
      </c>
      <c r="G63" s="199" t="s">
        <v>683</v>
      </c>
      <c r="H63" s="199">
        <v>2358793.15</v>
      </c>
      <c r="I63" s="199">
        <v>1947637.85</v>
      </c>
      <c r="J63" s="199">
        <v>1535857.79</v>
      </c>
      <c r="K63" s="199" t="s">
        <v>683</v>
      </c>
      <c r="L63" s="199" t="s">
        <v>683</v>
      </c>
      <c r="M63" s="212" t="s">
        <v>683</v>
      </c>
      <c r="N63" s="212" t="s">
        <v>683</v>
      </c>
      <c r="O63" s="212" t="s">
        <v>683</v>
      </c>
      <c r="P63" s="212" t="s">
        <v>683</v>
      </c>
      <c r="Q63" s="212" t="s">
        <v>683</v>
      </c>
      <c r="R63" s="199" t="s">
        <v>683</v>
      </c>
      <c r="S63" s="212">
        <v>5997501.76</v>
      </c>
      <c r="T63" s="212" t="s">
        <v>683</v>
      </c>
      <c r="U63" s="212" t="s">
        <v>683</v>
      </c>
      <c r="V63" s="212" t="s">
        <v>683</v>
      </c>
      <c r="W63" s="212">
        <f t="shared" si="10"/>
        <v>52955642.1</v>
      </c>
      <c r="X63" s="199">
        <v>492114.18</v>
      </c>
      <c r="Y63" s="199">
        <v>5.355479092999999E7</v>
      </c>
      <c r="Z63" s="199"/>
      <c r="AA63" s="199"/>
      <c r="AB63" s="212"/>
      <c r="AC63" s="212"/>
      <c r="AD63" s="212" t="s">
        <v>1255</v>
      </c>
      <c r="AE63" s="212" t="s">
        <v>1256</v>
      </c>
      <c r="AF63" s="213" t="str">
        <f>Table1[[#This Row],[2019 Scope 1 (MeT Co2)]]</f>
        <v>#ERROR!</v>
      </c>
      <c r="AG63" s="214" t="str">
        <f t="shared" si="2"/>
        <v>#ERROR!</v>
      </c>
      <c r="AH63" s="215" t="str">
        <f t="shared" si="3"/>
        <v>#ERROR!</v>
      </c>
      <c r="AI63" s="209"/>
      <c r="AJ63" s="209"/>
      <c r="AK63" s="212" t="s">
        <v>1255</v>
      </c>
      <c r="AL63" s="212" t="s">
        <v>1256</v>
      </c>
      <c r="AM63" s="213" t="str">
        <f>Table1[[#This Row],[2019 Scope 2 ]]</f>
        <v>#ERROR!</v>
      </c>
      <c r="AN63" s="214" t="str">
        <f t="shared" si="4"/>
        <v>#ERROR!</v>
      </c>
      <c r="AO63" s="215" t="str">
        <f t="shared" si="5"/>
        <v>#ERROR!</v>
      </c>
      <c r="AP63" s="214" t="str">
        <f t="shared" si="6"/>
        <v>#ERROR!</v>
      </c>
      <c r="AQ63" s="215" t="str">
        <f t="shared" si="7"/>
        <v>#ERROR!</v>
      </c>
      <c r="AR63" s="216" t="str">
        <f>Table1[[#This Row],[2019 Scope 3 ]]</f>
        <v>#ERROR!</v>
      </c>
      <c r="AS63" s="217" t="str">
        <f t="shared" si="8"/>
        <v>#ERROR!</v>
      </c>
      <c r="AT63" s="218" t="str">
        <f t="shared" si="9"/>
        <v>#ERROR!</v>
      </c>
      <c r="BI63" s="4">
        <v>11581.0</v>
      </c>
    </row>
    <row r="64" ht="12.75" hidden="1" customHeight="1">
      <c r="A64" s="5">
        <f>companies!A64</f>
        <v>63</v>
      </c>
      <c r="B64" s="199" t="s">
        <v>1254</v>
      </c>
      <c r="C64" s="199">
        <v>61803.0</v>
      </c>
      <c r="D64" s="199" t="s">
        <v>683</v>
      </c>
      <c r="E64" s="199">
        <v>218742.0</v>
      </c>
      <c r="F64" s="199" t="s">
        <v>683</v>
      </c>
      <c r="G64" s="199" t="s">
        <v>683</v>
      </c>
      <c r="H64" s="199" t="s">
        <v>683</v>
      </c>
      <c r="I64" s="199" t="s">
        <v>683</v>
      </c>
      <c r="J64" s="199" t="s">
        <v>683</v>
      </c>
      <c r="K64" s="199">
        <v>235863.0</v>
      </c>
      <c r="L64" s="199" t="s">
        <v>683</v>
      </c>
      <c r="M64" s="212" t="s">
        <v>683</v>
      </c>
      <c r="N64" s="212">
        <v>42619.0</v>
      </c>
      <c r="O64" s="212" t="s">
        <v>683</v>
      </c>
      <c r="P64" s="212" t="s">
        <v>683</v>
      </c>
      <c r="Q64" s="212" t="s">
        <v>683</v>
      </c>
      <c r="R64" s="199" t="s">
        <v>683</v>
      </c>
      <c r="S64" s="212" t="s">
        <v>683</v>
      </c>
      <c r="T64" s="212" t="s">
        <v>683</v>
      </c>
      <c r="U64" s="212" t="s">
        <v>683</v>
      </c>
      <c r="V64" s="212" t="s">
        <v>683</v>
      </c>
      <c r="W64" s="212">
        <f t="shared" si="10"/>
        <v>278482</v>
      </c>
      <c r="X64" s="199">
        <v>218742.0</v>
      </c>
      <c r="Y64" s="199">
        <v>559027.0</v>
      </c>
      <c r="Z64" s="199"/>
      <c r="AA64" s="199"/>
      <c r="AB64" s="199"/>
      <c r="AC64" s="199"/>
      <c r="AD64" s="212" t="s">
        <v>683</v>
      </c>
      <c r="AE64" s="212" t="s">
        <v>683</v>
      </c>
      <c r="AF64" s="213" t="str">
        <f>Table1[[#This Row],[2019 Scope 1 (MeT Co2)]]</f>
        <v>#ERROR!</v>
      </c>
      <c r="AG64" s="214" t="str">
        <f t="shared" si="2"/>
        <v>#ERROR!</v>
      </c>
      <c r="AH64" s="215" t="str">
        <f t="shared" si="3"/>
        <v>#ERROR!</v>
      </c>
      <c r="AI64" s="209"/>
      <c r="AJ64" s="209"/>
      <c r="AK64" s="212" t="s">
        <v>683</v>
      </c>
      <c r="AL64" s="212" t="s">
        <v>683</v>
      </c>
      <c r="AM64" s="213" t="str">
        <f>Table1[[#This Row],[2019 Scope 2 ]]</f>
        <v>#ERROR!</v>
      </c>
      <c r="AN64" s="214" t="str">
        <f t="shared" si="4"/>
        <v>#ERROR!</v>
      </c>
      <c r="AO64" s="215" t="str">
        <f t="shared" si="5"/>
        <v>#ERROR!</v>
      </c>
      <c r="AP64" s="214" t="str">
        <f t="shared" si="6"/>
        <v>#ERROR!</v>
      </c>
      <c r="AQ64" s="215" t="str">
        <f t="shared" si="7"/>
        <v>#ERROR!</v>
      </c>
      <c r="AR64" s="216" t="str">
        <f>Table1[[#This Row],[2019 Scope 3 ]]</f>
        <v>#ERROR!</v>
      </c>
      <c r="AS64" s="217" t="str">
        <f t="shared" si="8"/>
        <v>#ERROR!</v>
      </c>
      <c r="AT64" s="218" t="str">
        <f t="shared" si="9"/>
        <v>#ERROR!</v>
      </c>
      <c r="BI64" s="199">
        <v>11651.0</v>
      </c>
    </row>
    <row r="65" ht="12.75" hidden="1" customHeight="1">
      <c r="A65" s="5">
        <f>companies!A65</f>
        <v>64</v>
      </c>
      <c r="B65" s="199" t="s">
        <v>1254</v>
      </c>
      <c r="C65" s="199">
        <v>755340.0</v>
      </c>
      <c r="D65" s="199">
        <v>413550.0</v>
      </c>
      <c r="E65" s="199">
        <v>316630.0</v>
      </c>
      <c r="F65" s="199">
        <v>5155100.0</v>
      </c>
      <c r="G65" s="199">
        <v>339900.0</v>
      </c>
      <c r="H65" s="199">
        <v>240700.0</v>
      </c>
      <c r="I65" s="199">
        <v>271200.0</v>
      </c>
      <c r="J65" s="199">
        <v>19500.0</v>
      </c>
      <c r="K65" s="199">
        <v>340400.0</v>
      </c>
      <c r="L65" s="199">
        <v>272000.0</v>
      </c>
      <c r="M65" s="212" t="s">
        <v>683</v>
      </c>
      <c r="N65" s="212">
        <v>133200.0</v>
      </c>
      <c r="O65" s="212" t="s">
        <v>683</v>
      </c>
      <c r="P65" s="212">
        <v>142100.0</v>
      </c>
      <c r="Q65" s="212">
        <v>51500.0</v>
      </c>
      <c r="R65" s="199" t="s">
        <v>683</v>
      </c>
      <c r="S65" s="212" t="s">
        <v>683</v>
      </c>
      <c r="T65" s="212" t="s">
        <v>683</v>
      </c>
      <c r="U65" s="212" t="s">
        <v>683</v>
      </c>
      <c r="V65" s="212" t="s">
        <v>683</v>
      </c>
      <c r="W65" s="212">
        <f t="shared" si="10"/>
        <v>6965600</v>
      </c>
      <c r="X65" s="199">
        <v>316630.0</v>
      </c>
      <c r="Y65" s="199">
        <v>8037570.0</v>
      </c>
      <c r="Z65" s="199"/>
      <c r="AA65" s="199"/>
      <c r="AB65" s="199"/>
      <c r="AC65" s="199"/>
      <c r="AD65" s="212" t="s">
        <v>683</v>
      </c>
      <c r="AE65" s="212" t="s">
        <v>683</v>
      </c>
      <c r="AF65" s="213" t="str">
        <f>Table1[[#This Row],[2019 Scope 1 (MeT Co2)]]</f>
        <v>#ERROR!</v>
      </c>
      <c r="AG65" s="214" t="str">
        <f t="shared" si="2"/>
        <v>#ERROR!</v>
      </c>
      <c r="AH65" s="215" t="str">
        <f t="shared" si="3"/>
        <v>#ERROR!</v>
      </c>
      <c r="AI65" s="209"/>
      <c r="AJ65" s="209"/>
      <c r="AK65" s="212" t="s">
        <v>683</v>
      </c>
      <c r="AL65" s="212" t="s">
        <v>683</v>
      </c>
      <c r="AM65" s="213" t="str">
        <f>Table1[[#This Row],[2019 Scope 2 ]]</f>
        <v>#ERROR!</v>
      </c>
      <c r="AN65" s="214" t="str">
        <f t="shared" si="4"/>
        <v>#ERROR!</v>
      </c>
      <c r="AO65" s="215" t="str">
        <f t="shared" si="5"/>
        <v>#ERROR!</v>
      </c>
      <c r="AP65" s="214" t="str">
        <f t="shared" si="6"/>
        <v>#ERROR!</v>
      </c>
      <c r="AQ65" s="215" t="str">
        <f t="shared" si="7"/>
        <v>#ERROR!</v>
      </c>
      <c r="AR65" s="216" t="str">
        <f>Table1[[#This Row],[2019 Scope 3 ]]</f>
        <v>#ERROR!</v>
      </c>
      <c r="AS65" s="217" t="str">
        <f t="shared" si="8"/>
        <v>#ERROR!</v>
      </c>
      <c r="AT65" s="218" t="str">
        <f t="shared" si="9"/>
        <v>#ERROR!</v>
      </c>
      <c r="BI65" s="4">
        <v>11765.0</v>
      </c>
    </row>
    <row r="66" ht="12.75" hidden="1" customHeight="1">
      <c r="A66" s="5">
        <f>companies!A66</f>
        <v>65</v>
      </c>
      <c r="B66" s="199" t="s">
        <v>1254</v>
      </c>
      <c r="C66" s="199">
        <v>13613.0</v>
      </c>
      <c r="D66" s="199">
        <v>90280.0</v>
      </c>
      <c r="E66" s="199">
        <v>0.0</v>
      </c>
      <c r="F66" s="199">
        <v>5248302.0</v>
      </c>
      <c r="G66" s="199">
        <v>261.15</v>
      </c>
      <c r="H66" s="199">
        <v>21804.0</v>
      </c>
      <c r="I66" s="199">
        <v>6781.0</v>
      </c>
      <c r="J66" s="199">
        <v>810.0</v>
      </c>
      <c r="K66" s="199">
        <v>25959.0</v>
      </c>
      <c r="L66" s="199">
        <v>150269.0</v>
      </c>
      <c r="M66" s="212" t="s">
        <v>683</v>
      </c>
      <c r="N66" s="212" t="s">
        <v>683</v>
      </c>
      <c r="O66" s="212" t="s">
        <v>683</v>
      </c>
      <c r="P66" s="212" t="s">
        <v>683</v>
      </c>
      <c r="Q66" s="212" t="s">
        <v>683</v>
      </c>
      <c r="R66" s="199">
        <v>7777.0</v>
      </c>
      <c r="S66" s="212" t="s">
        <v>683</v>
      </c>
      <c r="T66" s="212" t="s">
        <v>683</v>
      </c>
      <c r="U66" s="212" t="s">
        <v>683</v>
      </c>
      <c r="V66" s="212" t="s">
        <v>683</v>
      </c>
      <c r="W66" s="212">
        <f t="shared" si="10"/>
        <v>5461963.15</v>
      </c>
      <c r="X66" s="199">
        <v>90280.0</v>
      </c>
      <c r="Y66" s="199">
        <v>5565856.15</v>
      </c>
      <c r="Z66" s="199"/>
      <c r="AA66" s="199"/>
      <c r="AB66" s="199"/>
      <c r="AC66" s="199"/>
      <c r="AD66" s="212" t="s">
        <v>683</v>
      </c>
      <c r="AE66" s="212" t="s">
        <v>683</v>
      </c>
      <c r="AF66" s="213" t="str">
        <f>Table1[[#This Row],[2019 Scope 1 (MeT Co2)]]</f>
        <v>#ERROR!</v>
      </c>
      <c r="AG66" s="214" t="str">
        <f t="shared" si="2"/>
        <v>#ERROR!</v>
      </c>
      <c r="AH66" s="215" t="str">
        <f t="shared" si="3"/>
        <v>#ERROR!</v>
      </c>
      <c r="AI66" s="209"/>
      <c r="AJ66" s="209"/>
      <c r="AK66" s="212" t="s">
        <v>683</v>
      </c>
      <c r="AL66" s="212" t="s">
        <v>683</v>
      </c>
      <c r="AM66" s="213" t="str">
        <f>Table1[[#This Row],[2019 Scope 2 ]]</f>
        <v>#ERROR!</v>
      </c>
      <c r="AN66" s="214" t="str">
        <f t="shared" si="4"/>
        <v>#ERROR!</v>
      </c>
      <c r="AO66" s="215" t="str">
        <f t="shared" si="5"/>
        <v>#ERROR!</v>
      </c>
      <c r="AP66" s="214" t="str">
        <f t="shared" si="6"/>
        <v>#ERROR!</v>
      </c>
      <c r="AQ66" s="215" t="str">
        <f t="shared" si="7"/>
        <v>#ERROR!</v>
      </c>
      <c r="AR66" s="216" t="str">
        <f>Table1[[#This Row],[2019 Scope 3 ]]</f>
        <v>#ERROR!</v>
      </c>
      <c r="AS66" s="217" t="str">
        <f t="shared" si="8"/>
        <v>#ERROR!</v>
      </c>
      <c r="AT66" s="218" t="str">
        <f t="shared" si="9"/>
        <v>#ERROR!</v>
      </c>
      <c r="BI66" s="4">
        <v>11796.0</v>
      </c>
    </row>
    <row r="67" ht="12.75" hidden="1" customHeight="1">
      <c r="A67" s="5">
        <f>companies!A67</f>
        <v>66</v>
      </c>
      <c r="B67" s="199" t="s">
        <v>1254</v>
      </c>
      <c r="C67" s="199">
        <v>113412.0</v>
      </c>
      <c r="D67" s="199">
        <v>3556553.0</v>
      </c>
      <c r="E67" s="199">
        <v>275375.0</v>
      </c>
      <c r="F67" s="199">
        <v>4200000.0</v>
      </c>
      <c r="G67" s="199">
        <v>2100000.0</v>
      </c>
      <c r="H67" s="199">
        <v>170000.0</v>
      </c>
      <c r="I67" s="199">
        <v>60000.0</v>
      </c>
      <c r="J67" s="199">
        <v>1200.0</v>
      </c>
      <c r="K67" s="199">
        <v>392557.0</v>
      </c>
      <c r="L67" s="199">
        <v>395000.0</v>
      </c>
      <c r="M67" s="212" t="s">
        <v>683</v>
      </c>
      <c r="N67" s="212">
        <v>53000.0</v>
      </c>
      <c r="O67" s="212" t="s">
        <v>683</v>
      </c>
      <c r="P67" s="212">
        <v>3874000.0</v>
      </c>
      <c r="Q67" s="212">
        <v>76000.0</v>
      </c>
      <c r="R67" s="199">
        <v>770.0</v>
      </c>
      <c r="S67" s="212" t="s">
        <v>683</v>
      </c>
      <c r="T67" s="212" t="s">
        <v>683</v>
      </c>
      <c r="U67" s="212" t="s">
        <v>683</v>
      </c>
      <c r="V67" s="212" t="s">
        <v>683</v>
      </c>
      <c r="W67" s="212">
        <f t="shared" si="10"/>
        <v>11322527</v>
      </c>
      <c r="X67" s="199">
        <v>275375.0</v>
      </c>
      <c r="Y67" s="199">
        <v>1.1711314E7</v>
      </c>
      <c r="Z67" s="199"/>
      <c r="AA67" s="199"/>
      <c r="AB67" s="199"/>
      <c r="AC67" s="199"/>
      <c r="AD67" s="212" t="s">
        <v>683</v>
      </c>
      <c r="AE67" s="212" t="s">
        <v>683</v>
      </c>
      <c r="AF67" s="213" t="str">
        <f>Table1[[#This Row],[2019 Scope 1 (MeT Co2)]]</f>
        <v>#ERROR!</v>
      </c>
      <c r="AG67" s="214" t="str">
        <f t="shared" si="2"/>
        <v>#ERROR!</v>
      </c>
      <c r="AH67" s="215" t="str">
        <f t="shared" si="3"/>
        <v>#ERROR!</v>
      </c>
      <c r="AI67" s="209"/>
      <c r="AJ67" s="209"/>
      <c r="AK67" s="212" t="s">
        <v>683</v>
      </c>
      <c r="AL67" s="212" t="s">
        <v>683</v>
      </c>
      <c r="AM67" s="213" t="str">
        <f>Table1[[#This Row],[2019 Scope 2 ]]</f>
        <v>#ERROR!</v>
      </c>
      <c r="AN67" s="214" t="str">
        <f t="shared" si="4"/>
        <v>#ERROR!</v>
      </c>
      <c r="AO67" s="215" t="str">
        <f t="shared" si="5"/>
        <v>#ERROR!</v>
      </c>
      <c r="AP67" s="214" t="str">
        <f t="shared" si="6"/>
        <v>#ERROR!</v>
      </c>
      <c r="AQ67" s="215" t="str">
        <f t="shared" si="7"/>
        <v>#ERROR!</v>
      </c>
      <c r="AR67" s="216" t="str">
        <f>Table1[[#This Row],[2019 Scope 3 ]]</f>
        <v>#ERROR!</v>
      </c>
      <c r="AS67" s="217" t="str">
        <f t="shared" si="8"/>
        <v>#ERROR!</v>
      </c>
      <c r="AT67" s="218" t="str">
        <f t="shared" si="9"/>
        <v>#ERROR!</v>
      </c>
      <c r="BI67" s="4">
        <v>11930.0</v>
      </c>
    </row>
    <row r="68" ht="12.75" hidden="1" customHeight="1">
      <c r="A68" s="5">
        <f>companies!A68</f>
        <v>67</v>
      </c>
      <c r="B68" s="199" t="s">
        <v>1254</v>
      </c>
      <c r="C68" s="199">
        <v>856590.0</v>
      </c>
      <c r="D68" s="199">
        <v>938601.0</v>
      </c>
      <c r="E68" s="199">
        <v>906349.0</v>
      </c>
      <c r="F68" s="199">
        <v>1.5034298E7</v>
      </c>
      <c r="G68" s="199" t="s">
        <v>683</v>
      </c>
      <c r="H68" s="199">
        <v>1164761.0</v>
      </c>
      <c r="I68" s="199">
        <v>2311217.0</v>
      </c>
      <c r="J68" s="199">
        <v>84072.0</v>
      </c>
      <c r="K68" s="199">
        <v>41446.0</v>
      </c>
      <c r="L68" s="199">
        <v>190306.0</v>
      </c>
      <c r="M68" s="212" t="s">
        <v>683</v>
      </c>
      <c r="N68" s="212">
        <v>89945.0</v>
      </c>
      <c r="O68" s="212" t="s">
        <v>683</v>
      </c>
      <c r="P68" s="212">
        <v>52986.0</v>
      </c>
      <c r="Q68" s="212">
        <v>883179.0</v>
      </c>
      <c r="R68" s="199" t="s">
        <v>683</v>
      </c>
      <c r="S68" s="212" t="s">
        <v>683</v>
      </c>
      <c r="T68" s="212" t="s">
        <v>683</v>
      </c>
      <c r="U68" s="212" t="s">
        <v>683</v>
      </c>
      <c r="V68" s="212" t="s">
        <v>683</v>
      </c>
      <c r="W68" s="212">
        <f t="shared" si="10"/>
        <v>19852210</v>
      </c>
      <c r="X68" s="199">
        <v>906349.0</v>
      </c>
      <c r="Y68" s="199">
        <v>2.1615149E7</v>
      </c>
      <c r="Z68" s="199"/>
      <c r="AA68" s="199"/>
      <c r="AB68" s="199"/>
      <c r="AC68" s="199"/>
      <c r="AD68" s="212" t="s">
        <v>683</v>
      </c>
      <c r="AE68" s="212" t="s">
        <v>683</v>
      </c>
      <c r="AF68" s="213" t="str">
        <f>Table1[[#This Row],[2019 Scope 1 (MeT Co2)]]</f>
        <v>#ERROR!</v>
      </c>
      <c r="AG68" s="214" t="str">
        <f t="shared" si="2"/>
        <v>#ERROR!</v>
      </c>
      <c r="AH68" s="215" t="str">
        <f t="shared" si="3"/>
        <v>#ERROR!</v>
      </c>
      <c r="AI68" s="209"/>
      <c r="AJ68" s="209"/>
      <c r="AK68" s="212" t="s">
        <v>683</v>
      </c>
      <c r="AL68" s="212" t="s">
        <v>683</v>
      </c>
      <c r="AM68" s="213" t="str">
        <f>Table1[[#This Row],[2019 Scope 2 ]]</f>
        <v>#ERROR!</v>
      </c>
      <c r="AN68" s="214" t="str">
        <f t="shared" si="4"/>
        <v>#ERROR!</v>
      </c>
      <c r="AO68" s="215" t="str">
        <f t="shared" si="5"/>
        <v>#ERROR!</v>
      </c>
      <c r="AP68" s="214" t="str">
        <f t="shared" si="6"/>
        <v>#ERROR!</v>
      </c>
      <c r="AQ68" s="215" t="str">
        <f t="shared" si="7"/>
        <v>#ERROR!</v>
      </c>
      <c r="AR68" s="216" t="str">
        <f>Table1[[#This Row],[2019 Scope 3 ]]</f>
        <v>#ERROR!</v>
      </c>
      <c r="AS68" s="217" t="str">
        <f t="shared" si="8"/>
        <v>#ERROR!</v>
      </c>
      <c r="AT68" s="218" t="str">
        <f t="shared" si="9"/>
        <v>#ERROR!</v>
      </c>
      <c r="BI68" s="4">
        <v>42037.0</v>
      </c>
    </row>
    <row r="69" ht="12.75" hidden="1" customHeight="1">
      <c r="A69" s="5">
        <f>companies!A69</f>
        <v>68</v>
      </c>
      <c r="B69" s="199" t="s">
        <v>1254</v>
      </c>
      <c r="C69" s="199">
        <v>28300.0</v>
      </c>
      <c r="D69" s="199">
        <v>199800.0</v>
      </c>
      <c r="E69" s="199">
        <v>176200.0</v>
      </c>
      <c r="F69" s="199">
        <v>911000.0</v>
      </c>
      <c r="G69" s="199">
        <v>192000.0</v>
      </c>
      <c r="H69" s="199">
        <v>46600.0</v>
      </c>
      <c r="I69" s="199" t="s">
        <v>683</v>
      </c>
      <c r="J69" s="199">
        <v>6490.0</v>
      </c>
      <c r="K69" s="199">
        <v>99700.0</v>
      </c>
      <c r="L69" s="199">
        <v>112550.0</v>
      </c>
      <c r="M69" s="212" t="s">
        <v>683</v>
      </c>
      <c r="N69" s="212" t="s">
        <v>683</v>
      </c>
      <c r="O69" s="212" t="s">
        <v>683</v>
      </c>
      <c r="P69" s="212" t="s">
        <v>683</v>
      </c>
      <c r="Q69" s="212">
        <v>6000.0</v>
      </c>
      <c r="R69" s="199">
        <v>200.0</v>
      </c>
      <c r="S69" s="212" t="s">
        <v>683</v>
      </c>
      <c r="T69" s="212" t="s">
        <v>683</v>
      </c>
      <c r="U69" s="212" t="s">
        <v>683</v>
      </c>
      <c r="V69" s="212" t="s">
        <v>683</v>
      </c>
      <c r="W69" s="212">
        <f t="shared" si="10"/>
        <v>1374540</v>
      </c>
      <c r="X69" s="199">
        <v>176200.0</v>
      </c>
      <c r="Y69" s="199">
        <v>1579040.0</v>
      </c>
      <c r="Z69" s="199"/>
      <c r="AA69" s="199"/>
      <c r="AB69" s="199"/>
      <c r="AC69" s="199"/>
      <c r="AD69" s="212" t="s">
        <v>683</v>
      </c>
      <c r="AE69" s="212" t="s">
        <v>683</v>
      </c>
      <c r="AF69" s="213" t="str">
        <f>Table1[[#This Row],[2019 Scope 1 (MeT Co2)]]</f>
        <v>#ERROR!</v>
      </c>
      <c r="AG69" s="214" t="str">
        <f t="shared" si="2"/>
        <v>#ERROR!</v>
      </c>
      <c r="AH69" s="215" t="str">
        <f t="shared" si="3"/>
        <v>#ERROR!</v>
      </c>
      <c r="AI69" s="209"/>
      <c r="AJ69" s="209"/>
      <c r="AK69" s="212" t="s">
        <v>683</v>
      </c>
      <c r="AL69" s="212" t="s">
        <v>683</v>
      </c>
      <c r="AM69" s="213" t="str">
        <f>Table1[[#This Row],[2019 Scope 2 ]]</f>
        <v>#ERROR!</v>
      </c>
      <c r="AN69" s="214" t="str">
        <f t="shared" si="4"/>
        <v>#ERROR!</v>
      </c>
      <c r="AO69" s="215" t="str">
        <f t="shared" si="5"/>
        <v>#ERROR!</v>
      </c>
      <c r="AP69" s="214" t="str">
        <f t="shared" si="6"/>
        <v>#ERROR!</v>
      </c>
      <c r="AQ69" s="215" t="str">
        <f t="shared" si="7"/>
        <v>#ERROR!</v>
      </c>
      <c r="AR69" s="216" t="str">
        <f>Table1[[#This Row],[2019 Scope 3 ]]</f>
        <v>#ERROR!</v>
      </c>
      <c r="AS69" s="217" t="str">
        <f t="shared" si="8"/>
        <v>#ERROR!</v>
      </c>
      <c r="AT69" s="218" t="str">
        <f t="shared" si="9"/>
        <v>#ERROR!</v>
      </c>
      <c r="BI69" s="4">
        <v>12406.0</v>
      </c>
    </row>
    <row r="70" ht="12.75" hidden="1" customHeight="1">
      <c r="A70" s="5">
        <f>companies!A70</f>
        <v>69</v>
      </c>
      <c r="B70" s="199" t="s">
        <v>1254</v>
      </c>
      <c r="C70" s="199" t="s">
        <v>1262</v>
      </c>
      <c r="D70" s="199" t="s">
        <v>1262</v>
      </c>
      <c r="E70" s="199" t="s">
        <v>1262</v>
      </c>
      <c r="F70" s="199" t="s">
        <v>1262</v>
      </c>
      <c r="G70" s="199" t="s">
        <v>1262</v>
      </c>
      <c r="H70" s="199" t="s">
        <v>1262</v>
      </c>
      <c r="I70" s="199" t="s">
        <v>1262</v>
      </c>
      <c r="J70" s="199" t="s">
        <v>1262</v>
      </c>
      <c r="K70" s="199" t="s">
        <v>1262</v>
      </c>
      <c r="L70" s="199" t="s">
        <v>1262</v>
      </c>
      <c r="M70" s="199" t="s">
        <v>1262</v>
      </c>
      <c r="N70" s="199" t="s">
        <v>1262</v>
      </c>
      <c r="O70" s="199" t="s">
        <v>1262</v>
      </c>
      <c r="P70" s="199" t="s">
        <v>1262</v>
      </c>
      <c r="Q70" s="199" t="s">
        <v>1262</v>
      </c>
      <c r="R70" s="199" t="s">
        <v>1262</v>
      </c>
      <c r="S70" s="199" t="s">
        <v>1262</v>
      </c>
      <c r="T70" s="199" t="s">
        <v>1262</v>
      </c>
      <c r="U70" s="199" t="s">
        <v>1262</v>
      </c>
      <c r="V70" s="199" t="s">
        <v>1262</v>
      </c>
      <c r="W70" s="212">
        <f t="shared" si="10"/>
        <v>0</v>
      </c>
      <c r="X70" s="199">
        <v>0.0</v>
      </c>
      <c r="Y70" s="199"/>
      <c r="Z70" s="199"/>
      <c r="AA70" s="199"/>
      <c r="AB70" s="212"/>
      <c r="AC70" s="212"/>
      <c r="AD70" s="212" t="e">
        <v>#N/A</v>
      </c>
      <c r="AE70" s="212" t="e">
        <v>#N/A</v>
      </c>
      <c r="AF70" s="213" t="str">
        <f>Table1[[#This Row],[2019 Scope 1 (MeT Co2)]]</f>
        <v>#ERROR!</v>
      </c>
      <c r="AG70" s="214" t="str">
        <f t="shared" si="2"/>
        <v>#ERROR!</v>
      </c>
      <c r="AH70" s="215" t="str">
        <f t="shared" si="3"/>
        <v>#ERROR!</v>
      </c>
      <c r="AI70" s="209"/>
      <c r="AJ70" s="209"/>
      <c r="AK70" s="212" t="e">
        <v>#N/A</v>
      </c>
      <c r="AL70" s="212" t="e">
        <v>#N/A</v>
      </c>
      <c r="AM70" s="213" t="str">
        <f>Table1[[#This Row],[2019 Scope 2 ]]</f>
        <v>#ERROR!</v>
      </c>
      <c r="AN70" s="214" t="str">
        <f t="shared" si="4"/>
        <v>#ERROR!</v>
      </c>
      <c r="AO70" s="215" t="str">
        <f t="shared" si="5"/>
        <v>#ERROR!</v>
      </c>
      <c r="AP70" s="214" t="str">
        <f t="shared" si="6"/>
        <v>#ERROR!</v>
      </c>
      <c r="AQ70" s="215" t="str">
        <f t="shared" si="7"/>
        <v>#ERROR!</v>
      </c>
      <c r="AR70" s="216" t="str">
        <f>Table1[[#This Row],[2019 Scope 3 ]]</f>
        <v>#ERROR!</v>
      </c>
      <c r="AS70" s="217" t="str">
        <f t="shared" si="8"/>
        <v>#ERROR!</v>
      </c>
      <c r="AT70" s="218" t="str">
        <f t="shared" si="9"/>
        <v>#ERROR!</v>
      </c>
    </row>
    <row r="71" ht="12.75" hidden="1" customHeight="1">
      <c r="A71" s="5">
        <f>companies!A71</f>
        <v>70</v>
      </c>
      <c r="B71" s="199" t="s">
        <v>1254</v>
      </c>
      <c r="C71" s="199" t="s">
        <v>1262</v>
      </c>
      <c r="D71" s="199" t="s">
        <v>1262</v>
      </c>
      <c r="E71" s="199" t="s">
        <v>1262</v>
      </c>
      <c r="F71" s="199" t="s">
        <v>1262</v>
      </c>
      <c r="G71" s="199" t="s">
        <v>1262</v>
      </c>
      <c r="H71" s="199" t="s">
        <v>1262</v>
      </c>
      <c r="I71" s="199" t="s">
        <v>1262</v>
      </c>
      <c r="J71" s="199" t="s">
        <v>1262</v>
      </c>
      <c r="K71" s="199" t="s">
        <v>1262</v>
      </c>
      <c r="L71" s="199" t="s">
        <v>1262</v>
      </c>
      <c r="M71" s="199" t="s">
        <v>1262</v>
      </c>
      <c r="N71" s="199" t="s">
        <v>1262</v>
      </c>
      <c r="O71" s="199" t="s">
        <v>1262</v>
      </c>
      <c r="P71" s="199" t="s">
        <v>1262</v>
      </c>
      <c r="Q71" s="199" t="s">
        <v>1262</v>
      </c>
      <c r="R71" s="199" t="s">
        <v>1262</v>
      </c>
      <c r="S71" s="199" t="s">
        <v>1262</v>
      </c>
      <c r="T71" s="199" t="s">
        <v>1262</v>
      </c>
      <c r="U71" s="199" t="s">
        <v>1262</v>
      </c>
      <c r="V71" s="199" t="s">
        <v>1262</v>
      </c>
      <c r="W71" s="212">
        <f t="shared" si="10"/>
        <v>0</v>
      </c>
      <c r="X71" s="199">
        <v>0.0</v>
      </c>
      <c r="Y71" s="199"/>
      <c r="Z71" s="199"/>
      <c r="AA71" s="199"/>
      <c r="AB71" s="212"/>
      <c r="AC71" s="212"/>
      <c r="AD71" s="212" t="e">
        <v>#N/A</v>
      </c>
      <c r="AE71" s="212" t="e">
        <v>#N/A</v>
      </c>
      <c r="AF71" s="213" t="str">
        <f>Table1[[#This Row],[2019 Scope 1 (MeT Co2)]]</f>
        <v>#ERROR!</v>
      </c>
      <c r="AG71" s="214" t="str">
        <f t="shared" si="2"/>
        <v>#ERROR!</v>
      </c>
      <c r="AH71" s="215" t="str">
        <f t="shared" si="3"/>
        <v>#ERROR!</v>
      </c>
      <c r="AI71" s="209"/>
      <c r="AJ71" s="209"/>
      <c r="AK71" s="212" t="e">
        <v>#N/A</v>
      </c>
      <c r="AL71" s="212" t="e">
        <v>#N/A</v>
      </c>
      <c r="AM71" s="213" t="str">
        <f>Table1[[#This Row],[2019 Scope 2 ]]</f>
        <v>#ERROR!</v>
      </c>
      <c r="AN71" s="214" t="str">
        <f t="shared" si="4"/>
        <v>#ERROR!</v>
      </c>
      <c r="AO71" s="215" t="str">
        <f t="shared" si="5"/>
        <v>#ERROR!</v>
      </c>
      <c r="AP71" s="214" t="str">
        <f t="shared" si="6"/>
        <v>#ERROR!</v>
      </c>
      <c r="AQ71" s="215" t="str">
        <f t="shared" si="7"/>
        <v>#ERROR!</v>
      </c>
      <c r="AR71" s="216" t="str">
        <f>Table1[[#This Row],[2019 Scope 3 ]]</f>
        <v>#ERROR!</v>
      </c>
      <c r="AS71" s="217" t="str">
        <f t="shared" si="8"/>
        <v>#ERROR!</v>
      </c>
      <c r="AT71" s="218" t="str">
        <f t="shared" si="9"/>
        <v>#ERROR!</v>
      </c>
    </row>
    <row r="72" ht="12.75" hidden="1" customHeight="1">
      <c r="A72" s="5">
        <f>companies!A72</f>
        <v>71</v>
      </c>
      <c r="B72" s="199" t="s">
        <v>1254</v>
      </c>
      <c r="C72" s="199">
        <v>46714.0</v>
      </c>
      <c r="D72" s="199">
        <v>258171.0</v>
      </c>
      <c r="E72" s="199">
        <v>209065.0</v>
      </c>
      <c r="F72" s="199">
        <v>7700000.0</v>
      </c>
      <c r="G72" s="199" t="s">
        <v>683</v>
      </c>
      <c r="H72" s="199">
        <v>15000.0</v>
      </c>
      <c r="I72" s="199">
        <v>1100000.0</v>
      </c>
      <c r="J72" s="199">
        <v>2000.0</v>
      </c>
      <c r="K72" s="199">
        <v>89000.0</v>
      </c>
      <c r="L72" s="199">
        <v>131000.0</v>
      </c>
      <c r="M72" s="212" t="s">
        <v>683</v>
      </c>
      <c r="N72" s="212">
        <v>101000.0</v>
      </c>
      <c r="O72" s="212" t="s">
        <v>683</v>
      </c>
      <c r="P72" s="212">
        <v>6200000.0</v>
      </c>
      <c r="Q72" s="212">
        <v>439000.0</v>
      </c>
      <c r="R72" s="199" t="s">
        <v>683</v>
      </c>
      <c r="S72" s="212" t="s">
        <v>683</v>
      </c>
      <c r="T72" s="212" t="s">
        <v>683</v>
      </c>
      <c r="U72" s="212" t="s">
        <v>683</v>
      </c>
      <c r="V72" s="212" t="s">
        <v>683</v>
      </c>
      <c r="W72" s="212">
        <f t="shared" si="10"/>
        <v>15777000</v>
      </c>
      <c r="X72" s="199">
        <v>209065.0</v>
      </c>
      <c r="Y72" s="199">
        <v>1.6032779E7</v>
      </c>
      <c r="Z72" s="199"/>
      <c r="AA72" s="199"/>
      <c r="AB72" s="199"/>
      <c r="AC72" s="199"/>
      <c r="AD72" s="212" t="s">
        <v>1260</v>
      </c>
      <c r="AE72" s="212" t="s">
        <v>1261</v>
      </c>
      <c r="AF72" s="213" t="str">
        <f>Table1[[#This Row],[2019 Scope 1 (MeT Co2)]]</f>
        <v>#ERROR!</v>
      </c>
      <c r="AG72" s="214" t="str">
        <f t="shared" si="2"/>
        <v>#ERROR!</v>
      </c>
      <c r="AH72" s="215" t="str">
        <f t="shared" si="3"/>
        <v>#ERROR!</v>
      </c>
      <c r="AI72" s="209"/>
      <c r="AJ72" s="209"/>
      <c r="AK72" s="212" t="s">
        <v>1260</v>
      </c>
      <c r="AL72" s="212" t="s">
        <v>1261</v>
      </c>
      <c r="AM72" s="213" t="str">
        <f>Table1[[#This Row],[2019 Scope 2 ]]</f>
        <v>#ERROR!</v>
      </c>
      <c r="AN72" s="214" t="str">
        <f t="shared" si="4"/>
        <v>#ERROR!</v>
      </c>
      <c r="AO72" s="215" t="str">
        <f t="shared" si="5"/>
        <v>#ERROR!</v>
      </c>
      <c r="AP72" s="214" t="str">
        <f t="shared" si="6"/>
        <v>#ERROR!</v>
      </c>
      <c r="AQ72" s="215" t="str">
        <f t="shared" si="7"/>
        <v>#ERROR!</v>
      </c>
      <c r="AR72" s="216" t="str">
        <f>Table1[[#This Row],[2019 Scope 3 ]]</f>
        <v>#ERROR!</v>
      </c>
      <c r="AS72" s="217" t="str">
        <f t="shared" si="8"/>
        <v>#ERROR!</v>
      </c>
      <c r="AT72" s="218" t="str">
        <f t="shared" si="9"/>
        <v>#ERROR!</v>
      </c>
      <c r="BI72" s="4">
        <v>13279.0</v>
      </c>
    </row>
    <row r="73" ht="12.75" hidden="1" customHeight="1">
      <c r="A73" s="5">
        <f>companies!A73</f>
        <v>72</v>
      </c>
      <c r="B73" s="199" t="s">
        <v>1254</v>
      </c>
      <c r="C73" s="199">
        <v>2817.0</v>
      </c>
      <c r="D73" s="199">
        <v>74692.0</v>
      </c>
      <c r="E73" s="199">
        <v>65936.0</v>
      </c>
      <c r="F73" s="199">
        <v>224687.0</v>
      </c>
      <c r="G73" s="199">
        <v>72946.0</v>
      </c>
      <c r="H73" s="199">
        <v>27885.0</v>
      </c>
      <c r="I73" s="199">
        <v>30380.0</v>
      </c>
      <c r="J73" s="199">
        <v>752.0</v>
      </c>
      <c r="K73" s="199">
        <v>31285.0</v>
      </c>
      <c r="L73" s="199">
        <v>17929.0</v>
      </c>
      <c r="M73" s="212">
        <v>9329.0</v>
      </c>
      <c r="N73" s="212" t="s">
        <v>683</v>
      </c>
      <c r="O73" s="212" t="s">
        <v>683</v>
      </c>
      <c r="P73" s="212" t="s">
        <v>683</v>
      </c>
      <c r="Q73" s="212" t="s">
        <v>683</v>
      </c>
      <c r="R73" s="199" t="s">
        <v>683</v>
      </c>
      <c r="S73" s="212" t="s">
        <v>683</v>
      </c>
      <c r="T73" s="212" t="s">
        <v>683</v>
      </c>
      <c r="U73" s="212" t="s">
        <v>683</v>
      </c>
      <c r="V73" s="212" t="s">
        <v>683</v>
      </c>
      <c r="W73" s="212">
        <f t="shared" si="10"/>
        <v>415193</v>
      </c>
      <c r="X73" s="199">
        <v>65936.0</v>
      </c>
      <c r="Y73" s="199">
        <v>483946.0</v>
      </c>
      <c r="Z73" s="199"/>
      <c r="AA73" s="199"/>
      <c r="AB73" s="199"/>
      <c r="AC73" s="199"/>
      <c r="AD73" s="212" t="s">
        <v>683</v>
      </c>
      <c r="AE73" s="212" t="s">
        <v>683</v>
      </c>
      <c r="AF73" s="213" t="str">
        <f>Table1[[#This Row],[2019 Scope 1 (MeT Co2)]]</f>
        <v>#ERROR!</v>
      </c>
      <c r="AG73" s="214" t="str">
        <f t="shared" si="2"/>
        <v>#ERROR!</v>
      </c>
      <c r="AH73" s="215" t="str">
        <f t="shared" si="3"/>
        <v>#ERROR!</v>
      </c>
      <c r="AI73" s="209"/>
      <c r="AJ73" s="209"/>
      <c r="AK73" s="212" t="s">
        <v>683</v>
      </c>
      <c r="AL73" s="212" t="s">
        <v>683</v>
      </c>
      <c r="AM73" s="213" t="str">
        <f>Table1[[#This Row],[2019 Scope 2 ]]</f>
        <v>#ERROR!</v>
      </c>
      <c r="AN73" s="214" t="str">
        <f t="shared" si="4"/>
        <v>#ERROR!</v>
      </c>
      <c r="AO73" s="219" t="str">
        <f t="shared" si="5"/>
        <v>#ERROR!</v>
      </c>
      <c r="AP73" s="214" t="str">
        <f t="shared" si="6"/>
        <v>#ERROR!</v>
      </c>
      <c r="AQ73" s="219" t="str">
        <f t="shared" si="7"/>
        <v>#ERROR!</v>
      </c>
      <c r="AR73" s="216" t="str">
        <f>Table1[[#This Row],[2019 Scope 3 ]]</f>
        <v>#ERROR!</v>
      </c>
      <c r="AS73" s="217" t="str">
        <f t="shared" si="8"/>
        <v>#ERROR!</v>
      </c>
      <c r="AT73" s="218" t="str">
        <f t="shared" si="9"/>
        <v>#ERROR!</v>
      </c>
      <c r="BI73" s="199">
        <v>13604.0</v>
      </c>
    </row>
    <row r="74" ht="12.75" hidden="1" customHeight="1">
      <c r="A74" s="5">
        <f>companies!A74</f>
        <v>73</v>
      </c>
      <c r="B74" s="199" t="s">
        <v>1254</v>
      </c>
      <c r="C74" s="199">
        <v>2.2430197E7</v>
      </c>
      <c r="D74" s="199">
        <v>6420000.0</v>
      </c>
      <c r="E74" s="199" t="s">
        <v>683</v>
      </c>
      <c r="F74" s="199" t="s">
        <v>683</v>
      </c>
      <c r="G74" s="199" t="s">
        <v>683</v>
      </c>
      <c r="H74" s="199" t="s">
        <v>683</v>
      </c>
      <c r="I74" s="199">
        <v>0.0</v>
      </c>
      <c r="J74" s="199" t="s">
        <v>683</v>
      </c>
      <c r="K74" s="199" t="s">
        <v>683</v>
      </c>
      <c r="L74" s="199" t="s">
        <v>683</v>
      </c>
      <c r="M74" s="212" t="s">
        <v>683</v>
      </c>
      <c r="N74" s="212" t="s">
        <v>683</v>
      </c>
      <c r="O74" s="212">
        <v>1.03E8</v>
      </c>
      <c r="P74" s="212">
        <v>1.03E8</v>
      </c>
      <c r="Q74" s="212" t="s">
        <v>683</v>
      </c>
      <c r="R74" s="199" t="s">
        <v>683</v>
      </c>
      <c r="S74" s="212" t="s">
        <v>683</v>
      </c>
      <c r="T74" s="212" t="s">
        <v>683</v>
      </c>
      <c r="U74" s="212" t="s">
        <v>683</v>
      </c>
      <c r="V74" s="212" t="s">
        <v>683</v>
      </c>
      <c r="W74" s="212">
        <f t="shared" si="10"/>
        <v>206000000</v>
      </c>
      <c r="X74" s="199">
        <v>6420000.0</v>
      </c>
      <c r="Y74" s="199">
        <v>2.34850197E8</v>
      </c>
      <c r="Z74" s="199"/>
      <c r="AA74" s="199"/>
      <c r="AB74" s="212"/>
      <c r="AC74" s="212"/>
      <c r="AD74" s="212" t="s">
        <v>683</v>
      </c>
      <c r="AE74" s="212" t="s">
        <v>683</v>
      </c>
      <c r="AF74" s="213" t="str">
        <f>Table1[[#This Row],[2019 Scope 1 (MeT Co2)]]</f>
        <v>#ERROR!</v>
      </c>
      <c r="AG74" s="214" t="str">
        <f t="shared" si="2"/>
        <v>#ERROR!</v>
      </c>
      <c r="AH74" s="215" t="str">
        <f t="shared" si="3"/>
        <v>#ERROR!</v>
      </c>
      <c r="AI74" s="209"/>
      <c r="AJ74" s="209"/>
      <c r="AK74" s="212" t="s">
        <v>683</v>
      </c>
      <c r="AL74" s="212" t="s">
        <v>683</v>
      </c>
      <c r="AM74" s="213" t="str">
        <f>Table1[[#This Row],[2019 Scope 2 ]]</f>
        <v>#ERROR!</v>
      </c>
      <c r="AN74" s="214" t="str">
        <f t="shared" si="4"/>
        <v>#ERROR!</v>
      </c>
      <c r="AO74" s="215" t="str">
        <f t="shared" si="5"/>
        <v>#ERROR!</v>
      </c>
      <c r="AP74" s="214" t="str">
        <f t="shared" si="6"/>
        <v>#ERROR!</v>
      </c>
      <c r="AQ74" s="215" t="str">
        <f t="shared" si="7"/>
        <v>#ERROR!</v>
      </c>
      <c r="AR74" s="216" t="str">
        <f>Table1[[#This Row],[2019 Scope 3 ]]</f>
        <v>#ERROR!</v>
      </c>
      <c r="AS74" s="217" t="str">
        <f t="shared" si="8"/>
        <v>#ERROR!</v>
      </c>
      <c r="AT74" s="218" t="str">
        <f t="shared" si="9"/>
        <v>#ERROR!</v>
      </c>
      <c r="BI74" s="4">
        <v>13649.0</v>
      </c>
    </row>
    <row r="75" ht="12.75" hidden="1" customHeight="1">
      <c r="A75" s="5">
        <f>companies!A75</f>
        <v>74</v>
      </c>
      <c r="B75" s="199" t="s">
        <v>1254</v>
      </c>
      <c r="C75" s="199">
        <v>16520.0</v>
      </c>
      <c r="D75" s="199">
        <v>560683.0</v>
      </c>
      <c r="E75" s="199">
        <v>349022.0</v>
      </c>
      <c r="F75" s="199">
        <v>1139792.0</v>
      </c>
      <c r="G75" s="199">
        <v>151888.0</v>
      </c>
      <c r="H75" s="199">
        <v>21233.0</v>
      </c>
      <c r="I75" s="199">
        <v>8956.0</v>
      </c>
      <c r="J75" s="199">
        <v>1055.0</v>
      </c>
      <c r="K75" s="199">
        <v>173807.0</v>
      </c>
      <c r="L75" s="199">
        <v>70.0</v>
      </c>
      <c r="M75" s="212" t="s">
        <v>683</v>
      </c>
      <c r="N75" s="212">
        <v>35824.0</v>
      </c>
      <c r="O75" s="212" t="s">
        <v>683</v>
      </c>
      <c r="P75" s="212" t="s">
        <v>683</v>
      </c>
      <c r="Q75" s="212" t="s">
        <v>683</v>
      </c>
      <c r="R75" s="199">
        <v>10915.0</v>
      </c>
      <c r="S75" s="212" t="s">
        <v>683</v>
      </c>
      <c r="T75" s="212" t="s">
        <v>683</v>
      </c>
      <c r="U75" s="212" t="s">
        <v>683</v>
      </c>
      <c r="V75" s="212" t="s">
        <v>683</v>
      </c>
      <c r="W75" s="212">
        <f t="shared" si="10"/>
        <v>1543540</v>
      </c>
      <c r="X75" s="199">
        <v>349022.0</v>
      </c>
      <c r="Y75" s="199">
        <v>1909082.0</v>
      </c>
      <c r="Z75" s="199"/>
      <c r="AA75" s="199"/>
      <c r="AB75" s="199"/>
      <c r="AC75" s="199"/>
      <c r="AD75" s="212" t="s">
        <v>683</v>
      </c>
      <c r="AE75" s="212" t="s">
        <v>683</v>
      </c>
      <c r="AF75" s="213" t="str">
        <f>Table1[[#This Row],[2019 Scope 1 (MeT Co2)]]</f>
        <v>#ERROR!</v>
      </c>
      <c r="AG75" s="214" t="str">
        <f t="shared" si="2"/>
        <v>#ERROR!</v>
      </c>
      <c r="AH75" s="215" t="str">
        <f t="shared" si="3"/>
        <v>#ERROR!</v>
      </c>
      <c r="AI75" s="209"/>
      <c r="AJ75" s="209"/>
      <c r="AK75" s="212" t="s">
        <v>683</v>
      </c>
      <c r="AL75" s="212" t="s">
        <v>683</v>
      </c>
      <c r="AM75" s="213" t="str">
        <f>Table1[[#This Row],[2019 Scope 2 ]]</f>
        <v>#ERROR!</v>
      </c>
      <c r="AN75" s="214" t="str">
        <f t="shared" si="4"/>
        <v>#ERROR!</v>
      </c>
      <c r="AO75" s="215" t="str">
        <f t="shared" si="5"/>
        <v>#ERROR!</v>
      </c>
      <c r="AP75" s="214" t="str">
        <f t="shared" si="6"/>
        <v>#ERROR!</v>
      </c>
      <c r="AQ75" s="215" t="str">
        <f t="shared" si="7"/>
        <v>#ERROR!</v>
      </c>
      <c r="AR75" s="216" t="str">
        <f>Table1[[#This Row],[2019 Scope 3 ]]</f>
        <v>#ERROR!</v>
      </c>
      <c r="AS75" s="217" t="str">
        <f t="shared" si="8"/>
        <v>#ERROR!</v>
      </c>
      <c r="AT75" s="218" t="str">
        <f t="shared" si="9"/>
        <v>#ERROR!</v>
      </c>
      <c r="BI75" s="4">
        <v>14013.0</v>
      </c>
    </row>
    <row r="76" ht="12.75" hidden="1" customHeight="1">
      <c r="A76" s="5">
        <f>companies!A76</f>
        <v>75</v>
      </c>
      <c r="B76" s="199" t="s">
        <v>1254</v>
      </c>
      <c r="C76" s="199">
        <v>9897.0</v>
      </c>
      <c r="D76" s="199" t="s">
        <v>683</v>
      </c>
      <c r="E76" s="199">
        <v>47911.0</v>
      </c>
      <c r="F76" s="199" t="s">
        <v>683</v>
      </c>
      <c r="G76" s="199" t="s">
        <v>683</v>
      </c>
      <c r="H76" s="199" t="s">
        <v>683</v>
      </c>
      <c r="I76" s="199" t="s">
        <v>683</v>
      </c>
      <c r="J76" s="199" t="s">
        <v>683</v>
      </c>
      <c r="K76" s="199">
        <v>32130.06</v>
      </c>
      <c r="L76" s="199" t="s">
        <v>683</v>
      </c>
      <c r="M76" s="212" t="s">
        <v>683</v>
      </c>
      <c r="N76" s="212" t="s">
        <v>683</v>
      </c>
      <c r="O76" s="212" t="s">
        <v>683</v>
      </c>
      <c r="P76" s="212" t="s">
        <v>683</v>
      </c>
      <c r="Q76" s="212" t="s">
        <v>683</v>
      </c>
      <c r="R76" s="199" t="s">
        <v>683</v>
      </c>
      <c r="S76" s="212" t="s">
        <v>683</v>
      </c>
      <c r="T76" s="212" t="s">
        <v>683</v>
      </c>
      <c r="U76" s="212" t="s">
        <v>683</v>
      </c>
      <c r="V76" s="212" t="s">
        <v>683</v>
      </c>
      <c r="W76" s="212">
        <f t="shared" si="10"/>
        <v>32130.06</v>
      </c>
      <c r="X76" s="199">
        <v>47911.0</v>
      </c>
      <c r="Y76" s="199">
        <v>89938.06</v>
      </c>
      <c r="Z76" s="199"/>
      <c r="AA76" s="199"/>
      <c r="AB76" s="199"/>
      <c r="AC76" s="199"/>
      <c r="AD76" s="212" t="s">
        <v>1255</v>
      </c>
      <c r="AE76" s="212" t="s">
        <v>1256</v>
      </c>
      <c r="AF76" s="213" t="str">
        <f>Table1[[#This Row],[2019 Scope 1 (MeT Co2)]]</f>
        <v>#ERROR!</v>
      </c>
      <c r="AG76" s="214" t="str">
        <f t="shared" si="2"/>
        <v>#ERROR!</v>
      </c>
      <c r="AH76" s="215" t="str">
        <f t="shared" si="3"/>
        <v>#ERROR!</v>
      </c>
      <c r="AI76" s="209"/>
      <c r="AJ76" s="209"/>
      <c r="AK76" s="212" t="s">
        <v>1255</v>
      </c>
      <c r="AL76" s="212" t="s">
        <v>1256</v>
      </c>
      <c r="AM76" s="213" t="str">
        <f>Table1[[#This Row],[2019 Scope 2 ]]</f>
        <v>#ERROR!</v>
      </c>
      <c r="AN76" s="214" t="str">
        <f t="shared" si="4"/>
        <v>#ERROR!</v>
      </c>
      <c r="AO76" s="215" t="str">
        <f t="shared" si="5"/>
        <v>#ERROR!</v>
      </c>
      <c r="AP76" s="214" t="str">
        <f t="shared" si="6"/>
        <v>#ERROR!</v>
      </c>
      <c r="AQ76" s="215" t="str">
        <f t="shared" si="7"/>
        <v>#ERROR!</v>
      </c>
      <c r="AR76" s="216" t="str">
        <f>Table1[[#This Row],[2019 Scope 3 ]]</f>
        <v>#ERROR!</v>
      </c>
      <c r="AS76" s="217" t="str">
        <f t="shared" si="8"/>
        <v>#ERROR!</v>
      </c>
      <c r="AT76" s="218" t="str">
        <f t="shared" si="9"/>
        <v>#ERROR!</v>
      </c>
      <c r="BI76" s="199">
        <v>58304.0</v>
      </c>
    </row>
    <row r="77" ht="12.75" hidden="1" customHeight="1">
      <c r="A77" s="5">
        <f>companies!A77</f>
        <v>76</v>
      </c>
      <c r="B77" s="199" t="s">
        <v>1254</v>
      </c>
      <c r="C77" s="199">
        <v>3552415.0</v>
      </c>
      <c r="D77" s="199">
        <v>1556523.0</v>
      </c>
      <c r="E77" s="199">
        <v>1425255.0</v>
      </c>
      <c r="F77" s="199">
        <v>3.3599797E7</v>
      </c>
      <c r="G77" s="199">
        <v>600278.0</v>
      </c>
      <c r="H77" s="199">
        <v>946616.0</v>
      </c>
      <c r="I77" s="199">
        <v>720951.0</v>
      </c>
      <c r="J77" s="199">
        <v>25353.0</v>
      </c>
      <c r="K77" s="199">
        <v>140452.0</v>
      </c>
      <c r="L77" s="199">
        <v>201663.0</v>
      </c>
      <c r="M77" s="212" t="s">
        <v>683</v>
      </c>
      <c r="N77" s="212">
        <v>1.1088559E7</v>
      </c>
      <c r="O77" s="212">
        <v>231426.0</v>
      </c>
      <c r="P77" s="212" t="s">
        <v>683</v>
      </c>
      <c r="Q77" s="212">
        <v>811130.0</v>
      </c>
      <c r="R77" s="199" t="s">
        <v>683</v>
      </c>
      <c r="S77" s="212">
        <v>1843424.0</v>
      </c>
      <c r="T77" s="212">
        <v>255417.0</v>
      </c>
      <c r="U77" s="212" t="s">
        <v>683</v>
      </c>
      <c r="V77" s="212" t="s">
        <v>683</v>
      </c>
      <c r="W77" s="212">
        <f t="shared" si="10"/>
        <v>50465066</v>
      </c>
      <c r="X77" s="199">
        <v>1425255.0</v>
      </c>
      <c r="Y77" s="199">
        <v>5.5442736E7</v>
      </c>
      <c r="Z77" s="199"/>
      <c r="AA77" s="199"/>
      <c r="AB77" s="199"/>
      <c r="AC77" s="199"/>
      <c r="AD77" s="212" t="s">
        <v>683</v>
      </c>
      <c r="AE77" s="212" t="s">
        <v>683</v>
      </c>
      <c r="AF77" s="213" t="str">
        <f>Table1[[#This Row],[2019 Scope 1 (MeT Co2)]]</f>
        <v>#ERROR!</v>
      </c>
      <c r="AG77" s="214" t="str">
        <f t="shared" si="2"/>
        <v>#ERROR!</v>
      </c>
      <c r="AH77" s="215" t="str">
        <f t="shared" si="3"/>
        <v>#ERROR!</v>
      </c>
      <c r="AI77" s="209"/>
      <c r="AJ77" s="209"/>
      <c r="AK77" s="212" t="s">
        <v>683</v>
      </c>
      <c r="AL77" s="212" t="s">
        <v>683</v>
      </c>
      <c r="AM77" s="213" t="str">
        <f>Table1[[#This Row],[2019 Scope 2 ]]</f>
        <v>#ERROR!</v>
      </c>
      <c r="AN77" s="214" t="str">
        <f t="shared" si="4"/>
        <v>#ERROR!</v>
      </c>
      <c r="AO77" s="215" t="str">
        <f t="shared" si="5"/>
        <v>#ERROR!</v>
      </c>
      <c r="AP77" s="214" t="str">
        <f t="shared" si="6"/>
        <v>#ERROR!</v>
      </c>
      <c r="AQ77" s="215" t="str">
        <f t="shared" si="7"/>
        <v>#ERROR!</v>
      </c>
      <c r="AR77" s="216" t="str">
        <f>Table1[[#This Row],[2019 Scope 3 ]]</f>
        <v>#ERROR!</v>
      </c>
      <c r="AS77" s="217" t="str">
        <f t="shared" si="8"/>
        <v>#ERROR!</v>
      </c>
      <c r="AT77" s="218" t="str">
        <f t="shared" si="9"/>
        <v>#ERROR!</v>
      </c>
      <c r="BI77" s="4">
        <v>14605.0</v>
      </c>
    </row>
    <row r="78" ht="12.75" hidden="1" customHeight="1">
      <c r="A78" s="5">
        <f>companies!A78</f>
        <v>77</v>
      </c>
      <c r="B78" s="199" t="s">
        <v>1254</v>
      </c>
      <c r="C78" s="199">
        <v>734638.0</v>
      </c>
      <c r="D78" s="199">
        <v>762286.0</v>
      </c>
      <c r="E78" s="199">
        <v>634205.0</v>
      </c>
      <c r="F78" s="199">
        <v>3794093.0</v>
      </c>
      <c r="G78" s="199">
        <v>345953.0</v>
      </c>
      <c r="H78" s="199">
        <v>252909.0</v>
      </c>
      <c r="I78" s="199">
        <v>873030.0</v>
      </c>
      <c r="J78" s="199">
        <v>16420.0</v>
      </c>
      <c r="K78" s="199">
        <v>195718.0</v>
      </c>
      <c r="L78" s="199">
        <v>60645.0</v>
      </c>
      <c r="M78" s="212">
        <v>36273.0</v>
      </c>
      <c r="N78" s="212">
        <v>99576.0</v>
      </c>
      <c r="O78" s="212" t="s">
        <v>683</v>
      </c>
      <c r="P78" s="212" t="s">
        <v>683</v>
      </c>
      <c r="Q78" s="212" t="s">
        <v>683</v>
      </c>
      <c r="R78" s="199" t="s">
        <v>683</v>
      </c>
      <c r="S78" s="212" t="s">
        <v>683</v>
      </c>
      <c r="T78" s="212">
        <v>33892.0</v>
      </c>
      <c r="U78" s="212" t="s">
        <v>683</v>
      </c>
      <c r="V78" s="212" t="s">
        <v>683</v>
      </c>
      <c r="W78" s="212">
        <f t="shared" si="10"/>
        <v>5708509</v>
      </c>
      <c r="X78" s="199">
        <v>634205.0</v>
      </c>
      <c r="Y78" s="199">
        <v>7077352.0</v>
      </c>
      <c r="Z78" s="199"/>
      <c r="AA78" s="199"/>
      <c r="AB78" s="199"/>
      <c r="AC78" s="199"/>
      <c r="AD78" s="212" t="s">
        <v>1255</v>
      </c>
      <c r="AE78" s="212" t="s">
        <v>1256</v>
      </c>
      <c r="AF78" s="213" t="str">
        <f>Table1[[#This Row],[2019 Scope 1 (MeT Co2)]]</f>
        <v>#ERROR!</v>
      </c>
      <c r="AG78" s="214" t="str">
        <f t="shared" si="2"/>
        <v>#ERROR!</v>
      </c>
      <c r="AH78" s="215" t="str">
        <f t="shared" si="3"/>
        <v>#ERROR!</v>
      </c>
      <c r="AI78" s="209"/>
      <c r="AJ78" s="209"/>
      <c r="AK78" s="212" t="s">
        <v>1255</v>
      </c>
      <c r="AL78" s="212" t="s">
        <v>1256</v>
      </c>
      <c r="AM78" s="213" t="str">
        <f>Table1[[#This Row],[2019 Scope 2 ]]</f>
        <v>#ERROR!</v>
      </c>
      <c r="AN78" s="214" t="str">
        <f t="shared" si="4"/>
        <v>#ERROR!</v>
      </c>
      <c r="AO78" s="215" t="str">
        <f t="shared" si="5"/>
        <v>#ERROR!</v>
      </c>
      <c r="AP78" s="214" t="str">
        <f t="shared" si="6"/>
        <v>#ERROR!</v>
      </c>
      <c r="AQ78" s="215" t="str">
        <f t="shared" si="7"/>
        <v>#ERROR!</v>
      </c>
      <c r="AR78" s="216" t="str">
        <f>Table1[[#This Row],[2019 Scope 3 ]]</f>
        <v>#ERROR!</v>
      </c>
      <c r="AS78" s="217" t="str">
        <f t="shared" si="8"/>
        <v>#ERROR!</v>
      </c>
      <c r="AT78" s="218" t="str">
        <f t="shared" si="9"/>
        <v>#ERROR!</v>
      </c>
      <c r="BI78" s="4">
        <v>14683.0</v>
      </c>
    </row>
    <row r="79" ht="12.75" hidden="1" customHeight="1">
      <c r="A79" s="5">
        <f>companies!A79</f>
        <v>78</v>
      </c>
      <c r="B79" s="199" t="s">
        <v>1254</v>
      </c>
      <c r="C79" s="199">
        <v>397210.0</v>
      </c>
      <c r="D79" s="199">
        <v>447322.0</v>
      </c>
      <c r="E79" s="199">
        <v>158672.0</v>
      </c>
      <c r="F79" s="199">
        <v>3079756.0</v>
      </c>
      <c r="G79" s="199">
        <v>112716.0</v>
      </c>
      <c r="H79" s="199">
        <v>113778.0</v>
      </c>
      <c r="I79" s="199">
        <v>437675.0</v>
      </c>
      <c r="J79" s="199">
        <v>1832.0</v>
      </c>
      <c r="K79" s="199">
        <v>111283.0</v>
      </c>
      <c r="L79" s="199">
        <v>58200.0</v>
      </c>
      <c r="M79" s="212" t="s">
        <v>683</v>
      </c>
      <c r="N79" s="212">
        <v>46621.0</v>
      </c>
      <c r="O79" s="212" t="s">
        <v>683</v>
      </c>
      <c r="P79" s="212">
        <v>107477.0</v>
      </c>
      <c r="Q79" s="212">
        <v>57272.0</v>
      </c>
      <c r="R79" s="199" t="s">
        <v>683</v>
      </c>
      <c r="S79" s="212" t="s">
        <v>683</v>
      </c>
      <c r="T79" s="212" t="s">
        <v>683</v>
      </c>
      <c r="U79" s="212" t="s">
        <v>683</v>
      </c>
      <c r="V79" s="212" t="s">
        <v>683</v>
      </c>
      <c r="W79" s="212">
        <f t="shared" si="10"/>
        <v>4126610</v>
      </c>
      <c r="X79" s="199">
        <v>158672.0</v>
      </c>
      <c r="Y79" s="199">
        <v>4682492.0</v>
      </c>
      <c r="Z79" s="199"/>
      <c r="AA79" s="199"/>
      <c r="AB79" s="199"/>
      <c r="AC79" s="199"/>
      <c r="AD79" s="212" t="s">
        <v>683</v>
      </c>
      <c r="AE79" s="212" t="s">
        <v>683</v>
      </c>
      <c r="AF79" s="213" t="str">
        <f>Table1[[#This Row],[2019 Scope 1 (MeT Co2)]]</f>
        <v>#ERROR!</v>
      </c>
      <c r="AG79" s="214" t="str">
        <f t="shared" si="2"/>
        <v>#ERROR!</v>
      </c>
      <c r="AH79" s="215" t="str">
        <f t="shared" si="3"/>
        <v>#ERROR!</v>
      </c>
      <c r="AI79" s="209"/>
      <c r="AJ79" s="209"/>
      <c r="AK79" s="212" t="s">
        <v>683</v>
      </c>
      <c r="AL79" s="212" t="s">
        <v>683</v>
      </c>
      <c r="AM79" s="213" t="str">
        <f>Table1[[#This Row],[2019 Scope 2 ]]</f>
        <v>#ERROR!</v>
      </c>
      <c r="AN79" s="214" t="str">
        <f t="shared" si="4"/>
        <v>#ERROR!</v>
      </c>
      <c r="AO79" s="215" t="str">
        <f t="shared" si="5"/>
        <v>#ERROR!</v>
      </c>
      <c r="AP79" s="214" t="str">
        <f t="shared" si="6"/>
        <v>#ERROR!</v>
      </c>
      <c r="AQ79" s="215" t="str">
        <f t="shared" si="7"/>
        <v>#ERROR!</v>
      </c>
      <c r="AR79" s="216" t="str">
        <f>Table1[[#This Row],[2019 Scope 3 ]]</f>
        <v>#ERROR!</v>
      </c>
      <c r="AS79" s="217" t="str">
        <f t="shared" si="8"/>
        <v>#ERROR!</v>
      </c>
      <c r="AT79" s="218" t="str">
        <f t="shared" si="9"/>
        <v>#ERROR!</v>
      </c>
      <c r="BI79" s="199">
        <v>14712.0</v>
      </c>
    </row>
    <row r="80" ht="12.75" hidden="1" customHeight="1">
      <c r="A80" s="5">
        <f>companies!A80</f>
        <v>79</v>
      </c>
      <c r="B80" s="199" t="s">
        <v>1254</v>
      </c>
      <c r="C80" s="199">
        <v>2210497.0</v>
      </c>
      <c r="D80" s="199">
        <v>2544389.0</v>
      </c>
      <c r="E80" s="199">
        <v>1839862.0</v>
      </c>
      <c r="F80" s="199">
        <v>1.64210001E8</v>
      </c>
      <c r="G80" s="199">
        <v>247000.0</v>
      </c>
      <c r="H80" s="199">
        <v>495000.0</v>
      </c>
      <c r="I80" s="199">
        <v>0.0</v>
      </c>
      <c r="J80" s="199">
        <v>9000.0</v>
      </c>
      <c r="K80" s="199">
        <v>151042.0</v>
      </c>
      <c r="L80" s="199">
        <v>117000.0</v>
      </c>
      <c r="M80" s="212" t="s">
        <v>683</v>
      </c>
      <c r="N80" s="212">
        <v>3700000.0</v>
      </c>
      <c r="O80" s="212" t="s">
        <v>683</v>
      </c>
      <c r="P80" s="212">
        <v>1.99133E8</v>
      </c>
      <c r="Q80" s="212">
        <v>1.3251E7</v>
      </c>
      <c r="R80" s="199" t="s">
        <v>683</v>
      </c>
      <c r="S80" s="212" t="s">
        <v>683</v>
      </c>
      <c r="T80" s="212" t="s">
        <v>683</v>
      </c>
      <c r="U80" s="212" t="s">
        <v>683</v>
      </c>
      <c r="V80" s="212" t="s">
        <v>683</v>
      </c>
      <c r="W80" s="212">
        <f t="shared" si="10"/>
        <v>381313043</v>
      </c>
      <c r="X80" s="199">
        <v>1839862.0</v>
      </c>
      <c r="Y80" s="199">
        <v>3.85363402E8</v>
      </c>
      <c r="Z80" s="199"/>
      <c r="AA80" s="199"/>
      <c r="AB80" s="199"/>
      <c r="AC80" s="199"/>
      <c r="AD80" s="212" t="s">
        <v>683</v>
      </c>
      <c r="AE80" s="212" t="s">
        <v>683</v>
      </c>
      <c r="AF80" s="213" t="str">
        <f>Table1[[#This Row],[2019 Scope 1 (MeT Co2)]]</f>
        <v>#ERROR!</v>
      </c>
      <c r="AG80" s="214" t="str">
        <f t="shared" si="2"/>
        <v>#ERROR!</v>
      </c>
      <c r="AH80" s="215" t="str">
        <f t="shared" si="3"/>
        <v>#ERROR!</v>
      </c>
      <c r="AI80" s="209"/>
      <c r="AJ80" s="209"/>
      <c r="AK80" s="212" t="s">
        <v>683</v>
      </c>
      <c r="AL80" s="212" t="s">
        <v>683</v>
      </c>
      <c r="AM80" s="213" t="str">
        <f>Table1[[#This Row],[2019 Scope 2 ]]</f>
        <v>#ERROR!</v>
      </c>
      <c r="AN80" s="214" t="str">
        <f t="shared" si="4"/>
        <v>#ERROR!</v>
      </c>
      <c r="AO80" s="215" t="str">
        <f t="shared" si="5"/>
        <v>#ERROR!</v>
      </c>
      <c r="AP80" s="214" t="str">
        <f t="shared" si="6"/>
        <v>#ERROR!</v>
      </c>
      <c r="AQ80" s="215" t="str">
        <f t="shared" si="7"/>
        <v>#ERROR!</v>
      </c>
      <c r="AR80" s="216" t="str">
        <f>Table1[[#This Row],[2019 Scope 3 ]]</f>
        <v>#ERROR!</v>
      </c>
      <c r="AS80" s="217" t="str">
        <f t="shared" si="8"/>
        <v>#ERROR!</v>
      </c>
      <c r="AT80" s="218" t="str">
        <f t="shared" si="9"/>
        <v>#ERROR!</v>
      </c>
      <c r="BI80" s="199">
        <v>15132.0</v>
      </c>
    </row>
    <row r="81" ht="12.75" hidden="1" customHeight="1">
      <c r="A81" s="5">
        <f>companies!A81</f>
        <v>80</v>
      </c>
      <c r="B81" s="199" t="s">
        <v>1254</v>
      </c>
      <c r="C81" s="199">
        <v>78290.0</v>
      </c>
      <c r="D81" s="199">
        <v>135967.0</v>
      </c>
      <c r="E81" s="199">
        <v>114060.0</v>
      </c>
      <c r="F81" s="199" t="s">
        <v>683</v>
      </c>
      <c r="G81" s="199" t="s">
        <v>683</v>
      </c>
      <c r="H81" s="199" t="s">
        <v>683</v>
      </c>
      <c r="I81" s="199" t="s">
        <v>683</v>
      </c>
      <c r="J81" s="199" t="s">
        <v>683</v>
      </c>
      <c r="K81" s="199">
        <v>80928.0</v>
      </c>
      <c r="L81" s="199">
        <v>30324.0</v>
      </c>
      <c r="M81" s="212" t="s">
        <v>683</v>
      </c>
      <c r="N81" s="212" t="s">
        <v>683</v>
      </c>
      <c r="O81" s="212" t="s">
        <v>683</v>
      </c>
      <c r="P81" s="212" t="s">
        <v>683</v>
      </c>
      <c r="Q81" s="212" t="s">
        <v>683</v>
      </c>
      <c r="R81" s="199" t="s">
        <v>683</v>
      </c>
      <c r="S81" s="212" t="s">
        <v>683</v>
      </c>
      <c r="T81" s="212" t="s">
        <v>683</v>
      </c>
      <c r="U81" s="212" t="s">
        <v>683</v>
      </c>
      <c r="V81" s="212" t="s">
        <v>683</v>
      </c>
      <c r="W81" s="212">
        <f t="shared" si="10"/>
        <v>111252</v>
      </c>
      <c r="X81" s="199">
        <v>114060.0</v>
      </c>
      <c r="Y81" s="199">
        <v>303602.0</v>
      </c>
      <c r="Z81" s="199"/>
      <c r="AA81" s="199"/>
      <c r="AB81" s="199"/>
      <c r="AC81" s="199"/>
      <c r="AD81" s="212" t="s">
        <v>683</v>
      </c>
      <c r="AE81" s="212" t="s">
        <v>683</v>
      </c>
      <c r="AF81" s="213" t="str">
        <f>Table1[[#This Row],[2019 Scope 1 (MeT Co2)]]</f>
        <v>#ERROR!</v>
      </c>
      <c r="AG81" s="214" t="str">
        <f t="shared" si="2"/>
        <v>#ERROR!</v>
      </c>
      <c r="AH81" s="215" t="str">
        <f t="shared" si="3"/>
        <v>#ERROR!</v>
      </c>
      <c r="AI81" s="209"/>
      <c r="AJ81" s="209"/>
      <c r="AK81" s="212" t="s">
        <v>683</v>
      </c>
      <c r="AL81" s="212" t="s">
        <v>683</v>
      </c>
      <c r="AM81" s="213" t="str">
        <f>Table1[[#This Row],[2019 Scope 2 ]]</f>
        <v>#ERROR!</v>
      </c>
      <c r="AN81" s="214" t="str">
        <f t="shared" si="4"/>
        <v>#ERROR!</v>
      </c>
      <c r="AO81" s="215" t="str">
        <f t="shared" si="5"/>
        <v>#ERROR!</v>
      </c>
      <c r="AP81" s="214" t="str">
        <f t="shared" si="6"/>
        <v>#ERROR!</v>
      </c>
      <c r="AQ81" s="215" t="str">
        <f t="shared" si="7"/>
        <v>#ERROR!</v>
      </c>
      <c r="AR81" s="216" t="str">
        <f>Table1[[#This Row],[2019 Scope 3 ]]</f>
        <v>#ERROR!</v>
      </c>
      <c r="AS81" s="217" t="str">
        <f t="shared" si="8"/>
        <v>#ERROR!</v>
      </c>
      <c r="AT81" s="218" t="str">
        <f t="shared" si="9"/>
        <v>#ERROR!</v>
      </c>
      <c r="BI81" s="199">
        <v>15419.0</v>
      </c>
    </row>
    <row r="82" ht="12.75" hidden="1" customHeight="1">
      <c r="A82" s="5">
        <f>companies!A82</f>
        <v>81</v>
      </c>
      <c r="B82" s="199" t="s">
        <v>1254</v>
      </c>
      <c r="C82" s="199" t="s">
        <v>1262</v>
      </c>
      <c r="D82" s="199" t="s">
        <v>1262</v>
      </c>
      <c r="E82" s="199" t="s">
        <v>1262</v>
      </c>
      <c r="F82" s="199" t="s">
        <v>1262</v>
      </c>
      <c r="G82" s="199" t="s">
        <v>1262</v>
      </c>
      <c r="H82" s="199" t="s">
        <v>1262</v>
      </c>
      <c r="I82" s="199" t="s">
        <v>1262</v>
      </c>
      <c r="J82" s="199" t="s">
        <v>1262</v>
      </c>
      <c r="K82" s="199" t="s">
        <v>1262</v>
      </c>
      <c r="L82" s="199" t="s">
        <v>1262</v>
      </c>
      <c r="M82" s="199" t="s">
        <v>1262</v>
      </c>
      <c r="N82" s="199" t="s">
        <v>1262</v>
      </c>
      <c r="O82" s="199" t="s">
        <v>1262</v>
      </c>
      <c r="P82" s="199" t="s">
        <v>1262</v>
      </c>
      <c r="Q82" s="199" t="s">
        <v>1262</v>
      </c>
      <c r="R82" s="199" t="s">
        <v>1262</v>
      </c>
      <c r="S82" s="199" t="s">
        <v>1262</v>
      </c>
      <c r="T82" s="199" t="s">
        <v>1262</v>
      </c>
      <c r="U82" s="199" t="s">
        <v>1262</v>
      </c>
      <c r="V82" s="199" t="s">
        <v>1262</v>
      </c>
      <c r="W82" s="212">
        <f t="shared" si="10"/>
        <v>0</v>
      </c>
      <c r="X82" s="199">
        <v>0.0</v>
      </c>
      <c r="Y82" s="199"/>
      <c r="Z82" s="199"/>
      <c r="AA82" s="199"/>
      <c r="AB82" s="212"/>
      <c r="AC82" s="212"/>
      <c r="AD82" s="212" t="e">
        <v>#N/A</v>
      </c>
      <c r="AE82" s="212" t="e">
        <v>#N/A</v>
      </c>
      <c r="AF82" s="213" t="str">
        <f>Table1[[#This Row],[2019 Scope 1 (MeT Co2)]]</f>
        <v>#ERROR!</v>
      </c>
      <c r="AG82" s="214" t="str">
        <f t="shared" si="2"/>
        <v>#ERROR!</v>
      </c>
      <c r="AH82" s="215" t="str">
        <f t="shared" si="3"/>
        <v>#ERROR!</v>
      </c>
      <c r="AI82" s="209"/>
      <c r="AJ82" s="209"/>
      <c r="AK82" s="212" t="e">
        <v>#N/A</v>
      </c>
      <c r="AL82" s="212" t="e">
        <v>#N/A</v>
      </c>
      <c r="AM82" s="213" t="str">
        <f>Table1[[#This Row],[2019 Scope 2 ]]</f>
        <v>#ERROR!</v>
      </c>
      <c r="AN82" s="214" t="str">
        <f t="shared" si="4"/>
        <v>#ERROR!</v>
      </c>
      <c r="AO82" s="215" t="str">
        <f t="shared" si="5"/>
        <v>#ERROR!</v>
      </c>
      <c r="AP82" s="214" t="str">
        <f t="shared" si="6"/>
        <v>#ERROR!</v>
      </c>
      <c r="AQ82" s="215" t="str">
        <f t="shared" si="7"/>
        <v>#ERROR!</v>
      </c>
      <c r="AR82" s="216" t="str">
        <f>Table1[[#This Row],[2019 Scope 3 ]]</f>
        <v>#ERROR!</v>
      </c>
      <c r="AS82" s="217" t="str">
        <f t="shared" si="8"/>
        <v>#ERROR!</v>
      </c>
      <c r="AT82" s="218" t="str">
        <f t="shared" si="9"/>
        <v>#ERROR!</v>
      </c>
    </row>
    <row r="83" ht="12.75" customHeight="1">
      <c r="A83" s="5">
        <f>companies!A83</f>
        <v>82</v>
      </c>
      <c r="B83" s="199" t="s">
        <v>1254</v>
      </c>
      <c r="C83" s="199">
        <v>5747.0</v>
      </c>
      <c r="D83" s="199">
        <v>290938.0</v>
      </c>
      <c r="E83" s="199">
        <v>134760.0</v>
      </c>
      <c r="F83" s="199">
        <v>550606.0</v>
      </c>
      <c r="G83" s="199">
        <v>149751.0</v>
      </c>
      <c r="H83" s="199">
        <v>25675.0</v>
      </c>
      <c r="I83" s="199">
        <v>4517.0</v>
      </c>
      <c r="J83" s="199">
        <v>221.0</v>
      </c>
      <c r="K83" s="199">
        <v>142000.0</v>
      </c>
      <c r="L83" s="199">
        <v>36000.0</v>
      </c>
      <c r="M83" s="212">
        <v>95321.0</v>
      </c>
      <c r="N83" s="212" t="s">
        <v>683</v>
      </c>
      <c r="O83" s="212" t="s">
        <v>683</v>
      </c>
      <c r="P83" s="212">
        <v>22020.0</v>
      </c>
      <c r="Q83" s="212" t="s">
        <v>683</v>
      </c>
      <c r="R83" s="199" t="s">
        <v>683</v>
      </c>
      <c r="S83" s="212" t="s">
        <v>683</v>
      </c>
      <c r="T83" s="212">
        <v>1440.0</v>
      </c>
      <c r="U83" s="212" t="s">
        <v>683</v>
      </c>
      <c r="V83" s="212" t="s">
        <v>683</v>
      </c>
      <c r="W83" s="212">
        <f t="shared" si="10"/>
        <v>1027551</v>
      </c>
      <c r="X83" s="199">
        <v>134760.0</v>
      </c>
      <c r="Y83" s="199">
        <v>1168058.0</v>
      </c>
      <c r="Z83" s="212"/>
      <c r="AA83" s="212"/>
      <c r="AB83" s="199"/>
      <c r="AC83" s="199"/>
      <c r="AD83" s="212" t="s">
        <v>683</v>
      </c>
      <c r="AE83" s="212" t="s">
        <v>683</v>
      </c>
      <c r="AF83" s="213" t="str">
        <f>Table1[[#This Row],[2019 Scope 1 (MeT Co2)]]</f>
        <v>#ERROR!</v>
      </c>
      <c r="AG83" s="214" t="str">
        <f t="shared" si="2"/>
        <v>#ERROR!</v>
      </c>
      <c r="AH83" s="219" t="str">
        <f t="shared" si="3"/>
        <v>#ERROR!</v>
      </c>
      <c r="AI83" s="209"/>
      <c r="AJ83" s="209"/>
      <c r="AK83" s="212" t="s">
        <v>683</v>
      </c>
      <c r="AL83" s="212" t="s">
        <v>683</v>
      </c>
      <c r="AM83" s="213" t="str">
        <f>Table1[[#This Row],[2019 Scope 2 ]]</f>
        <v>#ERROR!</v>
      </c>
      <c r="AN83" s="214" t="str">
        <f t="shared" si="4"/>
        <v>#ERROR!</v>
      </c>
      <c r="AO83" s="219" t="str">
        <f t="shared" si="5"/>
        <v>#ERROR!</v>
      </c>
      <c r="AP83" s="214" t="str">
        <f t="shared" si="6"/>
        <v>#ERROR!</v>
      </c>
      <c r="AQ83" s="219" t="str">
        <f t="shared" si="7"/>
        <v>#ERROR!</v>
      </c>
      <c r="AR83" s="216" t="str">
        <f>Table1[[#This Row],[2019 Scope 3 ]]</f>
        <v>#ERROR!</v>
      </c>
      <c r="AS83" s="217" t="str">
        <f t="shared" si="8"/>
        <v>#ERROR!</v>
      </c>
      <c r="AT83" s="218" t="str">
        <f t="shared" si="9"/>
        <v>#ERROR!</v>
      </c>
      <c r="BI83" s="199">
        <v>16158.0</v>
      </c>
    </row>
    <row r="84" ht="12.75" hidden="1" customHeight="1">
      <c r="A84" s="5">
        <f>companies!A84</f>
        <v>83</v>
      </c>
      <c r="B84" s="199" t="s">
        <v>1254</v>
      </c>
      <c r="C84" s="199" t="s">
        <v>1262</v>
      </c>
      <c r="D84" s="199" t="s">
        <v>1262</v>
      </c>
      <c r="E84" s="199" t="s">
        <v>1262</v>
      </c>
      <c r="F84" s="199" t="s">
        <v>1262</v>
      </c>
      <c r="G84" s="199" t="s">
        <v>1262</v>
      </c>
      <c r="H84" s="199" t="s">
        <v>1262</v>
      </c>
      <c r="I84" s="199" t="s">
        <v>1262</v>
      </c>
      <c r="J84" s="199" t="s">
        <v>1262</v>
      </c>
      <c r="K84" s="199" t="s">
        <v>1262</v>
      </c>
      <c r="L84" s="199" t="s">
        <v>1262</v>
      </c>
      <c r="M84" s="199" t="s">
        <v>1262</v>
      </c>
      <c r="N84" s="199" t="s">
        <v>1262</v>
      </c>
      <c r="O84" s="199" t="s">
        <v>1262</v>
      </c>
      <c r="P84" s="199" t="s">
        <v>1262</v>
      </c>
      <c r="Q84" s="199" t="s">
        <v>1262</v>
      </c>
      <c r="R84" s="199" t="s">
        <v>1262</v>
      </c>
      <c r="S84" s="199" t="s">
        <v>1262</v>
      </c>
      <c r="T84" s="199" t="s">
        <v>1262</v>
      </c>
      <c r="U84" s="199" t="s">
        <v>1262</v>
      </c>
      <c r="V84" s="199" t="s">
        <v>1262</v>
      </c>
      <c r="W84" s="212">
        <f t="shared" si="10"/>
        <v>0</v>
      </c>
      <c r="X84" s="199">
        <v>0.0</v>
      </c>
      <c r="Y84" s="199"/>
      <c r="Z84" s="199"/>
      <c r="AA84" s="199"/>
      <c r="AB84" s="212"/>
      <c r="AC84" s="212"/>
      <c r="AD84" s="212" t="e">
        <v>#N/A</v>
      </c>
      <c r="AE84" s="212" t="e">
        <v>#N/A</v>
      </c>
      <c r="AF84" s="213" t="str">
        <f>Table1[[#This Row],[2019 Scope 1 (MeT Co2)]]</f>
        <v>#ERROR!</v>
      </c>
      <c r="AG84" s="214" t="str">
        <f t="shared" si="2"/>
        <v>#ERROR!</v>
      </c>
      <c r="AH84" s="215" t="str">
        <f t="shared" si="3"/>
        <v>#ERROR!</v>
      </c>
      <c r="AI84" s="209"/>
      <c r="AJ84" s="209"/>
      <c r="AK84" s="212" t="e">
        <v>#N/A</v>
      </c>
      <c r="AL84" s="212" t="e">
        <v>#N/A</v>
      </c>
      <c r="AM84" s="213" t="str">
        <f>Table1[[#This Row],[2019 Scope 2 ]]</f>
        <v>#ERROR!</v>
      </c>
      <c r="AN84" s="214" t="str">
        <f t="shared" si="4"/>
        <v>#ERROR!</v>
      </c>
      <c r="AO84" s="215" t="str">
        <f t="shared" si="5"/>
        <v>#ERROR!</v>
      </c>
      <c r="AP84" s="214" t="str">
        <f t="shared" si="6"/>
        <v>#ERROR!</v>
      </c>
      <c r="AQ84" s="215" t="str">
        <f t="shared" si="7"/>
        <v>#ERROR!</v>
      </c>
      <c r="AR84" s="216" t="str">
        <f>Table1[[#This Row],[2019 Scope 3 ]]</f>
        <v>#ERROR!</v>
      </c>
      <c r="AS84" s="217" t="str">
        <f t="shared" si="8"/>
        <v>#ERROR!</v>
      </c>
      <c r="AT84" s="218" t="str">
        <f t="shared" si="9"/>
        <v>#ERROR!</v>
      </c>
    </row>
    <row r="85" ht="12.75" hidden="1" customHeight="1">
      <c r="A85" s="5">
        <f>companies!A85</f>
        <v>84</v>
      </c>
      <c r="B85" s="199" t="s">
        <v>1254</v>
      </c>
      <c r="C85" s="199">
        <v>16863.186</v>
      </c>
      <c r="D85" s="199">
        <v>249714.82</v>
      </c>
      <c r="E85" s="199">
        <v>249714.82</v>
      </c>
      <c r="F85" s="199" t="s">
        <v>683</v>
      </c>
      <c r="G85" s="199" t="s">
        <v>683</v>
      </c>
      <c r="H85" s="199">
        <v>11746.0</v>
      </c>
      <c r="I85" s="199" t="s">
        <v>683</v>
      </c>
      <c r="J85" s="199">
        <v>136900.0</v>
      </c>
      <c r="K85" s="199">
        <v>5154.0</v>
      </c>
      <c r="L85" s="199">
        <v>6531.0</v>
      </c>
      <c r="M85" s="212" t="s">
        <v>683</v>
      </c>
      <c r="N85" s="212" t="s">
        <v>683</v>
      </c>
      <c r="O85" s="212" t="s">
        <v>683</v>
      </c>
      <c r="P85" s="212" t="s">
        <v>683</v>
      </c>
      <c r="Q85" s="212" t="s">
        <v>683</v>
      </c>
      <c r="R85" s="199">
        <v>419157.0</v>
      </c>
      <c r="S85" s="212" t="s">
        <v>683</v>
      </c>
      <c r="T85" s="212" t="s">
        <v>683</v>
      </c>
      <c r="U85" s="212" t="s">
        <v>683</v>
      </c>
      <c r="V85" s="212" t="s">
        <v>683</v>
      </c>
      <c r="W85" s="212">
        <f t="shared" si="10"/>
        <v>579488</v>
      </c>
      <c r="X85" s="199">
        <v>249714.82</v>
      </c>
      <c r="Y85" s="199">
        <v>846066.006</v>
      </c>
      <c r="Z85" s="199"/>
      <c r="AA85" s="199"/>
      <c r="AB85" s="212"/>
      <c r="AC85" s="212"/>
      <c r="AD85" s="212" t="s">
        <v>1255</v>
      </c>
      <c r="AE85" s="212" t="s">
        <v>1256</v>
      </c>
      <c r="AF85" s="213" t="str">
        <f>Table1[[#This Row],[2019 Scope 1 (MeT Co2)]]</f>
        <v>#ERROR!</v>
      </c>
      <c r="AG85" s="214" t="str">
        <f t="shared" si="2"/>
        <v>#ERROR!</v>
      </c>
      <c r="AH85" s="215" t="str">
        <f t="shared" si="3"/>
        <v>#ERROR!</v>
      </c>
      <c r="AI85" s="209"/>
      <c r="AJ85" s="209"/>
      <c r="AK85" s="212" t="s">
        <v>1255</v>
      </c>
      <c r="AL85" s="212" t="s">
        <v>1256</v>
      </c>
      <c r="AM85" s="213" t="str">
        <f>Table1[[#This Row],[2019 Scope 2 ]]</f>
        <v>#ERROR!</v>
      </c>
      <c r="AN85" s="214" t="str">
        <f t="shared" si="4"/>
        <v>#ERROR!</v>
      </c>
      <c r="AO85" s="215" t="str">
        <f t="shared" si="5"/>
        <v>#ERROR!</v>
      </c>
      <c r="AP85" s="214" t="str">
        <f t="shared" si="6"/>
        <v>#ERROR!</v>
      </c>
      <c r="AQ85" s="215" t="str">
        <f t="shared" si="7"/>
        <v>#ERROR!</v>
      </c>
      <c r="AR85" s="216" t="str">
        <f>Table1[[#This Row],[2019 Scope 3 ]]</f>
        <v>#ERROR!</v>
      </c>
      <c r="AS85" s="217" t="str">
        <f t="shared" si="8"/>
        <v>#ERROR!</v>
      </c>
      <c r="AT85" s="218" t="str">
        <f t="shared" si="9"/>
        <v>#ERROR!</v>
      </c>
      <c r="BI85" s="4">
        <v>17069.0</v>
      </c>
    </row>
    <row r="86" ht="12.75" hidden="1" customHeight="1">
      <c r="A86" s="5">
        <f>companies!A86</f>
        <v>85</v>
      </c>
      <c r="B86" s="199" t="s">
        <v>1254</v>
      </c>
      <c r="C86" s="199">
        <v>8.8213565E7</v>
      </c>
      <c r="D86" s="199">
        <v>36845.0</v>
      </c>
      <c r="E86" s="199">
        <v>35568.0</v>
      </c>
      <c r="F86" s="199" t="s">
        <v>683</v>
      </c>
      <c r="G86" s="199" t="s">
        <v>683</v>
      </c>
      <c r="H86" s="199">
        <v>3423778.0</v>
      </c>
      <c r="I86" s="199" t="s">
        <v>683</v>
      </c>
      <c r="J86" s="199" t="s">
        <v>683</v>
      </c>
      <c r="K86" s="199" t="s">
        <v>683</v>
      </c>
      <c r="L86" s="199" t="s">
        <v>683</v>
      </c>
      <c r="M86" s="212">
        <v>88879.0</v>
      </c>
      <c r="N86" s="212" t="s">
        <v>683</v>
      </c>
      <c r="O86" s="212" t="s">
        <v>683</v>
      </c>
      <c r="P86" s="212">
        <v>3.5260791E7</v>
      </c>
      <c r="Q86" s="212" t="s">
        <v>683</v>
      </c>
      <c r="R86" s="199" t="s">
        <v>683</v>
      </c>
      <c r="S86" s="212" t="s">
        <v>683</v>
      </c>
      <c r="T86" s="212" t="s">
        <v>683</v>
      </c>
      <c r="U86" s="212" t="s">
        <v>683</v>
      </c>
      <c r="V86" s="212" t="s">
        <v>683</v>
      </c>
      <c r="W86" s="212">
        <f t="shared" si="10"/>
        <v>38773448</v>
      </c>
      <c r="X86" s="199">
        <v>35568.0</v>
      </c>
      <c r="Y86" s="199">
        <v>1.27022581E8</v>
      </c>
      <c r="Z86" s="199"/>
      <c r="AA86" s="199"/>
      <c r="AB86" s="199"/>
      <c r="AC86" s="199"/>
      <c r="AD86" s="212" t="s">
        <v>683</v>
      </c>
      <c r="AE86" s="212" t="s">
        <v>683</v>
      </c>
      <c r="AF86" s="213" t="str">
        <f>Table1[[#This Row],[2019 Scope 1 (MeT Co2)]]</f>
        <v>#ERROR!</v>
      </c>
      <c r="AG86" s="214" t="str">
        <f t="shared" si="2"/>
        <v>#ERROR!</v>
      </c>
      <c r="AH86" s="215" t="str">
        <f t="shared" si="3"/>
        <v>#ERROR!</v>
      </c>
      <c r="AI86" s="209"/>
      <c r="AJ86" s="209"/>
      <c r="AK86" s="212" t="s">
        <v>683</v>
      </c>
      <c r="AL86" s="212" t="s">
        <v>683</v>
      </c>
      <c r="AM86" s="213" t="str">
        <f>Table1[[#This Row],[2019 Scope 2 ]]</f>
        <v>#ERROR!</v>
      </c>
      <c r="AN86" s="214" t="str">
        <f t="shared" si="4"/>
        <v>#ERROR!</v>
      </c>
      <c r="AO86" s="215" t="str">
        <f t="shared" si="5"/>
        <v>#ERROR!</v>
      </c>
      <c r="AP86" s="214" t="str">
        <f t="shared" si="6"/>
        <v>#ERROR!</v>
      </c>
      <c r="AQ86" s="215" t="str">
        <f t="shared" si="7"/>
        <v>#ERROR!</v>
      </c>
      <c r="AR86" s="216" t="str">
        <f>Table1[[#This Row],[2019 Scope 3 ]]</f>
        <v>#ERROR!</v>
      </c>
      <c r="AS86" s="217" t="str">
        <f t="shared" si="8"/>
        <v>#ERROR!</v>
      </c>
      <c r="AT86" s="218" t="str">
        <f t="shared" si="9"/>
        <v>#ERROR!</v>
      </c>
      <c r="BI86" s="4">
        <v>18951.0</v>
      </c>
    </row>
    <row r="87" ht="12.75" hidden="1" customHeight="1">
      <c r="A87" s="5">
        <f>companies!A87</f>
        <v>86</v>
      </c>
      <c r="B87" s="199" t="s">
        <v>1254</v>
      </c>
      <c r="C87" s="199">
        <v>381198.61</v>
      </c>
      <c r="D87" s="199">
        <v>790373.35</v>
      </c>
      <c r="E87" s="199">
        <v>281700.89</v>
      </c>
      <c r="F87" s="199">
        <v>8844532.71</v>
      </c>
      <c r="G87" s="199">
        <v>1549767.91</v>
      </c>
      <c r="H87" s="199">
        <v>1339261.73</v>
      </c>
      <c r="I87" s="199">
        <v>544171.31</v>
      </c>
      <c r="J87" s="199">
        <v>1022025.11</v>
      </c>
      <c r="K87" s="199">
        <v>19035.53</v>
      </c>
      <c r="L87" s="199">
        <v>821116.5</v>
      </c>
      <c r="M87" s="212" t="s">
        <v>683</v>
      </c>
      <c r="N87" s="212" t="s">
        <v>683</v>
      </c>
      <c r="O87" s="212">
        <v>62449.06</v>
      </c>
      <c r="P87" s="212">
        <v>149443.2</v>
      </c>
      <c r="Q87" s="212">
        <v>612189.99</v>
      </c>
      <c r="R87" s="199" t="s">
        <v>683</v>
      </c>
      <c r="S87" s="212" t="s">
        <v>683</v>
      </c>
      <c r="T87" s="212" t="s">
        <v>683</v>
      </c>
      <c r="U87" s="212" t="s">
        <v>683</v>
      </c>
      <c r="V87" s="212" t="s">
        <v>683</v>
      </c>
      <c r="W87" s="212">
        <f t="shared" si="10"/>
        <v>14963993.05</v>
      </c>
      <c r="X87" s="199">
        <v>281700.89</v>
      </c>
      <c r="Y87" s="199">
        <v>1.562689255E7</v>
      </c>
      <c r="Z87" s="199"/>
      <c r="AA87" s="199"/>
      <c r="AB87" s="212"/>
      <c r="AC87" s="212"/>
      <c r="AD87" s="212" t="s">
        <v>683</v>
      </c>
      <c r="AE87" s="212" t="s">
        <v>683</v>
      </c>
      <c r="AF87" s="213" t="str">
        <f>Table1[[#This Row],[2019 Scope 1 (MeT Co2)]]</f>
        <v>#ERROR!</v>
      </c>
      <c r="AG87" s="214" t="str">
        <f t="shared" si="2"/>
        <v>#ERROR!</v>
      </c>
      <c r="AH87" s="215" t="str">
        <f t="shared" si="3"/>
        <v>#ERROR!</v>
      </c>
      <c r="AI87" s="209"/>
      <c r="AJ87" s="209"/>
      <c r="AK87" s="212" t="s">
        <v>683</v>
      </c>
      <c r="AL87" s="212" t="s">
        <v>683</v>
      </c>
      <c r="AM87" s="213" t="str">
        <f>Table1[[#This Row],[2019 Scope 2 ]]</f>
        <v>#ERROR!</v>
      </c>
      <c r="AN87" s="214" t="str">
        <f t="shared" si="4"/>
        <v>#ERROR!</v>
      </c>
      <c r="AO87" s="215" t="str">
        <f t="shared" si="5"/>
        <v>#ERROR!</v>
      </c>
      <c r="AP87" s="214" t="str">
        <f t="shared" si="6"/>
        <v>#ERROR!</v>
      </c>
      <c r="AQ87" s="215" t="str">
        <f t="shared" si="7"/>
        <v>#ERROR!</v>
      </c>
      <c r="AR87" s="216" t="str">
        <f>Table1[[#This Row],[2019 Scope 3 ]]</f>
        <v>#ERROR!</v>
      </c>
      <c r="AS87" s="217" t="str">
        <f t="shared" si="8"/>
        <v>#ERROR!</v>
      </c>
      <c r="AT87" s="218" t="str">
        <f t="shared" si="9"/>
        <v>#ERROR!</v>
      </c>
      <c r="BI87" s="4">
        <v>17652.0</v>
      </c>
    </row>
    <row r="88" ht="12.75" hidden="1" customHeight="1">
      <c r="A88" s="5">
        <f>companies!A88</f>
        <v>87</v>
      </c>
      <c r="B88" s="199" t="s">
        <v>1254</v>
      </c>
      <c r="C88" s="199">
        <v>752552.0</v>
      </c>
      <c r="D88" s="199">
        <v>1680682.0</v>
      </c>
      <c r="E88" s="199">
        <v>1545898.0</v>
      </c>
      <c r="F88" s="199">
        <v>2.7389E7</v>
      </c>
      <c r="G88" s="199">
        <v>743000.0</v>
      </c>
      <c r="H88" s="199">
        <v>509000.0</v>
      </c>
      <c r="I88" s="199">
        <v>1655000.0</v>
      </c>
      <c r="J88" s="199">
        <v>271000.0</v>
      </c>
      <c r="K88" s="199">
        <v>22000.0</v>
      </c>
      <c r="L88" s="199">
        <v>585000.0</v>
      </c>
      <c r="M88" s="212" t="s">
        <v>683</v>
      </c>
      <c r="N88" s="212">
        <v>5672000.0</v>
      </c>
      <c r="O88" s="212" t="s">
        <v>683</v>
      </c>
      <c r="P88" s="212">
        <v>1.2897E7</v>
      </c>
      <c r="Q88" s="212">
        <v>2306000.0</v>
      </c>
      <c r="R88" s="199" t="s">
        <v>683</v>
      </c>
      <c r="S88" s="212" t="s">
        <v>683</v>
      </c>
      <c r="T88" s="212" t="s">
        <v>683</v>
      </c>
      <c r="U88" s="212" t="s">
        <v>683</v>
      </c>
      <c r="V88" s="212" t="s">
        <v>683</v>
      </c>
      <c r="W88" s="212">
        <f t="shared" si="10"/>
        <v>52049000</v>
      </c>
      <c r="X88" s="199">
        <v>1545898.0</v>
      </c>
      <c r="Y88" s="199">
        <v>5.434745E7</v>
      </c>
      <c r="Z88" s="199"/>
      <c r="AA88" s="199"/>
      <c r="AB88" s="199"/>
      <c r="AC88" s="199"/>
      <c r="AD88" s="212" t="s">
        <v>683</v>
      </c>
      <c r="AE88" s="212" t="s">
        <v>683</v>
      </c>
      <c r="AF88" s="213" t="str">
        <f>Table1[[#This Row],[2019 Scope 1 (MeT Co2)]]</f>
        <v>#ERROR!</v>
      </c>
      <c r="AG88" s="214" t="str">
        <f t="shared" si="2"/>
        <v>#ERROR!</v>
      </c>
      <c r="AH88" s="215" t="str">
        <f t="shared" si="3"/>
        <v>#ERROR!</v>
      </c>
      <c r="AI88" s="209"/>
      <c r="AJ88" s="209"/>
      <c r="AK88" s="212" t="s">
        <v>683</v>
      </c>
      <c r="AL88" s="212" t="s">
        <v>683</v>
      </c>
      <c r="AM88" s="213" t="str">
        <f>Table1[[#This Row],[2019 Scope 2 ]]</f>
        <v>#ERROR!</v>
      </c>
      <c r="AN88" s="214" t="str">
        <f t="shared" si="4"/>
        <v>#ERROR!</v>
      </c>
      <c r="AO88" s="215" t="str">
        <f t="shared" si="5"/>
        <v>#ERROR!</v>
      </c>
      <c r="AP88" s="214" t="str">
        <f t="shared" si="6"/>
        <v>#ERROR!</v>
      </c>
      <c r="AQ88" s="215" t="str">
        <f t="shared" si="7"/>
        <v>#ERROR!</v>
      </c>
      <c r="AR88" s="216" t="str">
        <f>Table1[[#This Row],[2019 Scope 3 ]]</f>
        <v>#ERROR!</v>
      </c>
      <c r="AS88" s="217" t="str">
        <f t="shared" si="8"/>
        <v>#ERROR!</v>
      </c>
      <c r="AT88" s="218" t="str">
        <f t="shared" si="9"/>
        <v>#ERROR!</v>
      </c>
      <c r="BI88" s="4">
        <v>18320.0</v>
      </c>
    </row>
    <row r="89" ht="12.75" hidden="1" customHeight="1">
      <c r="A89" s="5">
        <f>companies!A89</f>
        <v>88</v>
      </c>
      <c r="B89" s="199" t="s">
        <v>1254</v>
      </c>
      <c r="C89" s="199">
        <v>966579.0</v>
      </c>
      <c r="D89" s="199">
        <v>1054751.0</v>
      </c>
      <c r="E89" s="199">
        <v>13430.0</v>
      </c>
      <c r="F89" s="199" t="s">
        <v>683</v>
      </c>
      <c r="G89" s="199" t="s">
        <v>683</v>
      </c>
      <c r="H89" s="199" t="s">
        <v>683</v>
      </c>
      <c r="I89" s="199" t="s">
        <v>683</v>
      </c>
      <c r="J89" s="199" t="s">
        <v>683</v>
      </c>
      <c r="K89" s="199">
        <v>27544.0</v>
      </c>
      <c r="L89" s="199" t="s">
        <v>683</v>
      </c>
      <c r="M89" s="212" t="s">
        <v>683</v>
      </c>
      <c r="N89" s="212" t="s">
        <v>683</v>
      </c>
      <c r="O89" s="212" t="s">
        <v>683</v>
      </c>
      <c r="P89" s="212" t="s">
        <v>683</v>
      </c>
      <c r="Q89" s="212" t="s">
        <v>683</v>
      </c>
      <c r="R89" s="199" t="s">
        <v>683</v>
      </c>
      <c r="S89" s="212" t="s">
        <v>683</v>
      </c>
      <c r="T89" s="212" t="s">
        <v>683</v>
      </c>
      <c r="U89" s="212" t="s">
        <v>683</v>
      </c>
      <c r="V89" s="212" t="s">
        <v>683</v>
      </c>
      <c r="W89" s="212">
        <f t="shared" si="10"/>
        <v>27544</v>
      </c>
      <c r="X89" s="199">
        <v>13430.0</v>
      </c>
      <c r="Y89" s="199">
        <v>1007553.0</v>
      </c>
      <c r="Z89" s="199"/>
      <c r="AA89" s="199"/>
      <c r="AB89" s="199"/>
      <c r="AC89" s="199"/>
      <c r="AD89" s="212" t="s">
        <v>683</v>
      </c>
      <c r="AE89" s="212" t="s">
        <v>683</v>
      </c>
      <c r="AF89" s="213" t="str">
        <f>Table1[[#This Row],[2019 Scope 1 (MeT Co2)]]</f>
        <v>#ERROR!</v>
      </c>
      <c r="AG89" s="214" t="str">
        <f t="shared" si="2"/>
        <v>#ERROR!</v>
      </c>
      <c r="AH89" s="215" t="str">
        <f t="shared" si="3"/>
        <v>#ERROR!</v>
      </c>
      <c r="AI89" s="209"/>
      <c r="AJ89" s="209"/>
      <c r="AK89" s="212" t="s">
        <v>683</v>
      </c>
      <c r="AL89" s="212" t="s">
        <v>683</v>
      </c>
      <c r="AM89" s="213" t="str">
        <f>Table1[[#This Row],[2019 Scope 2 ]]</f>
        <v>#ERROR!</v>
      </c>
      <c r="AN89" s="214" t="str">
        <f t="shared" si="4"/>
        <v>#ERROR!</v>
      </c>
      <c r="AO89" s="215" t="str">
        <f t="shared" si="5"/>
        <v>#ERROR!</v>
      </c>
      <c r="AP89" s="214" t="str">
        <f t="shared" si="6"/>
        <v>#ERROR!</v>
      </c>
      <c r="AQ89" s="215" t="str">
        <f t="shared" si="7"/>
        <v>#ERROR!</v>
      </c>
      <c r="AR89" s="216" t="str">
        <f>Table1[[#This Row],[2019 Scope 3 ]]</f>
        <v>#ERROR!</v>
      </c>
      <c r="AS89" s="217" t="str">
        <f t="shared" si="8"/>
        <v>#ERROR!</v>
      </c>
      <c r="AT89" s="218" t="str">
        <f t="shared" si="9"/>
        <v>#ERROR!</v>
      </c>
      <c r="BI89" s="4">
        <v>18640.0</v>
      </c>
    </row>
    <row r="90" ht="12.75" hidden="1" customHeight="1">
      <c r="A90" s="5">
        <f>companies!A90</f>
        <v>89</v>
      </c>
      <c r="B90" s="199" t="s">
        <v>1254</v>
      </c>
      <c r="C90" s="199">
        <v>8102.0</v>
      </c>
      <c r="D90" s="199">
        <v>130205.0</v>
      </c>
      <c r="E90" s="199">
        <v>3397.0</v>
      </c>
      <c r="F90" s="199">
        <v>292735.0</v>
      </c>
      <c r="G90" s="199">
        <v>37090.0</v>
      </c>
      <c r="H90" s="199">
        <v>12987.0</v>
      </c>
      <c r="I90" s="199">
        <v>1719.0</v>
      </c>
      <c r="J90" s="199">
        <v>638.0</v>
      </c>
      <c r="K90" s="199">
        <v>14605.0</v>
      </c>
      <c r="L90" s="199">
        <v>72090.0</v>
      </c>
      <c r="M90" s="212" t="s">
        <v>683</v>
      </c>
      <c r="N90" s="212" t="s">
        <v>683</v>
      </c>
      <c r="O90" s="212" t="s">
        <v>683</v>
      </c>
      <c r="P90" s="212" t="s">
        <v>683</v>
      </c>
      <c r="Q90" s="212" t="s">
        <v>683</v>
      </c>
      <c r="R90" s="199">
        <v>3095.0</v>
      </c>
      <c r="S90" s="212" t="s">
        <v>683</v>
      </c>
      <c r="T90" s="212" t="s">
        <v>683</v>
      </c>
      <c r="U90" s="212" t="s">
        <v>683</v>
      </c>
      <c r="V90" s="212" t="s">
        <v>683</v>
      </c>
      <c r="W90" s="212">
        <f t="shared" si="10"/>
        <v>434959</v>
      </c>
      <c r="X90" s="199">
        <v>3397.0</v>
      </c>
      <c r="Y90" s="199">
        <v>446458.0</v>
      </c>
      <c r="Z90" s="199"/>
      <c r="AA90" s="199"/>
      <c r="AB90" s="199"/>
      <c r="AC90" s="199"/>
      <c r="AD90" s="212" t="s">
        <v>683</v>
      </c>
      <c r="AE90" s="212" t="s">
        <v>683</v>
      </c>
      <c r="AF90" s="213" t="str">
        <f>Table1[[#This Row],[2019 Scope 1 (MeT Co2)]]</f>
        <v>#ERROR!</v>
      </c>
      <c r="AG90" s="214" t="str">
        <f t="shared" si="2"/>
        <v>#ERROR!</v>
      </c>
      <c r="AH90" s="215" t="str">
        <f t="shared" si="3"/>
        <v>#ERROR!</v>
      </c>
      <c r="AI90" s="209"/>
      <c r="AJ90" s="209"/>
      <c r="AK90" s="212" t="s">
        <v>683</v>
      </c>
      <c r="AL90" s="212" t="s">
        <v>683</v>
      </c>
      <c r="AM90" s="213" t="str">
        <f>Table1[[#This Row],[2019 Scope 2 ]]</f>
        <v>#ERROR!</v>
      </c>
      <c r="AN90" s="214" t="str">
        <f t="shared" si="4"/>
        <v>#ERROR!</v>
      </c>
      <c r="AO90" s="215" t="str">
        <f t="shared" si="5"/>
        <v>#ERROR!</v>
      </c>
      <c r="AP90" s="214" t="str">
        <f t="shared" si="6"/>
        <v>#ERROR!</v>
      </c>
      <c r="AQ90" s="215" t="str">
        <f t="shared" si="7"/>
        <v>#ERROR!</v>
      </c>
      <c r="AR90" s="216" t="str">
        <f>Table1[[#This Row],[2019 Scope 3 ]]</f>
        <v>#ERROR!</v>
      </c>
      <c r="AS90" s="217" t="str">
        <f t="shared" si="8"/>
        <v>#ERROR!</v>
      </c>
      <c r="AT90" s="218" t="str">
        <f t="shared" si="9"/>
        <v>#ERROR!</v>
      </c>
      <c r="BI90" s="4">
        <v>1464.0</v>
      </c>
    </row>
    <row r="91" ht="12.75" hidden="1" customHeight="1">
      <c r="A91" s="5">
        <f>companies!A91</f>
        <v>90</v>
      </c>
      <c r="B91" s="199" t="s">
        <v>1254</v>
      </c>
      <c r="C91" s="199">
        <v>855073.0</v>
      </c>
      <c r="D91" s="199">
        <v>1010307.0</v>
      </c>
      <c r="E91" s="199">
        <v>931544.0</v>
      </c>
      <c r="F91" s="199" t="s">
        <v>683</v>
      </c>
      <c r="G91" s="199" t="s">
        <v>683</v>
      </c>
      <c r="H91" s="199" t="s">
        <v>683</v>
      </c>
      <c r="I91" s="199" t="s">
        <v>683</v>
      </c>
      <c r="J91" s="199" t="s">
        <v>683</v>
      </c>
      <c r="K91" s="199" t="s">
        <v>683</v>
      </c>
      <c r="L91" s="199" t="s">
        <v>683</v>
      </c>
      <c r="M91" s="212" t="s">
        <v>683</v>
      </c>
      <c r="N91" s="212" t="s">
        <v>683</v>
      </c>
      <c r="O91" s="212" t="s">
        <v>683</v>
      </c>
      <c r="P91" s="212" t="s">
        <v>683</v>
      </c>
      <c r="Q91" s="212" t="s">
        <v>683</v>
      </c>
      <c r="R91" s="199" t="s">
        <v>683</v>
      </c>
      <c r="S91" s="212" t="s">
        <v>683</v>
      </c>
      <c r="T91" s="212" t="s">
        <v>683</v>
      </c>
      <c r="U91" s="212" t="s">
        <v>683</v>
      </c>
      <c r="V91" s="212" t="s">
        <v>683</v>
      </c>
      <c r="W91" s="212">
        <f t="shared" si="10"/>
        <v>0</v>
      </c>
      <c r="X91" s="199">
        <v>931544.0</v>
      </c>
      <c r="Y91" s="199">
        <v>1786617.0</v>
      </c>
      <c r="Z91" s="199"/>
      <c r="AA91" s="199"/>
      <c r="AB91" s="199"/>
      <c r="AC91" s="199"/>
      <c r="AD91" s="212" t="s">
        <v>683</v>
      </c>
      <c r="AE91" s="212" t="s">
        <v>683</v>
      </c>
      <c r="AF91" s="213" t="str">
        <f>Table1[[#This Row],[2019 Scope 1 (MeT Co2)]]</f>
        <v>#ERROR!</v>
      </c>
      <c r="AG91" s="214" t="str">
        <f t="shared" si="2"/>
        <v>#ERROR!</v>
      </c>
      <c r="AH91" s="215" t="str">
        <f t="shared" si="3"/>
        <v>#ERROR!</v>
      </c>
      <c r="AI91" s="209"/>
      <c r="AJ91" s="209"/>
      <c r="AK91" s="212" t="s">
        <v>683</v>
      </c>
      <c r="AL91" s="212" t="s">
        <v>683</v>
      </c>
      <c r="AM91" s="213" t="str">
        <f>Table1[[#This Row],[2019 Scope 2 ]]</f>
        <v>#ERROR!</v>
      </c>
      <c r="AN91" s="214" t="str">
        <f t="shared" si="4"/>
        <v>#ERROR!</v>
      </c>
      <c r="AO91" s="215" t="str">
        <f t="shared" si="5"/>
        <v>#ERROR!</v>
      </c>
      <c r="AP91" s="214" t="str">
        <f t="shared" si="6"/>
        <v>#ERROR!</v>
      </c>
      <c r="AQ91" s="215" t="str">
        <f t="shared" si="7"/>
        <v>#ERROR!</v>
      </c>
      <c r="AR91" s="216" t="str">
        <f>Table1[[#This Row],[2019 Scope 3 ]]</f>
        <v>#ERROR!</v>
      </c>
      <c r="AS91" s="217" t="str">
        <f t="shared" si="8"/>
        <v>#ERROR!</v>
      </c>
      <c r="AT91" s="218" t="str">
        <f t="shared" si="9"/>
        <v>#ERROR!</v>
      </c>
      <c r="BI91" s="4">
        <v>20384.0</v>
      </c>
    </row>
    <row r="92" ht="12.75" hidden="1" customHeight="1">
      <c r="A92" s="5">
        <f>companies!A92</f>
        <v>91</v>
      </c>
      <c r="B92" s="199" t="s">
        <v>1254</v>
      </c>
      <c r="C92" s="199" t="s">
        <v>1262</v>
      </c>
      <c r="D92" s="199" t="s">
        <v>1262</v>
      </c>
      <c r="E92" s="199" t="s">
        <v>1262</v>
      </c>
      <c r="F92" s="199" t="s">
        <v>1262</v>
      </c>
      <c r="G92" s="199" t="s">
        <v>1262</v>
      </c>
      <c r="H92" s="199" t="s">
        <v>1262</v>
      </c>
      <c r="I92" s="199" t="s">
        <v>1262</v>
      </c>
      <c r="J92" s="199" t="s">
        <v>1262</v>
      </c>
      <c r="K92" s="199" t="s">
        <v>1262</v>
      </c>
      <c r="L92" s="199" t="s">
        <v>1262</v>
      </c>
      <c r="M92" s="199" t="s">
        <v>1262</v>
      </c>
      <c r="N92" s="199" t="s">
        <v>1262</v>
      </c>
      <c r="O92" s="199" t="s">
        <v>1262</v>
      </c>
      <c r="P92" s="199" t="s">
        <v>1262</v>
      </c>
      <c r="Q92" s="199" t="s">
        <v>1262</v>
      </c>
      <c r="R92" s="199" t="s">
        <v>1262</v>
      </c>
      <c r="S92" s="199" t="s">
        <v>1262</v>
      </c>
      <c r="T92" s="199" t="s">
        <v>1262</v>
      </c>
      <c r="U92" s="199" t="s">
        <v>1262</v>
      </c>
      <c r="V92" s="199" t="s">
        <v>1262</v>
      </c>
      <c r="W92" s="212">
        <f t="shared" si="10"/>
        <v>0</v>
      </c>
      <c r="X92" s="199">
        <v>0.0</v>
      </c>
      <c r="Y92" s="199"/>
      <c r="Z92" s="199"/>
      <c r="AA92" s="199"/>
      <c r="AB92" s="212"/>
      <c r="AC92" s="212"/>
      <c r="AD92" s="212" t="e">
        <v>#N/A</v>
      </c>
      <c r="AE92" s="212" t="e">
        <v>#N/A</v>
      </c>
      <c r="AF92" s="213" t="str">
        <f>Table1[[#This Row],[2019 Scope 1 (MeT Co2)]]</f>
        <v>#ERROR!</v>
      </c>
      <c r="AG92" s="214" t="str">
        <f t="shared" si="2"/>
        <v>#ERROR!</v>
      </c>
      <c r="AH92" s="215" t="str">
        <f t="shared" si="3"/>
        <v>#ERROR!</v>
      </c>
      <c r="AI92" s="209"/>
      <c r="AJ92" s="209"/>
      <c r="AK92" s="212" t="e">
        <v>#N/A</v>
      </c>
      <c r="AL92" s="212" t="e">
        <v>#N/A</v>
      </c>
      <c r="AM92" s="213" t="str">
        <f>Table1[[#This Row],[2019 Scope 2 ]]</f>
        <v>#ERROR!</v>
      </c>
      <c r="AN92" s="214" t="str">
        <f t="shared" si="4"/>
        <v>#ERROR!</v>
      </c>
      <c r="AO92" s="215" t="str">
        <f t="shared" si="5"/>
        <v>#ERROR!</v>
      </c>
      <c r="AP92" s="214" t="str">
        <f t="shared" si="6"/>
        <v>#ERROR!</v>
      </c>
      <c r="AQ92" s="215" t="str">
        <f t="shared" si="7"/>
        <v>#ERROR!</v>
      </c>
      <c r="AR92" s="216" t="str">
        <f>Table1[[#This Row],[2019 Scope 3 ]]</f>
        <v>#ERROR!</v>
      </c>
      <c r="AS92" s="217" t="str">
        <f t="shared" si="8"/>
        <v>#ERROR!</v>
      </c>
      <c r="AT92" s="218" t="str">
        <f t="shared" si="9"/>
        <v>#ERROR!</v>
      </c>
    </row>
    <row r="93" ht="12.75" hidden="1" customHeight="1">
      <c r="A93" s="5">
        <f>companies!A93</f>
        <v>92</v>
      </c>
      <c r="B93" s="199" t="s">
        <v>1254</v>
      </c>
      <c r="C93" s="199">
        <v>1.0066595E7</v>
      </c>
      <c r="D93" s="199">
        <v>344024.0</v>
      </c>
      <c r="E93" s="199">
        <v>314075.0</v>
      </c>
      <c r="F93" s="199">
        <v>11587.0</v>
      </c>
      <c r="G93" s="199">
        <v>197684.0</v>
      </c>
      <c r="H93" s="199">
        <v>2486703.0</v>
      </c>
      <c r="I93" s="199">
        <v>7967.0</v>
      </c>
      <c r="J93" s="199">
        <v>452268.0</v>
      </c>
      <c r="K93" s="199">
        <v>15499.0</v>
      </c>
      <c r="L93" s="199">
        <v>3712.0</v>
      </c>
      <c r="M93" s="212" t="s">
        <v>683</v>
      </c>
      <c r="N93" s="212" t="s">
        <v>683</v>
      </c>
      <c r="O93" s="212" t="s">
        <v>683</v>
      </c>
      <c r="P93" s="212" t="s">
        <v>683</v>
      </c>
      <c r="Q93" s="212" t="s">
        <v>683</v>
      </c>
      <c r="R93" s="199" t="s">
        <v>683</v>
      </c>
      <c r="S93" s="212" t="s">
        <v>683</v>
      </c>
      <c r="T93" s="212" t="s">
        <v>683</v>
      </c>
      <c r="U93" s="212" t="s">
        <v>683</v>
      </c>
      <c r="V93" s="212" t="s">
        <v>683</v>
      </c>
      <c r="W93" s="212">
        <f t="shared" si="10"/>
        <v>3175420</v>
      </c>
      <c r="X93" s="199">
        <v>314075.0</v>
      </c>
      <c r="Y93" s="199">
        <v>1.355609E7</v>
      </c>
      <c r="Z93" s="199"/>
      <c r="AA93" s="199"/>
      <c r="AB93" s="199"/>
      <c r="AC93" s="199"/>
      <c r="AD93" s="212" t="s">
        <v>683</v>
      </c>
      <c r="AE93" s="212" t="s">
        <v>683</v>
      </c>
      <c r="AF93" s="213" t="str">
        <f>Table1[[#This Row],[2019 Scope 1 (MeT Co2)]]</f>
        <v>#ERROR!</v>
      </c>
      <c r="AG93" s="214" t="str">
        <f t="shared" si="2"/>
        <v>#ERROR!</v>
      </c>
      <c r="AH93" s="215" t="str">
        <f t="shared" si="3"/>
        <v>#ERROR!</v>
      </c>
      <c r="AI93" s="209"/>
      <c r="AJ93" s="209"/>
      <c r="AK93" s="212" t="s">
        <v>683</v>
      </c>
      <c r="AL93" s="212" t="s">
        <v>683</v>
      </c>
      <c r="AM93" s="213" t="str">
        <f>Table1[[#This Row],[2019 Scope 2 ]]</f>
        <v>#ERROR!</v>
      </c>
      <c r="AN93" s="214" t="str">
        <f t="shared" si="4"/>
        <v>#ERROR!</v>
      </c>
      <c r="AO93" s="219" t="str">
        <f t="shared" si="5"/>
        <v>#ERROR!</v>
      </c>
      <c r="AP93" s="214" t="str">
        <f t="shared" si="6"/>
        <v>#ERROR!</v>
      </c>
      <c r="AQ93" s="219" t="str">
        <f t="shared" si="7"/>
        <v>#ERROR!</v>
      </c>
      <c r="AR93" s="216" t="str">
        <f>Table1[[#This Row],[2019 Scope 3 ]]</f>
        <v>#ERROR!</v>
      </c>
      <c r="AS93" s="217" t="str">
        <f t="shared" si="8"/>
        <v>#ERROR!</v>
      </c>
      <c r="AT93" s="218" t="str">
        <f t="shared" si="9"/>
        <v>#ERROR!</v>
      </c>
      <c r="BI93" s="199">
        <v>19845.0</v>
      </c>
    </row>
    <row r="94" ht="12.75" hidden="1" customHeight="1">
      <c r="A94" s="5">
        <f>companies!A94</f>
        <v>93</v>
      </c>
      <c r="B94" s="199" t="s">
        <v>1254</v>
      </c>
      <c r="C94" s="199">
        <v>17709.0</v>
      </c>
      <c r="D94" s="199">
        <v>153004.0</v>
      </c>
      <c r="E94" s="199">
        <v>149418.0</v>
      </c>
      <c r="F94" s="199" t="s">
        <v>683</v>
      </c>
      <c r="G94" s="199" t="s">
        <v>683</v>
      </c>
      <c r="H94" s="199" t="s">
        <v>683</v>
      </c>
      <c r="I94" s="199" t="s">
        <v>683</v>
      </c>
      <c r="J94" s="199">
        <v>25934.0</v>
      </c>
      <c r="K94" s="199">
        <v>63005.0</v>
      </c>
      <c r="L94" s="199">
        <v>252683.0</v>
      </c>
      <c r="M94" s="212">
        <v>88189.0</v>
      </c>
      <c r="N94" s="212" t="s">
        <v>683</v>
      </c>
      <c r="O94" s="212" t="s">
        <v>683</v>
      </c>
      <c r="P94" s="212" t="s">
        <v>683</v>
      </c>
      <c r="Q94" s="212" t="s">
        <v>683</v>
      </c>
      <c r="R94" s="199" t="s">
        <v>683</v>
      </c>
      <c r="S94" s="212" t="s">
        <v>683</v>
      </c>
      <c r="T94" s="212" t="s">
        <v>683</v>
      </c>
      <c r="U94" s="212" t="s">
        <v>683</v>
      </c>
      <c r="V94" s="212" t="s">
        <v>683</v>
      </c>
      <c r="W94" s="212">
        <f t="shared" si="10"/>
        <v>429811</v>
      </c>
      <c r="X94" s="199">
        <v>149418.0</v>
      </c>
      <c r="Y94" s="199">
        <v>596938.0</v>
      </c>
      <c r="Z94" s="199"/>
      <c r="AA94" s="199"/>
      <c r="AB94" s="199"/>
      <c r="AC94" s="199"/>
      <c r="AD94" s="212" t="s">
        <v>683</v>
      </c>
      <c r="AE94" s="212" t="s">
        <v>683</v>
      </c>
      <c r="AF94" s="213" t="str">
        <f>Table1[[#This Row],[2019 Scope 1 (MeT Co2)]]</f>
        <v>#ERROR!</v>
      </c>
      <c r="AG94" s="214" t="str">
        <f t="shared" si="2"/>
        <v>#ERROR!</v>
      </c>
      <c r="AH94" s="215" t="str">
        <f t="shared" si="3"/>
        <v>#ERROR!</v>
      </c>
      <c r="AI94" s="209"/>
      <c r="AJ94" s="209"/>
      <c r="AK94" s="212" t="s">
        <v>683</v>
      </c>
      <c r="AL94" s="212" t="s">
        <v>683</v>
      </c>
      <c r="AM94" s="213" t="str">
        <f>Table1[[#This Row],[2019 Scope 2 ]]</f>
        <v>#ERROR!</v>
      </c>
      <c r="AN94" s="214" t="str">
        <f t="shared" si="4"/>
        <v>#ERROR!</v>
      </c>
      <c r="AO94" s="215" t="str">
        <f t="shared" si="5"/>
        <v>#ERROR!</v>
      </c>
      <c r="AP94" s="214" t="str">
        <f t="shared" si="6"/>
        <v>#ERROR!</v>
      </c>
      <c r="AQ94" s="215" t="str">
        <f t="shared" si="7"/>
        <v>#ERROR!</v>
      </c>
      <c r="AR94" s="216" t="str">
        <f>Table1[[#This Row],[2019 Scope 3 ]]</f>
        <v>#ERROR!</v>
      </c>
      <c r="AS94" s="217" t="str">
        <f t="shared" si="8"/>
        <v>#ERROR!</v>
      </c>
      <c r="AT94" s="218" t="str">
        <f t="shared" si="9"/>
        <v>#ERROR!</v>
      </c>
      <c r="BI94" s="4">
        <v>19858.0</v>
      </c>
    </row>
    <row r="95" ht="12.75" hidden="1" customHeight="1">
      <c r="A95" s="5">
        <f>companies!A95</f>
        <v>94</v>
      </c>
      <c r="B95" s="199" t="s">
        <v>1254</v>
      </c>
      <c r="C95" s="199">
        <v>1.4223E7</v>
      </c>
      <c r="D95" s="199">
        <v>754000.0</v>
      </c>
      <c r="E95" s="199">
        <v>731000.0</v>
      </c>
      <c r="F95" s="199">
        <v>3122000.0</v>
      </c>
      <c r="G95" s="199">
        <v>4629000.0</v>
      </c>
      <c r="H95" s="199">
        <v>2820000.0</v>
      </c>
      <c r="I95" s="199">
        <v>8198000.0</v>
      </c>
      <c r="J95" s="199">
        <v>25000.0</v>
      </c>
      <c r="K95" s="199">
        <v>69000.0</v>
      </c>
      <c r="L95" s="199">
        <v>2079000.0</v>
      </c>
      <c r="M95" s="212" t="s">
        <v>683</v>
      </c>
      <c r="N95" s="212" t="s">
        <v>683</v>
      </c>
      <c r="O95" s="212" t="s">
        <v>683</v>
      </c>
      <c r="P95" s="212" t="s">
        <v>683</v>
      </c>
      <c r="Q95" s="212">
        <v>9000.0</v>
      </c>
      <c r="R95" s="199" t="s">
        <v>683</v>
      </c>
      <c r="S95" s="212">
        <v>57000.0</v>
      </c>
      <c r="T95" s="212" t="s">
        <v>683</v>
      </c>
      <c r="U95" s="212" t="s">
        <v>683</v>
      </c>
      <c r="V95" s="212" t="s">
        <v>683</v>
      </c>
      <c r="W95" s="212">
        <f t="shared" si="10"/>
        <v>21008000</v>
      </c>
      <c r="X95" s="199">
        <v>731000.0</v>
      </c>
      <c r="Y95" s="199">
        <v>3.5962E7</v>
      </c>
      <c r="Z95" s="199"/>
      <c r="AA95" s="199"/>
      <c r="AB95" s="199"/>
      <c r="AC95" s="199"/>
      <c r="AD95" s="212" t="s">
        <v>683</v>
      </c>
      <c r="AE95" s="212" t="s">
        <v>683</v>
      </c>
      <c r="AF95" s="213" t="str">
        <f>Table1[[#This Row],[2019 Scope 1 (MeT Co2)]]</f>
        <v>#ERROR!</v>
      </c>
      <c r="AG95" s="214" t="str">
        <f t="shared" si="2"/>
        <v>#ERROR!</v>
      </c>
      <c r="AH95" s="215" t="str">
        <f t="shared" si="3"/>
        <v>#ERROR!</v>
      </c>
      <c r="AI95" s="209"/>
      <c r="AJ95" s="209"/>
      <c r="AK95" s="212" t="s">
        <v>683</v>
      </c>
      <c r="AL95" s="212" t="s">
        <v>683</v>
      </c>
      <c r="AM95" s="213" t="str">
        <f>Table1[[#This Row],[2019 Scope 2 ]]</f>
        <v>#ERROR!</v>
      </c>
      <c r="AN95" s="214" t="str">
        <f t="shared" si="4"/>
        <v>#ERROR!</v>
      </c>
      <c r="AO95" s="215" t="str">
        <f t="shared" si="5"/>
        <v>#ERROR!</v>
      </c>
      <c r="AP95" s="214" t="str">
        <f t="shared" si="6"/>
        <v>#ERROR!</v>
      </c>
      <c r="AQ95" s="215" t="str">
        <f t="shared" si="7"/>
        <v>#ERROR!</v>
      </c>
      <c r="AR95" s="216" t="str">
        <f>Table1[[#This Row],[2019 Scope 3 ]]</f>
        <v>#ERROR!</v>
      </c>
      <c r="AS95" s="217" t="str">
        <f t="shared" si="8"/>
        <v>#ERROR!</v>
      </c>
      <c r="AT95" s="218" t="str">
        <f t="shared" si="9"/>
        <v>#ERROR!</v>
      </c>
      <c r="BI95" s="4">
        <v>19898.0</v>
      </c>
    </row>
    <row r="96" ht="12.75" hidden="1" customHeight="1">
      <c r="A96" s="5">
        <f>companies!A96</f>
        <v>95</v>
      </c>
      <c r="B96" s="199" t="s">
        <v>1254</v>
      </c>
      <c r="C96" s="199">
        <v>56482.0</v>
      </c>
      <c r="D96" s="199">
        <v>255929.0</v>
      </c>
      <c r="E96" s="199">
        <v>176447.0</v>
      </c>
      <c r="F96" s="199" t="s">
        <v>683</v>
      </c>
      <c r="G96" s="199" t="s">
        <v>683</v>
      </c>
      <c r="H96" s="199" t="s">
        <v>683</v>
      </c>
      <c r="I96" s="199" t="s">
        <v>683</v>
      </c>
      <c r="J96" s="199">
        <v>8528.0</v>
      </c>
      <c r="K96" s="199">
        <v>38762.0</v>
      </c>
      <c r="L96" s="199">
        <v>79195.0</v>
      </c>
      <c r="M96" s="212" t="s">
        <v>683</v>
      </c>
      <c r="N96" s="212" t="s">
        <v>683</v>
      </c>
      <c r="O96" s="212" t="s">
        <v>683</v>
      </c>
      <c r="P96" s="212" t="s">
        <v>683</v>
      </c>
      <c r="Q96" s="212" t="s">
        <v>683</v>
      </c>
      <c r="R96" s="199">
        <v>44088.0</v>
      </c>
      <c r="S96" s="212" t="s">
        <v>683</v>
      </c>
      <c r="T96" s="212" t="s">
        <v>683</v>
      </c>
      <c r="U96" s="212" t="s">
        <v>683</v>
      </c>
      <c r="V96" s="212" t="s">
        <v>683</v>
      </c>
      <c r="W96" s="212">
        <f t="shared" si="10"/>
        <v>170573</v>
      </c>
      <c r="X96" s="199">
        <v>176447.0</v>
      </c>
      <c r="Y96" s="199">
        <v>403502.0</v>
      </c>
      <c r="Z96" s="199"/>
      <c r="AA96" s="199"/>
      <c r="AB96" s="199"/>
      <c r="AC96" s="199"/>
      <c r="AD96" s="212" t="s">
        <v>1255</v>
      </c>
      <c r="AE96" s="212" t="s">
        <v>1256</v>
      </c>
      <c r="AF96" s="213" t="str">
        <f>Table1[[#This Row],[2019 Scope 1 (MeT Co2)]]</f>
        <v>#ERROR!</v>
      </c>
      <c r="AG96" s="214" t="str">
        <f t="shared" si="2"/>
        <v>#ERROR!</v>
      </c>
      <c r="AH96" s="215" t="str">
        <f t="shared" si="3"/>
        <v>#ERROR!</v>
      </c>
      <c r="AI96" s="209"/>
      <c r="AJ96" s="209"/>
      <c r="AK96" s="212" t="s">
        <v>1255</v>
      </c>
      <c r="AL96" s="212" t="s">
        <v>1256</v>
      </c>
      <c r="AM96" s="213" t="str">
        <f>Table1[[#This Row],[2019 Scope 2 ]]</f>
        <v>#ERROR!</v>
      </c>
      <c r="AN96" s="214" t="str">
        <f t="shared" si="4"/>
        <v>#ERROR!</v>
      </c>
      <c r="AO96" s="215" t="str">
        <f t="shared" si="5"/>
        <v>#ERROR!</v>
      </c>
      <c r="AP96" s="214" t="str">
        <f t="shared" si="6"/>
        <v>#ERROR!</v>
      </c>
      <c r="AQ96" s="215" t="str">
        <f t="shared" si="7"/>
        <v>#ERROR!</v>
      </c>
      <c r="AR96" s="216" t="str">
        <f>Table1[[#This Row],[2019 Scope 3 ]]</f>
        <v>#ERROR!</v>
      </c>
      <c r="AS96" s="217" t="str">
        <f t="shared" si="8"/>
        <v>#ERROR!</v>
      </c>
      <c r="AT96" s="218" t="str">
        <f t="shared" si="9"/>
        <v>#ERROR!</v>
      </c>
      <c r="BI96" s="4">
        <v>19593.0</v>
      </c>
    </row>
    <row r="97" ht="12.75" hidden="1" customHeight="1">
      <c r="A97" s="5">
        <f>companies!A97</f>
        <v>96</v>
      </c>
      <c r="B97" s="199" t="s">
        <v>1254</v>
      </c>
      <c r="C97" s="199">
        <v>358753.0</v>
      </c>
      <c r="D97" s="199">
        <v>4006874.0</v>
      </c>
      <c r="E97" s="199">
        <v>3982613.0</v>
      </c>
      <c r="F97" s="199">
        <v>1.2502929E7</v>
      </c>
      <c r="G97" s="199">
        <v>0.0</v>
      </c>
      <c r="H97" s="199">
        <v>1057075.0</v>
      </c>
      <c r="I97" s="199">
        <v>65443.0</v>
      </c>
      <c r="J97" s="199">
        <v>36503.0</v>
      </c>
      <c r="K97" s="199">
        <v>92882.0</v>
      </c>
      <c r="L97" s="199">
        <v>511555.0</v>
      </c>
      <c r="M97" s="212" t="s">
        <v>683</v>
      </c>
      <c r="N97" s="212">
        <v>56906.0</v>
      </c>
      <c r="O97" s="212" t="s">
        <v>683</v>
      </c>
      <c r="P97" s="212">
        <v>2736735.0</v>
      </c>
      <c r="Q97" s="212">
        <v>1619.0</v>
      </c>
      <c r="R97" s="199" t="s">
        <v>683</v>
      </c>
      <c r="S97" s="212" t="s">
        <v>683</v>
      </c>
      <c r="T97" s="212" t="s">
        <v>683</v>
      </c>
      <c r="U97" s="212" t="s">
        <v>683</v>
      </c>
      <c r="V97" s="212" t="s">
        <v>683</v>
      </c>
      <c r="W97" s="212">
        <f t="shared" si="10"/>
        <v>17061647</v>
      </c>
      <c r="X97" s="199">
        <v>3982613.0</v>
      </c>
      <c r="Y97" s="199">
        <v>2.1403013E7</v>
      </c>
      <c r="Z97" s="199"/>
      <c r="AA97" s="199"/>
      <c r="AB97" s="199"/>
      <c r="AC97" s="199"/>
      <c r="AD97" s="212" t="s">
        <v>683</v>
      </c>
      <c r="AE97" s="212" t="s">
        <v>683</v>
      </c>
      <c r="AF97" s="213" t="str">
        <f>Table1[[#This Row],[2019 Scope 1 (MeT Co2)]]</f>
        <v>#ERROR!</v>
      </c>
      <c r="AG97" s="214" t="str">
        <f t="shared" si="2"/>
        <v>#ERROR!</v>
      </c>
      <c r="AH97" s="215" t="str">
        <f t="shared" si="3"/>
        <v>#ERROR!</v>
      </c>
      <c r="AI97" s="209"/>
      <c r="AJ97" s="209"/>
      <c r="AK97" s="212" t="s">
        <v>683</v>
      </c>
      <c r="AL97" s="212" t="s">
        <v>683</v>
      </c>
      <c r="AM97" s="213" t="str">
        <f>Table1[[#This Row],[2019 Scope 2 ]]</f>
        <v>#ERROR!</v>
      </c>
      <c r="AN97" s="214" t="str">
        <f t="shared" si="4"/>
        <v>#ERROR!</v>
      </c>
      <c r="AO97" s="215" t="str">
        <f t="shared" si="5"/>
        <v>#ERROR!</v>
      </c>
      <c r="AP97" s="214" t="str">
        <f t="shared" si="6"/>
        <v>#ERROR!</v>
      </c>
      <c r="AQ97" s="215" t="str">
        <f t="shared" si="7"/>
        <v>#ERROR!</v>
      </c>
      <c r="AR97" s="216" t="str">
        <f>Table1[[#This Row],[2019 Scope 3 ]]</f>
        <v>#ERROR!</v>
      </c>
      <c r="AS97" s="217" t="str">
        <f t="shared" si="8"/>
        <v>#ERROR!</v>
      </c>
      <c r="AT97" s="218" t="str">
        <f t="shared" si="9"/>
        <v>#ERROR!</v>
      </c>
      <c r="BI97" s="4">
        <v>20175.0</v>
      </c>
    </row>
    <row r="98" ht="12.75" hidden="1" customHeight="1">
      <c r="A98" s="5">
        <f>companies!A98</f>
        <v>97</v>
      </c>
      <c r="B98" s="199" t="s">
        <v>1254</v>
      </c>
      <c r="C98" s="199">
        <v>8642.0</v>
      </c>
      <c r="D98" s="199">
        <v>66009.0</v>
      </c>
      <c r="E98" s="199">
        <v>51366.0</v>
      </c>
      <c r="F98" s="199">
        <v>430410.0</v>
      </c>
      <c r="G98" s="199" t="s">
        <v>683</v>
      </c>
      <c r="H98" s="199">
        <v>13729.0</v>
      </c>
      <c r="I98" s="199" t="s">
        <v>683</v>
      </c>
      <c r="J98" s="199">
        <v>2203.0</v>
      </c>
      <c r="K98" s="199">
        <v>48009.0</v>
      </c>
      <c r="L98" s="199">
        <v>29518.0</v>
      </c>
      <c r="M98" s="212" t="s">
        <v>683</v>
      </c>
      <c r="N98" s="212" t="s">
        <v>683</v>
      </c>
      <c r="O98" s="212" t="s">
        <v>683</v>
      </c>
      <c r="P98" s="212" t="s">
        <v>683</v>
      </c>
      <c r="Q98" s="212" t="s">
        <v>683</v>
      </c>
      <c r="R98" s="199">
        <v>94.0</v>
      </c>
      <c r="S98" s="212" t="s">
        <v>683</v>
      </c>
      <c r="T98" s="212" t="s">
        <v>683</v>
      </c>
      <c r="U98" s="212" t="s">
        <v>683</v>
      </c>
      <c r="V98" s="212" t="s">
        <v>683</v>
      </c>
      <c r="W98" s="212">
        <f t="shared" si="10"/>
        <v>523963</v>
      </c>
      <c r="X98" s="199">
        <v>51366.0</v>
      </c>
      <c r="Y98" s="199">
        <v>583971.0</v>
      </c>
      <c r="Z98" s="199"/>
      <c r="AA98" s="199"/>
      <c r="AB98" s="199"/>
      <c r="AC98" s="199"/>
      <c r="AD98" s="212" t="s">
        <v>683</v>
      </c>
      <c r="AE98" s="212" t="s">
        <v>683</v>
      </c>
      <c r="AF98" s="213" t="str">
        <f>Table1[[#This Row],[2019 Scope 1 (MeT Co2)]]</f>
        <v>#ERROR!</v>
      </c>
      <c r="AG98" s="214" t="str">
        <f t="shared" si="2"/>
        <v>#ERROR!</v>
      </c>
      <c r="AH98" s="215" t="str">
        <f t="shared" si="3"/>
        <v>#ERROR!</v>
      </c>
      <c r="AI98" s="209"/>
      <c r="AJ98" s="209"/>
      <c r="AK98" s="212" t="s">
        <v>683</v>
      </c>
      <c r="AL98" s="212" t="s">
        <v>683</v>
      </c>
      <c r="AM98" s="213" t="str">
        <f>Table1[[#This Row],[2019 Scope 2 ]]</f>
        <v>#ERROR!</v>
      </c>
      <c r="AN98" s="214" t="str">
        <f t="shared" si="4"/>
        <v>#ERROR!</v>
      </c>
      <c r="AO98" s="215" t="str">
        <f t="shared" si="5"/>
        <v>#ERROR!</v>
      </c>
      <c r="AP98" s="214" t="str">
        <f t="shared" si="6"/>
        <v>#ERROR!</v>
      </c>
      <c r="AQ98" s="215" t="str">
        <f t="shared" si="7"/>
        <v>#ERROR!</v>
      </c>
      <c r="AR98" s="216" t="str">
        <f>Table1[[#This Row],[2019 Scope 3 ]]</f>
        <v>#ERROR!</v>
      </c>
      <c r="AS98" s="217" t="str">
        <f t="shared" si="8"/>
        <v>#ERROR!</v>
      </c>
      <c r="AT98" s="218" t="str">
        <f t="shared" si="9"/>
        <v>#ERROR!</v>
      </c>
      <c r="BI98" s="4">
        <v>22867.0</v>
      </c>
    </row>
    <row r="99" ht="12.75" hidden="1" customHeight="1">
      <c r="A99" s="5">
        <f>companies!A99</f>
        <v>98</v>
      </c>
      <c r="B99" s="199" t="s">
        <v>1254</v>
      </c>
      <c r="C99" s="199">
        <v>421000.0</v>
      </c>
      <c r="D99" s="199">
        <v>1645000.0</v>
      </c>
      <c r="E99" s="199">
        <v>1575000.0</v>
      </c>
      <c r="F99" s="199">
        <v>2.5508E7</v>
      </c>
      <c r="G99" s="199">
        <v>776000.0</v>
      </c>
      <c r="H99" s="199">
        <v>298000.0</v>
      </c>
      <c r="I99" s="199">
        <v>167000.0</v>
      </c>
      <c r="J99" s="199">
        <v>40000.0</v>
      </c>
      <c r="K99" s="199">
        <v>53000.0</v>
      </c>
      <c r="L99" s="199">
        <v>878000.0</v>
      </c>
      <c r="M99" s="212" t="s">
        <v>683</v>
      </c>
      <c r="N99" s="212">
        <v>9835000.0</v>
      </c>
      <c r="O99" s="212" t="s">
        <v>683</v>
      </c>
      <c r="P99" s="212">
        <v>15000.0</v>
      </c>
      <c r="Q99" s="212">
        <v>58000.0</v>
      </c>
      <c r="R99" s="199">
        <v>28000.0</v>
      </c>
      <c r="S99" s="212" t="s">
        <v>683</v>
      </c>
      <c r="T99" s="212">
        <v>243000.0</v>
      </c>
      <c r="U99" s="212" t="s">
        <v>683</v>
      </c>
      <c r="V99" s="212" t="s">
        <v>683</v>
      </c>
      <c r="W99" s="212">
        <f t="shared" si="10"/>
        <v>37899000</v>
      </c>
      <c r="X99" s="199">
        <v>1575000.0</v>
      </c>
      <c r="Y99" s="199">
        <v>3.9895E7</v>
      </c>
      <c r="Z99" s="199"/>
      <c r="AA99" s="199"/>
      <c r="AB99" s="199"/>
      <c r="AC99" s="199"/>
      <c r="AD99" s="212" t="s">
        <v>683</v>
      </c>
      <c r="AE99" s="212" t="s">
        <v>683</v>
      </c>
      <c r="AF99" s="213" t="str">
        <f>Table1[[#This Row],[2019 Scope 1 (MeT Co2)]]</f>
        <v>#ERROR!</v>
      </c>
      <c r="AG99" s="214" t="str">
        <f t="shared" si="2"/>
        <v>#ERROR!</v>
      </c>
      <c r="AH99" s="215" t="str">
        <f t="shared" si="3"/>
        <v>#ERROR!</v>
      </c>
      <c r="AI99" s="209"/>
      <c r="AJ99" s="209"/>
      <c r="AK99" s="212" t="s">
        <v>683</v>
      </c>
      <c r="AL99" s="212" t="s">
        <v>683</v>
      </c>
      <c r="AM99" s="213" t="str">
        <f>Table1[[#This Row],[2019 Scope 2 ]]</f>
        <v>#ERROR!</v>
      </c>
      <c r="AN99" s="214" t="str">
        <f t="shared" si="4"/>
        <v>#ERROR!</v>
      </c>
      <c r="AO99" s="215" t="str">
        <f t="shared" si="5"/>
        <v>#ERROR!</v>
      </c>
      <c r="AP99" s="214" t="str">
        <f t="shared" si="6"/>
        <v>#ERROR!</v>
      </c>
      <c r="AQ99" s="215" t="str">
        <f t="shared" si="7"/>
        <v>#ERROR!</v>
      </c>
      <c r="AR99" s="216" t="str">
        <f>Table1[[#This Row],[2019 Scope 3 ]]</f>
        <v>#ERROR!</v>
      </c>
      <c r="AS99" s="217" t="str">
        <f t="shared" si="8"/>
        <v>#ERROR!</v>
      </c>
      <c r="AT99" s="218" t="str">
        <f t="shared" si="9"/>
        <v>#ERROR!</v>
      </c>
      <c r="BI99" s="199">
        <v>20398.0</v>
      </c>
    </row>
    <row r="100" ht="12.75" hidden="1" customHeight="1">
      <c r="A100" s="5">
        <f>companies!A100</f>
        <v>99</v>
      </c>
      <c r="B100" s="199" t="s">
        <v>1254</v>
      </c>
      <c r="C100" s="199">
        <v>6484616.0</v>
      </c>
      <c r="D100" s="199">
        <v>1.2190878E7</v>
      </c>
      <c r="E100" s="199">
        <v>1.107898E7</v>
      </c>
      <c r="F100" s="199">
        <v>1.43267842E8</v>
      </c>
      <c r="G100" s="199">
        <v>645328.0</v>
      </c>
      <c r="H100" s="199">
        <v>3327874.0</v>
      </c>
      <c r="I100" s="199">
        <v>342577.0</v>
      </c>
      <c r="J100" s="199">
        <v>968265.0</v>
      </c>
      <c r="K100" s="199">
        <v>76296.0</v>
      </c>
      <c r="L100" s="199">
        <v>3500000.0</v>
      </c>
      <c r="M100" s="212" t="s">
        <v>683</v>
      </c>
      <c r="N100" s="212">
        <v>5099.0</v>
      </c>
      <c r="O100" s="212" t="s">
        <v>683</v>
      </c>
      <c r="P100" s="212">
        <v>3.2211E7</v>
      </c>
      <c r="Q100" s="212">
        <v>130.0</v>
      </c>
      <c r="R100" s="199">
        <v>130000.0</v>
      </c>
      <c r="S100" s="212" t="s">
        <v>683</v>
      </c>
      <c r="T100" s="212" t="s">
        <v>683</v>
      </c>
      <c r="U100" s="212" t="s">
        <v>683</v>
      </c>
      <c r="V100" s="212" t="s">
        <v>683</v>
      </c>
      <c r="W100" s="212">
        <f t="shared" si="10"/>
        <v>184474411</v>
      </c>
      <c r="X100" s="199">
        <v>1.107898E7</v>
      </c>
      <c r="Y100" s="199">
        <v>2.02038007E8</v>
      </c>
      <c r="Z100" s="199"/>
      <c r="AA100" s="199"/>
      <c r="AB100" s="199"/>
      <c r="AC100" s="199"/>
      <c r="AD100" s="212" t="s">
        <v>683</v>
      </c>
      <c r="AE100" s="212" t="s">
        <v>683</v>
      </c>
      <c r="AF100" s="213" t="str">
        <f>Table1[[#This Row],[2019 Scope 1 (MeT Co2)]]</f>
        <v>#ERROR!</v>
      </c>
      <c r="AG100" s="214" t="str">
        <f t="shared" si="2"/>
        <v>#ERROR!</v>
      </c>
      <c r="AH100" s="215" t="str">
        <f t="shared" si="3"/>
        <v>#ERROR!</v>
      </c>
      <c r="AI100" s="209"/>
      <c r="AJ100" s="209"/>
      <c r="AK100" s="212" t="s">
        <v>683</v>
      </c>
      <c r="AL100" s="212" t="s">
        <v>683</v>
      </c>
      <c r="AM100" s="213" t="str">
        <f>Table1[[#This Row],[2019 Scope 2 ]]</f>
        <v>#ERROR!</v>
      </c>
      <c r="AN100" s="214" t="str">
        <f t="shared" si="4"/>
        <v>#ERROR!</v>
      </c>
      <c r="AO100" s="215" t="str">
        <f t="shared" si="5"/>
        <v>#ERROR!</v>
      </c>
      <c r="AP100" s="214" t="str">
        <f t="shared" si="6"/>
        <v>#ERROR!</v>
      </c>
      <c r="AQ100" s="215" t="str">
        <f t="shared" si="7"/>
        <v>#ERROR!</v>
      </c>
      <c r="AR100" s="216" t="str">
        <f>Table1[[#This Row],[2019 Scope 3 ]]</f>
        <v>#ERROR!</v>
      </c>
      <c r="AS100" s="217" t="str">
        <f t="shared" si="8"/>
        <v>#ERROR!</v>
      </c>
      <c r="AT100" s="218" t="str">
        <f t="shared" si="9"/>
        <v>#ERROR!</v>
      </c>
      <c r="BI100" s="4">
        <v>20402.0</v>
      </c>
    </row>
    <row r="101" ht="12.75" hidden="1" customHeight="1">
      <c r="A101" s="5">
        <f>companies!A101</f>
        <v>100</v>
      </c>
      <c r="B101" s="199" t="s">
        <v>1254</v>
      </c>
      <c r="C101" s="199">
        <v>91993.0</v>
      </c>
      <c r="D101" s="199">
        <v>771327.0</v>
      </c>
      <c r="E101" s="199">
        <v>4988.0</v>
      </c>
      <c r="F101" s="199">
        <v>2304829.0</v>
      </c>
      <c r="G101" s="199">
        <v>455599.0</v>
      </c>
      <c r="H101" s="199">
        <v>148420.0</v>
      </c>
      <c r="I101" s="199" t="s">
        <v>683</v>
      </c>
      <c r="J101" s="199">
        <v>9921.0</v>
      </c>
      <c r="K101" s="199">
        <v>78277.0</v>
      </c>
      <c r="L101" s="199">
        <v>613405.0</v>
      </c>
      <c r="M101" s="212" t="s">
        <v>683</v>
      </c>
      <c r="N101" s="212" t="s">
        <v>683</v>
      </c>
      <c r="O101" s="212" t="s">
        <v>683</v>
      </c>
      <c r="P101" s="212" t="s">
        <v>683</v>
      </c>
      <c r="Q101" s="212" t="s">
        <v>683</v>
      </c>
      <c r="R101" s="199" t="s">
        <v>683</v>
      </c>
      <c r="S101" s="212" t="s">
        <v>683</v>
      </c>
      <c r="T101" s="212" t="s">
        <v>683</v>
      </c>
      <c r="U101" s="212" t="s">
        <v>683</v>
      </c>
      <c r="V101" s="212" t="s">
        <v>683</v>
      </c>
      <c r="W101" s="212">
        <f t="shared" si="10"/>
        <v>3610451</v>
      </c>
      <c r="X101" s="199">
        <v>4988.0</v>
      </c>
      <c r="Y101" s="199">
        <v>3707432.0</v>
      </c>
      <c r="Z101" s="199"/>
      <c r="AA101" s="199"/>
      <c r="AB101" s="199"/>
      <c r="AC101" s="199"/>
      <c r="AD101" s="212" t="s">
        <v>683</v>
      </c>
      <c r="AE101" s="212" t="s">
        <v>683</v>
      </c>
      <c r="AF101" s="213" t="str">
        <f>Table1[[#This Row],[2019 Scope 1 (MeT Co2)]]</f>
        <v>#ERROR!</v>
      </c>
      <c r="AG101" s="214" t="str">
        <f t="shared" si="2"/>
        <v>#ERROR!</v>
      </c>
      <c r="AH101" s="215" t="str">
        <f t="shared" si="3"/>
        <v>#ERROR!</v>
      </c>
      <c r="AI101" s="209"/>
      <c r="AJ101" s="209"/>
      <c r="AK101" s="212" t="s">
        <v>683</v>
      </c>
      <c r="AL101" s="212" t="s">
        <v>683</v>
      </c>
      <c r="AM101" s="213" t="str">
        <f>Table1[[#This Row],[2019 Scope 2 ]]</f>
        <v>#ERROR!</v>
      </c>
      <c r="AN101" s="214" t="str">
        <f t="shared" si="4"/>
        <v>#ERROR!</v>
      </c>
      <c r="AO101" s="215" t="str">
        <f t="shared" si="5"/>
        <v>#ERROR!</v>
      </c>
      <c r="AP101" s="214" t="str">
        <f t="shared" si="6"/>
        <v>#ERROR!</v>
      </c>
      <c r="AQ101" s="215" t="str">
        <f t="shared" si="7"/>
        <v>#ERROR!</v>
      </c>
      <c r="AR101" s="216" t="str">
        <f>Table1[[#This Row],[2019 Scope 3 ]]</f>
        <v>#ERROR!</v>
      </c>
      <c r="AS101" s="217" t="str">
        <f t="shared" si="8"/>
        <v>#ERROR!</v>
      </c>
      <c r="AT101" s="218" t="str">
        <f t="shared" si="9"/>
        <v>#ERROR!</v>
      </c>
      <c r="BI101" s="4">
        <v>20575.0</v>
      </c>
    </row>
    <row r="102" ht="12.75" customHeight="1">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20"/>
      <c r="AB102" s="209"/>
      <c r="AC102" s="209"/>
      <c r="AI102" s="209"/>
      <c r="AJ102" s="209"/>
    </row>
    <row r="103" ht="12.75" customHeight="1">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I103" s="209"/>
      <c r="AJ103" s="209"/>
    </row>
    <row r="104" ht="12.75" customHeight="1">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I104" s="209"/>
      <c r="AJ104" s="209"/>
    </row>
    <row r="105" ht="12.75" customHeight="1">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I105" s="209"/>
      <c r="AJ105" s="209"/>
    </row>
    <row r="106" ht="12.75" customHeight="1">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I106" s="209"/>
      <c r="AJ106" s="209"/>
    </row>
    <row r="107" ht="12.75" customHeight="1">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I107" s="209"/>
      <c r="AJ107" s="209"/>
    </row>
    <row r="108" ht="12.75" customHeight="1">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I108" s="209"/>
      <c r="AJ108" s="209"/>
    </row>
    <row r="109" ht="12.75" customHeight="1">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I109" s="209"/>
      <c r="AJ109" s="209"/>
    </row>
    <row r="110" ht="12.75" customHeight="1">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I110" s="209"/>
      <c r="AJ110" s="209"/>
    </row>
    <row r="111" ht="12.75" customHeight="1">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I111" s="209"/>
      <c r="AJ111" s="209"/>
    </row>
    <row r="112" ht="12.75" customHeight="1">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I112" s="209"/>
      <c r="AJ112" s="209"/>
    </row>
    <row r="113" ht="12.75" customHeight="1">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I113" s="209"/>
      <c r="AJ113" s="209"/>
    </row>
    <row r="114" ht="12.75" customHeight="1">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I114" s="209"/>
      <c r="AJ114" s="209"/>
    </row>
    <row r="115" ht="12.75" customHeight="1">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I115" s="209"/>
      <c r="AJ115" s="209"/>
    </row>
    <row r="116" ht="12.75" customHeight="1">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I116" s="209"/>
      <c r="AJ116" s="209"/>
    </row>
    <row r="117" ht="12.75" customHeight="1">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I117" s="209"/>
      <c r="AJ117" s="209"/>
    </row>
    <row r="118" ht="12.75" customHeight="1">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I118" s="209"/>
      <c r="AJ118" s="209"/>
    </row>
    <row r="119" ht="12.75" customHeight="1">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I119" s="209"/>
      <c r="AJ119" s="209"/>
    </row>
    <row r="120" ht="12.75" customHeight="1">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I120" s="209"/>
      <c r="AJ120" s="209"/>
    </row>
    <row r="121" ht="12.75" customHeight="1">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I121" s="209"/>
      <c r="AJ121" s="209"/>
    </row>
    <row r="122" ht="12.75" customHeight="1">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I122" s="209"/>
      <c r="AJ122" s="209"/>
    </row>
    <row r="123" ht="12.75" customHeight="1">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I123" s="209"/>
      <c r="AJ123" s="209"/>
    </row>
    <row r="124" ht="12.75" customHeight="1">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I124" s="209"/>
      <c r="AJ124" s="209"/>
    </row>
    <row r="125" ht="12.75" customHeight="1">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I125" s="209"/>
      <c r="AJ125" s="209"/>
    </row>
    <row r="126" ht="12.75" customHeight="1">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I126" s="209"/>
      <c r="AJ126" s="209"/>
    </row>
    <row r="127" ht="12.75" customHeight="1">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I127" s="209"/>
      <c r="AJ127" s="209"/>
    </row>
    <row r="128" ht="12.75" customHeight="1">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I128" s="209"/>
      <c r="AJ128" s="209"/>
    </row>
    <row r="129" ht="12.75" customHeight="1">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I129" s="209"/>
      <c r="AJ129" s="209"/>
    </row>
    <row r="130" ht="12.75" customHeight="1">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I130" s="209"/>
      <c r="AJ130" s="209"/>
    </row>
    <row r="131" ht="12.75" customHeight="1">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I131" s="209"/>
      <c r="AJ131" s="209"/>
    </row>
    <row r="132" ht="12.75" customHeight="1">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I132" s="209"/>
      <c r="AJ132" s="209"/>
    </row>
    <row r="133" ht="12.75" customHeight="1">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I133" s="209"/>
      <c r="AJ133" s="209"/>
    </row>
    <row r="134" ht="12.75" customHeight="1">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I134" s="209"/>
      <c r="AJ134" s="209"/>
    </row>
    <row r="135" ht="12.75" customHeight="1">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I135" s="209"/>
      <c r="AJ135" s="209"/>
    </row>
    <row r="136" ht="12.75" customHeight="1">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I136" s="209"/>
      <c r="AJ136" s="209"/>
    </row>
    <row r="137" ht="12.75" customHeight="1">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I137" s="209"/>
      <c r="AJ137" s="209"/>
    </row>
    <row r="138" ht="12.75" customHeight="1">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I138" s="209"/>
      <c r="AJ138" s="209"/>
    </row>
    <row r="139" ht="12.75" customHeight="1">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I139" s="209"/>
      <c r="AJ139" s="209"/>
    </row>
    <row r="140" ht="12.75" customHeight="1">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I140" s="209"/>
      <c r="AJ140" s="209"/>
    </row>
    <row r="141" ht="12.75" customHeight="1">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I141" s="209"/>
      <c r="AJ141" s="209"/>
    </row>
    <row r="142" ht="12.75" customHeight="1">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I142" s="209"/>
      <c r="AJ142" s="209"/>
    </row>
    <row r="143" ht="12.75" customHeight="1">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I143" s="209"/>
      <c r="AJ143" s="209"/>
    </row>
    <row r="144" ht="12.75" customHeight="1">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I144" s="209"/>
      <c r="AJ144" s="209"/>
    </row>
    <row r="145" ht="12.75" customHeight="1">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I145" s="209"/>
      <c r="AJ145" s="209"/>
    </row>
    <row r="146" ht="12.75" customHeight="1">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I146" s="209"/>
      <c r="AJ146" s="209"/>
    </row>
    <row r="147" ht="12.75" customHeight="1">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I147" s="209"/>
      <c r="AJ147" s="209"/>
    </row>
    <row r="148" ht="12.75" customHeight="1">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I148" s="209"/>
      <c r="AJ148" s="209"/>
    </row>
    <row r="149" ht="12.75" customHeight="1">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I149" s="209"/>
      <c r="AJ149" s="209"/>
    </row>
    <row r="150" ht="12.75" customHeight="1">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I150" s="209"/>
      <c r="AJ150" s="209"/>
    </row>
    <row r="151" ht="12.75" customHeight="1">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I151" s="209"/>
      <c r="AJ151" s="209"/>
    </row>
    <row r="152" ht="12.75" customHeight="1">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I152" s="209"/>
      <c r="AJ152" s="209"/>
    </row>
    <row r="153" ht="12.75" customHeight="1">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I153" s="209"/>
      <c r="AJ153" s="209"/>
    </row>
    <row r="154" ht="12.75" customHeight="1">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I154" s="209"/>
      <c r="AJ154" s="209"/>
    </row>
    <row r="155" ht="12.75" customHeight="1">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I155" s="209"/>
      <c r="AJ155" s="209"/>
    </row>
    <row r="156" ht="12.75" customHeight="1">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I156" s="209"/>
      <c r="AJ156" s="209"/>
    </row>
    <row r="157" ht="12.75" customHeight="1">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I157" s="209"/>
      <c r="AJ157" s="209"/>
    </row>
    <row r="158" ht="12.75" customHeight="1">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I158" s="209"/>
      <c r="AJ158" s="209"/>
    </row>
    <row r="159" ht="12.75" customHeight="1">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I159" s="209"/>
      <c r="AJ159" s="209"/>
    </row>
    <row r="160" ht="12.75" customHeight="1">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I160" s="209"/>
      <c r="AJ160" s="209"/>
    </row>
    <row r="161" ht="12.75" customHeight="1">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I161" s="209"/>
      <c r="AJ161" s="209"/>
    </row>
    <row r="162" ht="12.75" customHeight="1">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I162" s="209"/>
      <c r="AJ162" s="209"/>
    </row>
    <row r="163" ht="12.75" customHeight="1">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I163" s="209"/>
      <c r="AJ163" s="209"/>
    </row>
    <row r="164" ht="12.75" customHeight="1">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I164" s="209"/>
      <c r="AJ164" s="209"/>
    </row>
    <row r="165" ht="12.75" customHeight="1">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I165" s="209"/>
      <c r="AJ165" s="209"/>
    </row>
    <row r="166" ht="12.75" customHeight="1">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I166" s="209"/>
      <c r="AJ166" s="209"/>
    </row>
    <row r="167" ht="12.75" customHeight="1">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I167" s="209"/>
      <c r="AJ167" s="209"/>
    </row>
    <row r="168" ht="12.75" customHeight="1">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I168" s="209"/>
      <c r="AJ168" s="209"/>
    </row>
    <row r="169" ht="12.75" customHeight="1">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I169" s="209"/>
      <c r="AJ169" s="209"/>
    </row>
    <row r="170" ht="12.75" customHeight="1">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I170" s="209"/>
      <c r="AJ170" s="209"/>
    </row>
    <row r="171" ht="12.75" customHeight="1">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I171" s="209"/>
      <c r="AJ171" s="209"/>
    </row>
    <row r="172" ht="12.75" customHeight="1">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I172" s="209"/>
      <c r="AJ172" s="209"/>
    </row>
    <row r="173" ht="12.75" customHeight="1">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I173" s="209"/>
      <c r="AJ173" s="209"/>
    </row>
    <row r="174" ht="12.75" customHeight="1">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I174" s="209"/>
      <c r="AJ174" s="209"/>
    </row>
    <row r="175" ht="12.75" customHeight="1">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I175" s="209"/>
      <c r="AJ175" s="209"/>
    </row>
    <row r="176" ht="12.75" customHeight="1">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I176" s="209"/>
      <c r="AJ176" s="209"/>
    </row>
    <row r="177" ht="12.75" customHeight="1">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I177" s="209"/>
      <c r="AJ177" s="209"/>
    </row>
    <row r="178" ht="12.75" customHeight="1">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I178" s="209"/>
      <c r="AJ178" s="209"/>
    </row>
    <row r="179" ht="12.75" customHeight="1">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I179" s="209"/>
      <c r="AJ179" s="209"/>
    </row>
    <row r="180" ht="12.75" customHeight="1">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I180" s="209"/>
      <c r="AJ180" s="209"/>
    </row>
    <row r="181" ht="12.75" customHeight="1">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I181" s="209"/>
      <c r="AJ181" s="209"/>
    </row>
    <row r="182" ht="12.75" customHeight="1">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I182" s="209"/>
      <c r="AJ182" s="209"/>
    </row>
    <row r="183" ht="12.75" customHeight="1">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I183" s="209"/>
      <c r="AJ183" s="209"/>
    </row>
    <row r="184" ht="12.75" customHeight="1">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I184" s="209"/>
      <c r="AJ184" s="209"/>
    </row>
    <row r="185" ht="12.75" customHeight="1">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I185" s="209"/>
      <c r="AJ185" s="209"/>
    </row>
    <row r="186" ht="12.75" customHeight="1">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I186" s="209"/>
      <c r="AJ186" s="209"/>
    </row>
    <row r="187" ht="12.75" customHeight="1">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I187" s="209"/>
      <c r="AJ187" s="209"/>
    </row>
    <row r="188" ht="12.75" customHeight="1">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I188" s="209"/>
      <c r="AJ188" s="209"/>
    </row>
    <row r="189" ht="12.75" customHeight="1">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I189" s="209"/>
      <c r="AJ189" s="209"/>
    </row>
    <row r="190" ht="12.75" customHeight="1">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I190" s="209"/>
      <c r="AJ190" s="209"/>
    </row>
    <row r="191" ht="12.75" customHeight="1">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I191" s="209"/>
      <c r="AJ191" s="209"/>
    </row>
    <row r="192" ht="12.75" customHeight="1">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I192" s="209"/>
      <c r="AJ192" s="209"/>
    </row>
    <row r="193" ht="12.75" customHeight="1">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I193" s="209"/>
      <c r="AJ193" s="209"/>
    </row>
    <row r="194" ht="12.75" customHeight="1">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I194" s="209"/>
      <c r="AJ194" s="209"/>
    </row>
    <row r="195" ht="12.75" customHeight="1">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I195" s="209"/>
      <c r="AJ195" s="209"/>
    </row>
    <row r="196" ht="12.75" customHeight="1">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I196" s="209"/>
      <c r="AJ196" s="209"/>
    </row>
    <row r="197" ht="12.75" customHeight="1">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I197" s="209"/>
      <c r="AJ197" s="209"/>
    </row>
    <row r="198" ht="12.75" customHeight="1">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I198" s="209"/>
      <c r="AJ198" s="209"/>
    </row>
    <row r="199" ht="12.75" customHeight="1">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I199" s="209"/>
      <c r="AJ199" s="209"/>
    </row>
    <row r="200" ht="12.75" customHeight="1">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I200" s="209"/>
      <c r="AJ200" s="209"/>
    </row>
    <row r="201" ht="12.75" customHeight="1">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I201" s="209"/>
      <c r="AJ201" s="209"/>
    </row>
    <row r="202" ht="12.75" customHeight="1">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I202" s="209"/>
      <c r="AJ202" s="209"/>
    </row>
    <row r="203" ht="12.75" customHeight="1">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I203" s="209"/>
      <c r="AJ203" s="209"/>
    </row>
    <row r="204" ht="12.75" customHeight="1">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I204" s="209"/>
      <c r="AJ204" s="209"/>
    </row>
    <row r="205" ht="12.75" customHeight="1">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I205" s="209"/>
      <c r="AJ205" s="209"/>
    </row>
    <row r="206" ht="12.75" customHeight="1">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I206" s="209"/>
      <c r="AJ206" s="209"/>
    </row>
    <row r="207" ht="12.75" customHeight="1">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I207" s="209"/>
      <c r="AJ207" s="209"/>
    </row>
    <row r="208" ht="12.75" customHeight="1">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I208" s="209"/>
      <c r="AJ208" s="209"/>
    </row>
    <row r="209" ht="12.75" customHeight="1">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I209" s="209"/>
      <c r="AJ209" s="209"/>
    </row>
    <row r="210" ht="12.75" customHeight="1">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I210" s="209"/>
      <c r="AJ210" s="209"/>
    </row>
    <row r="211" ht="12.75" customHeight="1">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I211" s="209"/>
      <c r="AJ211" s="209"/>
    </row>
    <row r="212" ht="12.75" customHeight="1">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I212" s="209"/>
      <c r="AJ212" s="209"/>
    </row>
    <row r="213" ht="12.75" customHeight="1">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I213" s="209"/>
      <c r="AJ213" s="209"/>
    </row>
    <row r="214" ht="12.75" customHeight="1">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I214" s="209"/>
      <c r="AJ214" s="209"/>
    </row>
    <row r="215" ht="12.75" customHeight="1">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I215" s="209"/>
      <c r="AJ215" s="209"/>
    </row>
    <row r="216" ht="12.75" customHeight="1">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I216" s="209"/>
      <c r="AJ216" s="209"/>
    </row>
    <row r="217" ht="12.75" customHeight="1">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I217" s="209"/>
      <c r="AJ217" s="209"/>
    </row>
    <row r="218" ht="12.75" customHeight="1">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I218" s="209"/>
      <c r="AJ218" s="209"/>
    </row>
    <row r="219" ht="12.75" customHeight="1">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I219" s="209"/>
      <c r="AJ219" s="209"/>
    </row>
    <row r="220" ht="12.75" customHeight="1">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I220" s="209"/>
      <c r="AJ220" s="209"/>
    </row>
    <row r="221" ht="12.75" customHeight="1">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I221" s="209"/>
      <c r="AJ221" s="209"/>
    </row>
    <row r="222" ht="12.75" customHeight="1">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I222" s="209"/>
      <c r="AJ222" s="209"/>
    </row>
    <row r="223" ht="12.75" customHeight="1">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I223" s="209"/>
      <c r="AJ223" s="209"/>
    </row>
    <row r="224" ht="12.75" customHeight="1">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I224" s="209"/>
      <c r="AJ224" s="209"/>
    </row>
    <row r="225" ht="12.75" customHeight="1">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I225" s="209"/>
      <c r="AJ225" s="209"/>
    </row>
    <row r="226" ht="12.75" customHeight="1">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I226" s="209"/>
      <c r="AJ226" s="209"/>
    </row>
    <row r="227" ht="12.75" customHeight="1">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I227" s="209"/>
      <c r="AJ227" s="209"/>
    </row>
    <row r="228" ht="12.75" customHeight="1">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I228" s="209"/>
      <c r="AJ228" s="209"/>
    </row>
    <row r="229" ht="12.75" customHeight="1">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I229" s="209"/>
      <c r="AJ229" s="209"/>
    </row>
    <row r="230" ht="12.75" customHeight="1">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I230" s="209"/>
      <c r="AJ230" s="209"/>
    </row>
    <row r="231" ht="12.75" customHeight="1">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I231" s="209"/>
      <c r="AJ231" s="209"/>
    </row>
    <row r="232" ht="12.75" customHeight="1">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I232" s="209"/>
      <c r="AJ232" s="209"/>
    </row>
    <row r="233" ht="12.75" customHeight="1">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I233" s="209"/>
      <c r="AJ233" s="209"/>
    </row>
    <row r="234" ht="12.75" customHeight="1">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I234" s="209"/>
      <c r="AJ234" s="209"/>
    </row>
    <row r="235" ht="12.75" customHeight="1">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I235" s="209"/>
      <c r="AJ235" s="209"/>
    </row>
    <row r="236" ht="12.75" customHeight="1">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I236" s="209"/>
      <c r="AJ236" s="209"/>
    </row>
    <row r="237" ht="12.75" customHeight="1">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I237" s="209"/>
      <c r="AJ237" s="209"/>
    </row>
    <row r="238" ht="12.75" customHeight="1">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I238" s="209"/>
      <c r="AJ238" s="209"/>
    </row>
    <row r="239" ht="12.75" customHeight="1">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I239" s="209"/>
      <c r="AJ239" s="209"/>
    </row>
    <row r="240" ht="12.75" customHeight="1">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I240" s="209"/>
      <c r="AJ240" s="209"/>
    </row>
    <row r="241" ht="12.75" customHeight="1">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I241" s="209"/>
      <c r="AJ241" s="209"/>
    </row>
    <row r="242" ht="12.75" customHeight="1">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I242" s="209"/>
      <c r="AJ242" s="209"/>
    </row>
    <row r="243" ht="12.75" customHeight="1">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I243" s="209"/>
      <c r="AJ243" s="209"/>
    </row>
    <row r="244" ht="12.75" customHeight="1">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I244" s="209"/>
      <c r="AJ244" s="209"/>
    </row>
    <row r="245" ht="12.75" customHeight="1">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I245" s="209"/>
      <c r="AJ245" s="209"/>
    </row>
    <row r="246" ht="12.75" customHeight="1">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I246" s="209"/>
      <c r="AJ246" s="209"/>
    </row>
    <row r="247" ht="12.75" customHeight="1">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I247" s="209"/>
      <c r="AJ247" s="209"/>
    </row>
    <row r="248" ht="12.75" customHeight="1">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I248" s="209"/>
      <c r="AJ248" s="209"/>
    </row>
    <row r="249" ht="12.75" customHeight="1">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I249" s="209"/>
      <c r="AJ249" s="209"/>
    </row>
    <row r="250" ht="12.75" customHeight="1">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I250" s="209"/>
      <c r="AJ250" s="209"/>
    </row>
    <row r="251" ht="12.75" customHeight="1">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I251" s="209"/>
      <c r="AJ251" s="209"/>
    </row>
    <row r="252" ht="12.75" customHeight="1">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I252" s="209"/>
      <c r="AJ252" s="209"/>
    </row>
    <row r="253" ht="12.75" customHeight="1">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I253" s="209"/>
      <c r="AJ253" s="209"/>
    </row>
    <row r="254" ht="12.75" customHeight="1">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I254" s="209"/>
      <c r="AJ254" s="209"/>
    </row>
    <row r="255" ht="12.75" customHeight="1">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I255" s="209"/>
      <c r="AJ255" s="209"/>
    </row>
    <row r="256" ht="12.75" customHeight="1">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I256" s="209"/>
      <c r="AJ256" s="209"/>
    </row>
    <row r="257" ht="12.75" customHeight="1">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I257" s="209"/>
      <c r="AJ257" s="209"/>
    </row>
    <row r="258" ht="12.75" customHeight="1">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I258" s="209"/>
      <c r="AJ258" s="209"/>
    </row>
    <row r="259" ht="12.75" customHeight="1">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I259" s="209"/>
      <c r="AJ259" s="209"/>
    </row>
    <row r="260" ht="12.75" customHeight="1">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I260" s="209"/>
      <c r="AJ260" s="209"/>
    </row>
    <row r="261" ht="12.75" customHeight="1">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I261" s="209"/>
      <c r="AJ261" s="209"/>
    </row>
    <row r="262" ht="12.75" customHeight="1">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I262" s="209"/>
      <c r="AJ262" s="209"/>
    </row>
    <row r="263" ht="12.75" customHeight="1">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I263" s="209"/>
      <c r="AJ263" s="209"/>
    </row>
    <row r="264" ht="12.75" customHeight="1">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I264" s="209"/>
      <c r="AJ264" s="209"/>
    </row>
    <row r="265" ht="12.75" customHeight="1">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I265" s="209"/>
      <c r="AJ265" s="209"/>
    </row>
    <row r="266" ht="12.75" customHeight="1">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I266" s="209"/>
      <c r="AJ266" s="209"/>
    </row>
    <row r="267" ht="12.75" customHeight="1">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I267" s="209"/>
      <c r="AJ267" s="209"/>
    </row>
    <row r="268" ht="12.75" customHeight="1">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I268" s="209"/>
      <c r="AJ268" s="209"/>
    </row>
    <row r="269" ht="12.75" customHeight="1">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I269" s="209"/>
      <c r="AJ269" s="209"/>
    </row>
    <row r="270" ht="12.75" customHeight="1">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I270" s="209"/>
      <c r="AJ270" s="209"/>
    </row>
    <row r="271" ht="12.75" customHeight="1">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I271" s="209"/>
      <c r="AJ271" s="209"/>
    </row>
    <row r="272" ht="12.75" customHeight="1">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I272" s="209"/>
      <c r="AJ272" s="209"/>
    </row>
    <row r="273" ht="12.75" customHeight="1">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I273" s="209"/>
      <c r="AJ273" s="209"/>
    </row>
    <row r="274" ht="12.75" customHeight="1">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I274" s="209"/>
      <c r="AJ274" s="209"/>
    </row>
    <row r="275" ht="12.75" customHeight="1">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I275" s="209"/>
      <c r="AJ275" s="209"/>
    </row>
    <row r="276" ht="12.75" customHeight="1">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I276" s="209"/>
      <c r="AJ276" s="209"/>
    </row>
    <row r="277" ht="12.75" customHeight="1">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I277" s="209"/>
      <c r="AJ277" s="209"/>
    </row>
    <row r="278" ht="12.75" customHeight="1">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I278" s="209"/>
      <c r="AJ278" s="209"/>
    </row>
    <row r="279" ht="12.75" customHeight="1">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I279" s="209"/>
      <c r="AJ279" s="209"/>
    </row>
    <row r="280" ht="12.75" customHeight="1">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I280" s="209"/>
      <c r="AJ280" s="209"/>
    </row>
    <row r="281" ht="12.75" customHeight="1">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I281" s="209"/>
      <c r="AJ281" s="209"/>
    </row>
    <row r="282" ht="12.75" customHeight="1">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I282" s="209"/>
      <c r="AJ282" s="209"/>
    </row>
    <row r="283" ht="12.75" customHeight="1">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I283" s="209"/>
      <c r="AJ283" s="209"/>
    </row>
    <row r="284" ht="12.75" customHeight="1">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I284" s="209"/>
      <c r="AJ284" s="209"/>
    </row>
    <row r="285" ht="12.75" customHeight="1">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I285" s="209"/>
      <c r="AJ285" s="209"/>
    </row>
    <row r="286" ht="12.75" customHeight="1">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I286" s="209"/>
      <c r="AJ286" s="209"/>
    </row>
    <row r="287" ht="12.75" customHeight="1">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I287" s="209"/>
      <c r="AJ287" s="209"/>
    </row>
    <row r="288" ht="12.75" customHeight="1">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I288" s="209"/>
      <c r="AJ288" s="209"/>
    </row>
    <row r="289" ht="12.75" customHeight="1">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I289" s="209"/>
      <c r="AJ289" s="209"/>
    </row>
    <row r="290" ht="12.75" customHeight="1">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I290" s="209"/>
      <c r="AJ290" s="209"/>
    </row>
    <row r="291" ht="12.75" customHeight="1">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I291" s="209"/>
      <c r="AJ291" s="209"/>
    </row>
    <row r="292" ht="12.75" customHeight="1">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I292" s="209"/>
      <c r="AJ292" s="209"/>
    </row>
    <row r="293" ht="12.75" customHeight="1">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I293" s="209"/>
      <c r="AJ293" s="209"/>
    </row>
    <row r="294" ht="12.75" customHeight="1">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I294" s="209"/>
      <c r="AJ294" s="209"/>
    </row>
    <row r="295" ht="12.75" customHeight="1">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I295" s="209"/>
      <c r="AJ295" s="209"/>
    </row>
    <row r="296" ht="12.75" customHeight="1">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I296" s="209"/>
      <c r="AJ296" s="209"/>
    </row>
    <row r="297" ht="12.75" customHeight="1">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I297" s="209"/>
      <c r="AJ297" s="209"/>
    </row>
    <row r="298" ht="12.75" customHeight="1">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I298" s="209"/>
      <c r="AJ298" s="209"/>
    </row>
    <row r="299" ht="12.75" customHeight="1">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I299" s="209"/>
      <c r="AJ299" s="209"/>
    </row>
    <row r="300" ht="12.75" customHeight="1">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I300" s="209"/>
      <c r="AJ300" s="209"/>
    </row>
    <row r="301" ht="12.75" customHeight="1">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I301" s="209"/>
      <c r="AJ301" s="209"/>
    </row>
    <row r="302" ht="12.75" customHeight="1">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I302" s="209"/>
      <c r="AJ302" s="209"/>
    </row>
    <row r="303" ht="12.75" customHeight="1">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I303" s="209"/>
      <c r="AJ303" s="209"/>
    </row>
    <row r="304" ht="12.75" customHeight="1">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I304" s="209"/>
      <c r="AJ304" s="209"/>
    </row>
    <row r="305" ht="12.75" customHeight="1">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I305" s="209"/>
      <c r="AJ305" s="209"/>
    </row>
    <row r="306" ht="12.75" customHeight="1">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I306" s="209"/>
      <c r="AJ306" s="209"/>
    </row>
    <row r="307" ht="12.75" customHeight="1">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I307" s="209"/>
      <c r="AJ307" s="209"/>
    </row>
    <row r="308" ht="12.75" customHeight="1">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I308" s="209"/>
      <c r="AJ308" s="209"/>
    </row>
    <row r="309" ht="12.75" customHeight="1">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I309" s="209"/>
      <c r="AJ309" s="209"/>
    </row>
    <row r="310" ht="12.75" customHeight="1">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I310" s="209"/>
      <c r="AJ310" s="209"/>
    </row>
    <row r="311" ht="12.75" customHeight="1">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I311" s="209"/>
      <c r="AJ311" s="209"/>
    </row>
    <row r="312" ht="12.75" customHeight="1">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I312" s="209"/>
      <c r="AJ312" s="209"/>
    </row>
    <row r="313" ht="12.75" customHeight="1">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I313" s="209"/>
      <c r="AJ313" s="209"/>
    </row>
    <row r="314" ht="12.75" customHeight="1">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I314" s="209"/>
      <c r="AJ314" s="209"/>
    </row>
    <row r="315" ht="12.75" customHeight="1">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I315" s="209"/>
      <c r="AJ315" s="209"/>
    </row>
    <row r="316" ht="12.75" customHeight="1">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I316" s="209"/>
      <c r="AJ316" s="209"/>
    </row>
    <row r="317" ht="12.75" customHeight="1">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I317" s="209"/>
      <c r="AJ317" s="209"/>
    </row>
    <row r="318" ht="12.75" customHeight="1">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I318" s="209"/>
      <c r="AJ318" s="209"/>
    </row>
    <row r="319" ht="12.75" customHeight="1">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I319" s="209"/>
      <c r="AJ319" s="209"/>
    </row>
    <row r="320" ht="12.75" customHeight="1">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I320" s="209"/>
      <c r="AJ320" s="209"/>
    </row>
    <row r="321" ht="12.75" customHeight="1">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I321" s="209"/>
      <c r="AJ321" s="209"/>
    </row>
    <row r="322" ht="12.75" customHeight="1">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I322" s="209"/>
      <c r="AJ322" s="209"/>
    </row>
    <row r="323" ht="12.75" customHeight="1">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I323" s="209"/>
      <c r="AJ323" s="209"/>
    </row>
    <row r="324" ht="12.75" customHeight="1">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I324" s="209"/>
      <c r="AJ324" s="209"/>
    </row>
    <row r="325" ht="12.75" customHeight="1">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I325" s="209"/>
      <c r="AJ325" s="209"/>
    </row>
    <row r="326" ht="12.75" customHeight="1">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I326" s="209"/>
      <c r="AJ326" s="209"/>
    </row>
    <row r="327" ht="12.75" customHeight="1">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I327" s="209"/>
      <c r="AJ327" s="209"/>
    </row>
    <row r="328" ht="12.75" customHeight="1">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I328" s="209"/>
      <c r="AJ328" s="209"/>
    </row>
    <row r="329" ht="12.75" customHeight="1">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I329" s="209"/>
      <c r="AJ329" s="209"/>
    </row>
    <row r="330" ht="12.75" customHeight="1">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I330" s="209"/>
      <c r="AJ330" s="209"/>
    </row>
    <row r="331" ht="12.75" customHeight="1">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I331" s="209"/>
      <c r="AJ331" s="209"/>
    </row>
    <row r="332" ht="12.75" customHeight="1">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I332" s="209"/>
      <c r="AJ332" s="209"/>
    </row>
    <row r="333" ht="12.75" customHeight="1">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I333" s="209"/>
      <c r="AJ333" s="209"/>
    </row>
    <row r="334" ht="12.75" customHeight="1">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I334" s="209"/>
      <c r="AJ334" s="209"/>
    </row>
    <row r="335" ht="12.75" customHeight="1">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I335" s="209"/>
      <c r="AJ335" s="209"/>
    </row>
    <row r="336" ht="12.75" customHeight="1">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I336" s="209"/>
      <c r="AJ336" s="209"/>
    </row>
    <row r="337" ht="12.75" customHeight="1">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I337" s="209"/>
      <c r="AJ337" s="209"/>
    </row>
    <row r="338" ht="12.75" customHeight="1">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I338" s="209"/>
      <c r="AJ338" s="209"/>
    </row>
    <row r="339" ht="12.75" customHeight="1">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I339" s="209"/>
      <c r="AJ339" s="209"/>
    </row>
    <row r="340" ht="12.75" customHeight="1">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I340" s="209"/>
      <c r="AJ340" s="209"/>
    </row>
    <row r="341" ht="12.75" customHeight="1">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I341" s="209"/>
      <c r="AJ341" s="209"/>
    </row>
    <row r="342" ht="12.75" customHeight="1">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I342" s="209"/>
      <c r="AJ342" s="209"/>
    </row>
    <row r="343" ht="12.75" customHeight="1">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I343" s="209"/>
      <c r="AJ343" s="209"/>
    </row>
    <row r="344" ht="12.75" customHeight="1">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I344" s="209"/>
      <c r="AJ344" s="209"/>
    </row>
    <row r="345" ht="12.75" customHeight="1">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I345" s="209"/>
      <c r="AJ345" s="209"/>
    </row>
    <row r="346" ht="12.75" customHeight="1">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I346" s="209"/>
      <c r="AJ346" s="209"/>
    </row>
    <row r="347" ht="12.75" customHeight="1">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I347" s="209"/>
      <c r="AJ347" s="209"/>
    </row>
    <row r="348" ht="12.75" customHeight="1">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I348" s="209"/>
      <c r="AJ348" s="209"/>
    </row>
    <row r="349" ht="12.75" customHeight="1">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I349" s="209"/>
      <c r="AJ349" s="209"/>
    </row>
    <row r="350" ht="12.75" customHeight="1">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I350" s="209"/>
      <c r="AJ350" s="209"/>
    </row>
    <row r="351" ht="12.75" customHeight="1">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I351" s="209"/>
      <c r="AJ351" s="209"/>
    </row>
    <row r="352" ht="12.75" customHeight="1">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I352" s="209"/>
      <c r="AJ352" s="209"/>
    </row>
    <row r="353" ht="12.75" customHeight="1">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I353" s="209"/>
      <c r="AJ353" s="209"/>
    </row>
    <row r="354" ht="12.75" customHeight="1">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I354" s="209"/>
      <c r="AJ354" s="209"/>
    </row>
    <row r="355" ht="12.75" customHeight="1">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I355" s="209"/>
      <c r="AJ355" s="209"/>
    </row>
    <row r="356" ht="12.75" customHeight="1">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I356" s="209"/>
      <c r="AJ356" s="209"/>
    </row>
    <row r="357" ht="12.75" customHeight="1">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I357" s="209"/>
      <c r="AJ357" s="209"/>
    </row>
    <row r="358" ht="12.75" customHeight="1">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I358" s="209"/>
      <c r="AJ358" s="209"/>
    </row>
    <row r="359" ht="12.75" customHeight="1">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I359" s="209"/>
      <c r="AJ359" s="209"/>
    </row>
    <row r="360" ht="12.75" customHeight="1">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I360" s="209"/>
      <c r="AJ360" s="209"/>
    </row>
    <row r="361" ht="12.75" customHeight="1">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I361" s="209"/>
      <c r="AJ361" s="209"/>
    </row>
    <row r="362" ht="12.75" customHeight="1">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I362" s="209"/>
      <c r="AJ362" s="209"/>
    </row>
    <row r="363" ht="12.75" customHeight="1">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I363" s="209"/>
      <c r="AJ363" s="209"/>
    </row>
    <row r="364" ht="12.75" customHeight="1">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I364" s="209"/>
      <c r="AJ364" s="209"/>
    </row>
    <row r="365" ht="12.75" customHeight="1">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I365" s="209"/>
      <c r="AJ365" s="209"/>
    </row>
    <row r="366" ht="12.75" customHeight="1">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I366" s="209"/>
      <c r="AJ366" s="209"/>
    </row>
    <row r="367" ht="12.75" customHeight="1">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I367" s="209"/>
      <c r="AJ367" s="209"/>
    </row>
    <row r="368" ht="12.75" customHeight="1">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I368" s="209"/>
      <c r="AJ368" s="209"/>
    </row>
    <row r="369" ht="12.75" customHeight="1">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I369" s="209"/>
      <c r="AJ369" s="209"/>
    </row>
    <row r="370" ht="12.75" customHeight="1">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I370" s="209"/>
      <c r="AJ370" s="209"/>
    </row>
    <row r="371" ht="12.75" customHeight="1">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I371" s="209"/>
      <c r="AJ371" s="209"/>
    </row>
    <row r="372" ht="12.75" customHeight="1">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I372" s="209"/>
      <c r="AJ372" s="209"/>
    </row>
    <row r="373" ht="12.75" customHeight="1">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I373" s="209"/>
      <c r="AJ373" s="209"/>
    </row>
    <row r="374" ht="12.75" customHeight="1">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I374" s="209"/>
      <c r="AJ374" s="209"/>
    </row>
    <row r="375" ht="12.75" customHeight="1">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I375" s="209"/>
      <c r="AJ375" s="209"/>
    </row>
    <row r="376" ht="12.75" customHeight="1">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I376" s="209"/>
      <c r="AJ376" s="209"/>
    </row>
    <row r="377" ht="12.75" customHeight="1">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I377" s="209"/>
      <c r="AJ377" s="209"/>
    </row>
    <row r="378" ht="12.75" customHeight="1">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I378" s="209"/>
      <c r="AJ378" s="209"/>
    </row>
    <row r="379" ht="12.75" customHeight="1">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I379" s="209"/>
      <c r="AJ379" s="209"/>
    </row>
    <row r="380" ht="12.75" customHeight="1">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I380" s="209"/>
      <c r="AJ380" s="209"/>
    </row>
    <row r="381" ht="12.75" customHeight="1">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I381" s="209"/>
      <c r="AJ381" s="209"/>
    </row>
    <row r="382" ht="12.75" customHeight="1">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I382" s="209"/>
      <c r="AJ382" s="209"/>
    </row>
    <row r="383" ht="12.75" customHeight="1">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I383" s="209"/>
      <c r="AJ383" s="209"/>
    </row>
    <row r="384" ht="12.75" customHeight="1">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I384" s="209"/>
      <c r="AJ384" s="209"/>
    </row>
    <row r="385" ht="12.75" customHeight="1">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I385" s="209"/>
      <c r="AJ385" s="209"/>
    </row>
    <row r="386" ht="12.75" customHeight="1">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I386" s="209"/>
      <c r="AJ386" s="209"/>
    </row>
    <row r="387" ht="12.75" customHeight="1">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I387" s="209"/>
      <c r="AJ387" s="209"/>
    </row>
    <row r="388" ht="12.75" customHeight="1">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I388" s="209"/>
      <c r="AJ388" s="209"/>
    </row>
    <row r="389" ht="12.75" customHeight="1">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I389" s="209"/>
      <c r="AJ389" s="209"/>
    </row>
    <row r="390" ht="12.75" customHeight="1">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I390" s="209"/>
      <c r="AJ390" s="209"/>
    </row>
    <row r="391" ht="12.75" customHeight="1">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I391" s="209"/>
      <c r="AJ391" s="209"/>
    </row>
    <row r="392" ht="12.75" customHeight="1">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I392" s="209"/>
      <c r="AJ392" s="209"/>
    </row>
    <row r="393" ht="12.75" customHeight="1">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I393" s="209"/>
      <c r="AJ393" s="209"/>
    </row>
    <row r="394" ht="12.75" customHeight="1">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I394" s="209"/>
      <c r="AJ394" s="209"/>
    </row>
    <row r="395" ht="12.75" customHeight="1">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I395" s="209"/>
      <c r="AJ395" s="209"/>
    </row>
    <row r="396" ht="12.75" customHeight="1">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I396" s="209"/>
      <c r="AJ396" s="209"/>
    </row>
    <row r="397" ht="12.75" customHeight="1">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I397" s="209"/>
      <c r="AJ397" s="209"/>
    </row>
    <row r="398" ht="12.75" customHeight="1">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I398" s="209"/>
      <c r="AJ398" s="209"/>
    </row>
    <row r="399" ht="12.75" customHeight="1">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I399" s="209"/>
      <c r="AJ399" s="209"/>
    </row>
    <row r="400" ht="12.75" customHeight="1">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I400" s="209"/>
      <c r="AJ400" s="209"/>
    </row>
    <row r="401" ht="12.75" customHeight="1">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I401" s="209"/>
      <c r="AJ401" s="209"/>
    </row>
    <row r="402" ht="12.75" customHeight="1">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I402" s="209"/>
      <c r="AJ402" s="209"/>
    </row>
    <row r="403" ht="12.75" customHeight="1">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I403" s="209"/>
      <c r="AJ403" s="209"/>
    </row>
    <row r="404" ht="12.75" customHeight="1">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I404" s="209"/>
      <c r="AJ404" s="209"/>
    </row>
    <row r="405" ht="12.75" customHeight="1">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I405" s="209"/>
      <c r="AJ405" s="209"/>
    </row>
    <row r="406" ht="12.75" customHeight="1">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I406" s="209"/>
      <c r="AJ406" s="209"/>
    </row>
    <row r="407" ht="12.75" customHeight="1">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I407" s="209"/>
      <c r="AJ407" s="209"/>
    </row>
    <row r="408" ht="12.75" customHeight="1">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I408" s="209"/>
      <c r="AJ408" s="209"/>
    </row>
    <row r="409" ht="12.75" customHeight="1">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I409" s="209"/>
      <c r="AJ409" s="209"/>
    </row>
    <row r="410" ht="12.75" customHeight="1">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I410" s="209"/>
      <c r="AJ410" s="209"/>
    </row>
    <row r="411" ht="12.75" customHeight="1">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I411" s="209"/>
      <c r="AJ411" s="209"/>
    </row>
    <row r="412" ht="12.75" customHeight="1">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I412" s="209"/>
      <c r="AJ412" s="209"/>
    </row>
    <row r="413" ht="12.75" customHeight="1">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I413" s="209"/>
      <c r="AJ413" s="209"/>
    </row>
    <row r="414" ht="12.75" customHeight="1">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I414" s="209"/>
      <c r="AJ414" s="209"/>
    </row>
    <row r="415" ht="12.75" customHeight="1">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I415" s="209"/>
      <c r="AJ415" s="209"/>
    </row>
    <row r="416" ht="12.75" customHeight="1">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I416" s="209"/>
      <c r="AJ416" s="209"/>
    </row>
    <row r="417" ht="12.75" customHeight="1">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I417" s="209"/>
      <c r="AJ417" s="209"/>
    </row>
    <row r="418" ht="12.75" customHeight="1">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I418" s="209"/>
      <c r="AJ418" s="209"/>
    </row>
    <row r="419" ht="12.75" customHeight="1">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I419" s="209"/>
      <c r="AJ419" s="209"/>
    </row>
    <row r="420" ht="12.75" customHeight="1">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I420" s="209"/>
      <c r="AJ420" s="209"/>
    </row>
    <row r="421" ht="12.75" customHeight="1">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I421" s="209"/>
      <c r="AJ421" s="209"/>
    </row>
    <row r="422" ht="12.75" customHeight="1">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I422" s="209"/>
      <c r="AJ422" s="209"/>
    </row>
    <row r="423" ht="12.75" customHeight="1">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I423" s="209"/>
      <c r="AJ423" s="209"/>
    </row>
    <row r="424" ht="12.75" customHeight="1">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I424" s="209"/>
      <c r="AJ424" s="209"/>
    </row>
    <row r="425" ht="12.75" customHeight="1">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I425" s="209"/>
      <c r="AJ425" s="209"/>
    </row>
    <row r="426" ht="12.75" customHeight="1">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I426" s="209"/>
      <c r="AJ426" s="209"/>
    </row>
    <row r="427" ht="12.75" customHeight="1">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I427" s="209"/>
      <c r="AJ427" s="209"/>
    </row>
    <row r="428" ht="12.75" customHeight="1">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I428" s="209"/>
      <c r="AJ428" s="209"/>
    </row>
    <row r="429" ht="12.75" customHeight="1">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I429" s="209"/>
      <c r="AJ429" s="209"/>
    </row>
    <row r="430" ht="12.75" customHeight="1">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I430" s="209"/>
      <c r="AJ430" s="209"/>
    </row>
    <row r="431" ht="12.75" customHeight="1">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I431" s="209"/>
      <c r="AJ431" s="209"/>
    </row>
    <row r="432" ht="12.75" customHeight="1">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I432" s="209"/>
      <c r="AJ432" s="209"/>
    </row>
    <row r="433" ht="12.75" customHeight="1">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I433" s="209"/>
      <c r="AJ433" s="209"/>
    </row>
    <row r="434" ht="12.75" customHeight="1">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I434" s="209"/>
      <c r="AJ434" s="209"/>
    </row>
    <row r="435" ht="12.75" customHeight="1">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I435" s="209"/>
      <c r="AJ435" s="209"/>
    </row>
    <row r="436" ht="12.75" customHeight="1">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I436" s="209"/>
      <c r="AJ436" s="209"/>
    </row>
    <row r="437" ht="12.75" customHeight="1">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I437" s="209"/>
      <c r="AJ437" s="209"/>
    </row>
    <row r="438" ht="12.75" customHeight="1">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I438" s="209"/>
      <c r="AJ438" s="209"/>
    </row>
    <row r="439" ht="12.75" customHeight="1">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I439" s="209"/>
      <c r="AJ439" s="209"/>
    </row>
    <row r="440" ht="12.75" customHeight="1">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I440" s="209"/>
      <c r="AJ440" s="209"/>
    </row>
    <row r="441" ht="12.75" customHeight="1">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I441" s="209"/>
      <c r="AJ441" s="209"/>
    </row>
    <row r="442" ht="12.75" customHeight="1">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I442" s="209"/>
      <c r="AJ442" s="209"/>
    </row>
    <row r="443" ht="12.75" customHeight="1">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I443" s="209"/>
      <c r="AJ443" s="209"/>
    </row>
    <row r="444" ht="12.75" customHeight="1">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I444" s="209"/>
      <c r="AJ444" s="209"/>
    </row>
    <row r="445" ht="12.75" customHeight="1">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I445" s="209"/>
      <c r="AJ445" s="209"/>
    </row>
    <row r="446" ht="12.75" customHeight="1">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I446" s="209"/>
      <c r="AJ446" s="209"/>
    </row>
    <row r="447" ht="12.75" customHeight="1">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I447" s="209"/>
      <c r="AJ447" s="209"/>
    </row>
    <row r="448" ht="12.75" customHeight="1">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I448" s="209"/>
      <c r="AJ448" s="209"/>
    </row>
    <row r="449" ht="12.75" customHeight="1">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I449" s="209"/>
      <c r="AJ449" s="209"/>
    </row>
    <row r="450" ht="12.75" customHeight="1">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I450" s="209"/>
      <c r="AJ450" s="209"/>
    </row>
    <row r="451" ht="12.75" customHeight="1">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I451" s="209"/>
      <c r="AJ451" s="209"/>
    </row>
    <row r="452" ht="12.75" customHeight="1">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I452" s="209"/>
      <c r="AJ452" s="209"/>
    </row>
    <row r="453" ht="12.75" customHeight="1">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I453" s="209"/>
      <c r="AJ453" s="209"/>
    </row>
    <row r="454" ht="12.75" customHeight="1">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I454" s="209"/>
      <c r="AJ454" s="209"/>
    </row>
    <row r="455" ht="12.75" customHeight="1">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I455" s="209"/>
      <c r="AJ455" s="209"/>
    </row>
    <row r="456" ht="12.75" customHeight="1">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I456" s="209"/>
      <c r="AJ456" s="209"/>
    </row>
    <row r="457" ht="12.75" customHeight="1">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I457" s="209"/>
      <c r="AJ457" s="209"/>
    </row>
    <row r="458" ht="12.75" customHeight="1">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I458" s="209"/>
      <c r="AJ458" s="209"/>
    </row>
    <row r="459" ht="12.75" customHeight="1">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I459" s="209"/>
      <c r="AJ459" s="209"/>
    </row>
    <row r="460" ht="12.75" customHeight="1">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I460" s="209"/>
      <c r="AJ460" s="209"/>
    </row>
    <row r="461" ht="12.75" customHeight="1">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I461" s="209"/>
      <c r="AJ461" s="209"/>
    </row>
    <row r="462" ht="12.75" customHeight="1">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I462" s="209"/>
      <c r="AJ462" s="209"/>
    </row>
    <row r="463" ht="12.75" customHeight="1">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I463" s="209"/>
      <c r="AJ463" s="209"/>
    </row>
    <row r="464" ht="12.75" customHeight="1">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I464" s="209"/>
      <c r="AJ464" s="209"/>
    </row>
    <row r="465" ht="12.75" customHeight="1">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I465" s="209"/>
      <c r="AJ465" s="209"/>
    </row>
    <row r="466" ht="12.75" customHeight="1">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I466" s="209"/>
      <c r="AJ466" s="209"/>
    </row>
    <row r="467" ht="12.75" customHeight="1">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I467" s="209"/>
      <c r="AJ467" s="209"/>
    </row>
    <row r="468" ht="12.75" customHeight="1">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I468" s="209"/>
      <c r="AJ468" s="209"/>
    </row>
    <row r="469" ht="12.75" customHeight="1">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I469" s="209"/>
      <c r="AJ469" s="209"/>
    </row>
    <row r="470" ht="12.75" customHeight="1">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I470" s="209"/>
      <c r="AJ470" s="209"/>
    </row>
    <row r="471" ht="12.75" customHeight="1">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I471" s="209"/>
      <c r="AJ471" s="209"/>
    </row>
    <row r="472" ht="12.75" customHeight="1">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I472" s="209"/>
      <c r="AJ472" s="209"/>
    </row>
    <row r="473" ht="12.75" customHeight="1">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I473" s="209"/>
      <c r="AJ473" s="209"/>
    </row>
    <row r="474" ht="12.75" customHeight="1">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I474" s="209"/>
      <c r="AJ474" s="209"/>
    </row>
    <row r="475" ht="12.75" customHeight="1">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I475" s="209"/>
      <c r="AJ475" s="209"/>
    </row>
    <row r="476" ht="12.75" customHeight="1">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I476" s="209"/>
      <c r="AJ476" s="209"/>
    </row>
    <row r="477" ht="12.75" customHeight="1">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I477" s="209"/>
      <c r="AJ477" s="209"/>
    </row>
    <row r="478" ht="12.75" customHeight="1">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I478" s="209"/>
      <c r="AJ478" s="209"/>
    </row>
    <row r="479" ht="12.75" customHeight="1">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I479" s="209"/>
      <c r="AJ479" s="209"/>
    </row>
    <row r="480" ht="12.75" customHeight="1">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I480" s="209"/>
      <c r="AJ480" s="209"/>
    </row>
    <row r="481" ht="12.75" customHeight="1">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I481" s="209"/>
      <c r="AJ481" s="209"/>
    </row>
    <row r="482" ht="12.75" customHeight="1">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I482" s="209"/>
      <c r="AJ482" s="209"/>
    </row>
    <row r="483" ht="12.75" customHeight="1">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I483" s="209"/>
      <c r="AJ483" s="209"/>
    </row>
    <row r="484" ht="12.75" customHeight="1">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I484" s="209"/>
      <c r="AJ484" s="209"/>
    </row>
    <row r="485" ht="12.75" customHeight="1">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I485" s="209"/>
      <c r="AJ485" s="209"/>
    </row>
    <row r="486" ht="12.75" customHeight="1">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I486" s="209"/>
      <c r="AJ486" s="209"/>
    </row>
    <row r="487" ht="12.75" customHeight="1">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I487" s="209"/>
      <c r="AJ487" s="209"/>
    </row>
    <row r="488" ht="12.75" customHeight="1">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I488" s="209"/>
      <c r="AJ488" s="209"/>
    </row>
    <row r="489" ht="12.75" customHeight="1">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I489" s="209"/>
      <c r="AJ489" s="209"/>
    </row>
    <row r="490" ht="12.75" customHeight="1">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I490" s="209"/>
      <c r="AJ490" s="209"/>
    </row>
    <row r="491" ht="12.75" customHeight="1">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I491" s="209"/>
      <c r="AJ491" s="209"/>
    </row>
    <row r="492" ht="12.75" customHeight="1">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I492" s="209"/>
      <c r="AJ492" s="209"/>
    </row>
    <row r="493" ht="12.75" customHeight="1">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I493" s="209"/>
      <c r="AJ493" s="209"/>
    </row>
    <row r="494" ht="12.75" customHeight="1">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I494" s="209"/>
      <c r="AJ494" s="209"/>
    </row>
    <row r="495" ht="12.75" customHeight="1">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I495" s="209"/>
      <c r="AJ495" s="209"/>
    </row>
    <row r="496" ht="12.75" customHeight="1">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I496" s="209"/>
      <c r="AJ496" s="209"/>
    </row>
    <row r="497" ht="12.75" customHeight="1">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I497" s="209"/>
      <c r="AJ497" s="209"/>
    </row>
    <row r="498" ht="12.75" customHeight="1">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I498" s="209"/>
      <c r="AJ498" s="209"/>
    </row>
    <row r="499" ht="12.75" customHeight="1">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I499" s="209"/>
      <c r="AJ499" s="209"/>
    </row>
    <row r="500" ht="12.75" customHeight="1">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I500" s="209"/>
      <c r="AJ500" s="209"/>
    </row>
    <row r="501" ht="12.75" customHeight="1">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I501" s="209"/>
      <c r="AJ501" s="209"/>
    </row>
    <row r="502" ht="12.75" customHeight="1">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I502" s="209"/>
      <c r="AJ502" s="209"/>
    </row>
    <row r="503" ht="12.75" customHeight="1">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I503" s="209"/>
      <c r="AJ503" s="209"/>
    </row>
    <row r="504" ht="12.75" customHeight="1">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I504" s="209"/>
      <c r="AJ504" s="209"/>
    </row>
    <row r="505" ht="12.75" customHeight="1">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I505" s="209"/>
      <c r="AJ505" s="209"/>
    </row>
    <row r="506" ht="12.75" customHeight="1">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I506" s="209"/>
      <c r="AJ506" s="209"/>
    </row>
    <row r="507" ht="12.75" customHeight="1">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I507" s="209"/>
      <c r="AJ507" s="209"/>
    </row>
    <row r="508" ht="12.75" customHeight="1">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I508" s="209"/>
      <c r="AJ508" s="209"/>
    </row>
    <row r="509" ht="12.75" customHeight="1">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I509" s="209"/>
      <c r="AJ509" s="209"/>
    </row>
    <row r="510" ht="12.75" customHeight="1">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I510" s="209"/>
      <c r="AJ510" s="209"/>
    </row>
    <row r="511" ht="12.75" customHeight="1">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I511" s="209"/>
      <c r="AJ511" s="209"/>
    </row>
    <row r="512" ht="12.75" customHeight="1">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I512" s="209"/>
      <c r="AJ512" s="209"/>
    </row>
    <row r="513" ht="12.75" customHeight="1">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I513" s="209"/>
      <c r="AJ513" s="209"/>
    </row>
    <row r="514" ht="12.75" customHeight="1">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I514" s="209"/>
      <c r="AJ514" s="209"/>
    </row>
    <row r="515" ht="12.75" customHeight="1">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I515" s="209"/>
      <c r="AJ515" s="209"/>
    </row>
    <row r="516" ht="12.75" customHeight="1">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I516" s="209"/>
      <c r="AJ516" s="209"/>
    </row>
    <row r="517" ht="12.75" customHeight="1">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I517" s="209"/>
      <c r="AJ517" s="209"/>
    </row>
    <row r="518" ht="12.75" customHeight="1">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I518" s="209"/>
      <c r="AJ518" s="209"/>
    </row>
    <row r="519" ht="12.75" customHeight="1">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I519" s="209"/>
      <c r="AJ519" s="209"/>
    </row>
    <row r="520" ht="12.75" customHeight="1">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I520" s="209"/>
      <c r="AJ520" s="209"/>
    </row>
    <row r="521" ht="12.75" customHeight="1">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I521" s="209"/>
      <c r="AJ521" s="209"/>
    </row>
    <row r="522" ht="12.75" customHeight="1">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I522" s="209"/>
      <c r="AJ522" s="209"/>
    </row>
    <row r="523" ht="12.75" customHeight="1">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I523" s="209"/>
      <c r="AJ523" s="209"/>
    </row>
    <row r="524" ht="12.75" customHeight="1">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I524" s="209"/>
      <c r="AJ524" s="209"/>
    </row>
    <row r="525" ht="12.75" customHeight="1">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I525" s="209"/>
      <c r="AJ525" s="209"/>
    </row>
    <row r="526" ht="12.75" customHeight="1">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I526" s="209"/>
      <c r="AJ526" s="209"/>
    </row>
    <row r="527" ht="12.75" customHeight="1">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I527" s="209"/>
      <c r="AJ527" s="209"/>
    </row>
    <row r="528" ht="12.75" customHeight="1">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I528" s="209"/>
      <c r="AJ528" s="209"/>
    </row>
    <row r="529" ht="12.75" customHeight="1">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I529" s="209"/>
      <c r="AJ529" s="209"/>
    </row>
    <row r="530" ht="12.75" customHeight="1">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I530" s="209"/>
      <c r="AJ530" s="209"/>
    </row>
    <row r="531" ht="12.75" customHeight="1">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I531" s="209"/>
      <c r="AJ531" s="209"/>
    </row>
    <row r="532" ht="12.75" customHeight="1">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I532" s="209"/>
      <c r="AJ532" s="209"/>
    </row>
    <row r="533" ht="12.75" customHeight="1">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I533" s="209"/>
      <c r="AJ533" s="209"/>
    </row>
    <row r="534" ht="12.75" customHeight="1">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I534" s="209"/>
      <c r="AJ534" s="209"/>
    </row>
    <row r="535" ht="12.75" customHeight="1">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I535" s="209"/>
      <c r="AJ535" s="209"/>
    </row>
    <row r="536" ht="12.75" customHeight="1">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I536" s="209"/>
      <c r="AJ536" s="209"/>
    </row>
    <row r="537" ht="12.75" customHeight="1">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I537" s="209"/>
      <c r="AJ537" s="209"/>
    </row>
    <row r="538" ht="12.75" customHeight="1">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I538" s="209"/>
      <c r="AJ538" s="209"/>
    </row>
    <row r="539" ht="12.75" customHeight="1">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I539" s="209"/>
      <c r="AJ539" s="209"/>
    </row>
    <row r="540" ht="12.75" customHeight="1">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I540" s="209"/>
      <c r="AJ540" s="209"/>
    </row>
    <row r="541" ht="12.75" customHeight="1">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I541" s="209"/>
      <c r="AJ541" s="209"/>
    </row>
    <row r="542" ht="12.75" customHeight="1">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I542" s="209"/>
      <c r="AJ542" s="209"/>
    </row>
    <row r="543" ht="12.75" customHeight="1">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I543" s="209"/>
      <c r="AJ543" s="209"/>
    </row>
    <row r="544" ht="12.75" customHeight="1">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I544" s="209"/>
      <c r="AJ544" s="209"/>
    </row>
    <row r="545" ht="12.75" customHeight="1">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I545" s="209"/>
      <c r="AJ545" s="209"/>
    </row>
    <row r="546" ht="12.75" customHeight="1">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I546" s="209"/>
      <c r="AJ546" s="209"/>
    </row>
    <row r="547" ht="12.75" customHeight="1">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I547" s="209"/>
      <c r="AJ547" s="209"/>
    </row>
    <row r="548" ht="12.75" customHeight="1">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I548" s="209"/>
      <c r="AJ548" s="209"/>
    </row>
    <row r="549" ht="12.75" customHeight="1">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I549" s="209"/>
      <c r="AJ549" s="209"/>
    </row>
    <row r="550" ht="12.75" customHeight="1">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I550" s="209"/>
      <c r="AJ550" s="209"/>
    </row>
    <row r="551" ht="12.75" customHeight="1">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I551" s="209"/>
      <c r="AJ551" s="209"/>
    </row>
    <row r="552" ht="12.75" customHeight="1">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I552" s="209"/>
      <c r="AJ552" s="209"/>
    </row>
    <row r="553" ht="12.75" customHeight="1">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I553" s="209"/>
      <c r="AJ553" s="209"/>
    </row>
    <row r="554" ht="12.75" customHeight="1">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I554" s="209"/>
      <c r="AJ554" s="209"/>
    </row>
    <row r="555" ht="12.75" customHeight="1">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I555" s="209"/>
      <c r="AJ555" s="209"/>
    </row>
    <row r="556" ht="12.75" customHeight="1">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I556" s="209"/>
      <c r="AJ556" s="209"/>
    </row>
    <row r="557" ht="12.75" customHeight="1">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I557" s="209"/>
      <c r="AJ557" s="209"/>
    </row>
    <row r="558" ht="12.75" customHeight="1">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I558" s="209"/>
      <c r="AJ558" s="209"/>
    </row>
    <row r="559" ht="12.75" customHeight="1">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I559" s="209"/>
      <c r="AJ559" s="209"/>
    </row>
    <row r="560" ht="12.75" customHeight="1">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I560" s="209"/>
      <c r="AJ5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I561" s="209"/>
      <c r="AJ561" s="209"/>
    </row>
    <row r="562" ht="12.75" customHeight="1">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I562" s="209"/>
      <c r="AJ562" s="209"/>
    </row>
    <row r="563" ht="12.75" customHeight="1">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I563" s="209"/>
      <c r="AJ563" s="209"/>
    </row>
    <row r="564" ht="12.75" customHeight="1">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I564" s="209"/>
      <c r="AJ564" s="209"/>
    </row>
    <row r="565" ht="12.75" customHeight="1">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I565" s="209"/>
      <c r="AJ565" s="209"/>
    </row>
    <row r="566" ht="12.75" customHeight="1">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I566" s="209"/>
      <c r="AJ566" s="209"/>
    </row>
    <row r="567" ht="12.75" customHeight="1">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I567" s="209"/>
      <c r="AJ567" s="209"/>
    </row>
    <row r="568" ht="12.75" customHeight="1">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I568" s="209"/>
      <c r="AJ568" s="209"/>
    </row>
    <row r="569" ht="12.75" customHeight="1">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I569" s="209"/>
      <c r="AJ569" s="209"/>
    </row>
    <row r="570" ht="12.75" customHeight="1">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I570" s="209"/>
      <c r="AJ570" s="209"/>
    </row>
    <row r="571" ht="12.75" customHeight="1">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I571" s="209"/>
      <c r="AJ571" s="209"/>
    </row>
    <row r="572" ht="12.75" customHeight="1">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I572" s="209"/>
      <c r="AJ572" s="209"/>
    </row>
    <row r="573" ht="12.75" customHeight="1">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I573" s="209"/>
      <c r="AJ573" s="209"/>
    </row>
    <row r="574" ht="12.75" customHeight="1">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I574" s="209"/>
      <c r="AJ574" s="209"/>
    </row>
    <row r="575" ht="12.75" customHeight="1">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I575" s="209"/>
      <c r="AJ575" s="209"/>
    </row>
    <row r="576" ht="12.75" customHeight="1">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I576" s="209"/>
      <c r="AJ576" s="209"/>
    </row>
    <row r="577" ht="12.75" customHeight="1">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I577" s="209"/>
      <c r="AJ577" s="209"/>
    </row>
    <row r="578" ht="12.75" customHeight="1">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I578" s="209"/>
      <c r="AJ578" s="209"/>
    </row>
    <row r="579" ht="12.75" customHeight="1">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I579" s="209"/>
      <c r="AJ579" s="209"/>
    </row>
    <row r="580" ht="12.75" customHeight="1">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I580" s="209"/>
      <c r="AJ580" s="209"/>
    </row>
    <row r="581" ht="12.75" customHeight="1">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I581" s="209"/>
      <c r="AJ581" s="209"/>
    </row>
    <row r="582" ht="12.75" customHeight="1">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I582" s="209"/>
      <c r="AJ582" s="209"/>
    </row>
    <row r="583" ht="12.75" customHeight="1">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I583" s="209"/>
      <c r="AJ583" s="209"/>
    </row>
    <row r="584" ht="12.75" customHeight="1">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I584" s="209"/>
      <c r="AJ584" s="209"/>
    </row>
    <row r="585" ht="12.75" customHeight="1">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I585" s="209"/>
      <c r="AJ585" s="209"/>
    </row>
    <row r="586" ht="12.75" customHeight="1">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I586" s="209"/>
      <c r="AJ586" s="209"/>
    </row>
    <row r="587" ht="12.75" customHeight="1">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I587" s="209"/>
      <c r="AJ587" s="209"/>
    </row>
    <row r="588" ht="12.75" customHeight="1">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I588" s="209"/>
      <c r="AJ588" s="209"/>
    </row>
    <row r="589" ht="12.75" customHeight="1">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I589" s="209"/>
      <c r="AJ589" s="209"/>
    </row>
    <row r="590" ht="12.75" customHeight="1">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I590" s="209"/>
      <c r="AJ590" s="209"/>
    </row>
    <row r="591" ht="12.75" customHeight="1">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I591" s="209"/>
      <c r="AJ591" s="209"/>
    </row>
    <row r="592" ht="12.75" customHeight="1">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I592" s="209"/>
      <c r="AJ592" s="209"/>
    </row>
    <row r="593" ht="12.75" customHeight="1">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I593" s="209"/>
      <c r="AJ593" s="209"/>
    </row>
    <row r="594" ht="12.75" customHeight="1">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I594" s="209"/>
      <c r="AJ594" s="209"/>
    </row>
    <row r="595" ht="12.75" customHeight="1">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I595" s="209"/>
      <c r="AJ595" s="209"/>
    </row>
    <row r="596" ht="12.75" customHeight="1">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I596" s="209"/>
      <c r="AJ596" s="209"/>
    </row>
    <row r="597" ht="12.75" customHeight="1">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I597" s="209"/>
      <c r="AJ597" s="209"/>
    </row>
    <row r="598" ht="12.75" customHeight="1">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I598" s="209"/>
      <c r="AJ598" s="209"/>
    </row>
    <row r="599" ht="12.75" customHeight="1">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I599" s="209"/>
      <c r="AJ599" s="209"/>
    </row>
    <row r="600" ht="12.75" customHeight="1">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I600" s="209"/>
      <c r="AJ600" s="209"/>
    </row>
    <row r="601" ht="12.75" customHeight="1">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I601" s="209"/>
      <c r="AJ601" s="209"/>
    </row>
    <row r="602" ht="12.75" customHeight="1">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I602" s="209"/>
      <c r="AJ602" s="209"/>
    </row>
    <row r="603" ht="12.75" customHeight="1">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I603" s="209"/>
      <c r="AJ603" s="209"/>
    </row>
    <row r="604" ht="12.75" customHeight="1">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I604" s="209"/>
      <c r="AJ604" s="209"/>
    </row>
    <row r="605" ht="12.75" customHeight="1">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I605" s="209"/>
      <c r="AJ605" s="209"/>
    </row>
    <row r="606" ht="12.75" customHeight="1">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I606" s="209"/>
      <c r="AJ606" s="209"/>
    </row>
    <row r="607" ht="12.75" customHeight="1">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I607" s="209"/>
      <c r="AJ607" s="209"/>
    </row>
    <row r="608" ht="12.75" customHeight="1">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I608" s="209"/>
      <c r="AJ608" s="209"/>
    </row>
    <row r="609" ht="12.75" customHeight="1">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I609" s="209"/>
      <c r="AJ609" s="209"/>
    </row>
    <row r="610" ht="12.75" customHeight="1">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I610" s="209"/>
      <c r="AJ610" s="209"/>
    </row>
    <row r="611" ht="12.75" customHeight="1">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I611" s="209"/>
      <c r="AJ611" s="209"/>
    </row>
    <row r="612" ht="12.75" customHeight="1">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I612" s="209"/>
      <c r="AJ612" s="209"/>
    </row>
    <row r="613" ht="12.75" customHeight="1">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I613" s="209"/>
      <c r="AJ613" s="209"/>
    </row>
    <row r="614" ht="12.75" customHeight="1">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I614" s="209"/>
      <c r="AJ614" s="209"/>
    </row>
    <row r="615" ht="12.75" customHeight="1">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I615" s="209"/>
      <c r="AJ615" s="209"/>
    </row>
    <row r="616" ht="12.75" customHeight="1">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I616" s="209"/>
      <c r="AJ616" s="209"/>
    </row>
    <row r="617" ht="12.75" customHeight="1">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I617" s="209"/>
      <c r="AJ617" s="209"/>
    </row>
    <row r="618" ht="12.75" customHeight="1">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I618" s="209"/>
      <c r="AJ618" s="209"/>
    </row>
    <row r="619" ht="12.75" customHeight="1">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I619" s="209"/>
      <c r="AJ619" s="209"/>
    </row>
    <row r="620" ht="12.75" customHeight="1">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I620" s="209"/>
      <c r="AJ620" s="209"/>
    </row>
    <row r="621" ht="12.75" customHeight="1">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I621" s="209"/>
      <c r="AJ621" s="209"/>
    </row>
    <row r="622" ht="12.75" customHeight="1">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I622" s="209"/>
      <c r="AJ622" s="209"/>
    </row>
    <row r="623" ht="12.75" customHeight="1">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I623" s="209"/>
      <c r="AJ623" s="209"/>
    </row>
    <row r="624" ht="12.75" customHeight="1">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I624" s="209"/>
      <c r="AJ624" s="209"/>
    </row>
    <row r="625" ht="12.75" customHeight="1">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I625" s="209"/>
      <c r="AJ625" s="209"/>
    </row>
    <row r="626" ht="12.75" customHeight="1">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I626" s="209"/>
      <c r="AJ626" s="209"/>
    </row>
    <row r="627" ht="12.75" customHeight="1">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I627" s="209"/>
      <c r="AJ627" s="209"/>
    </row>
    <row r="628" ht="12.75" customHeight="1">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I628" s="209"/>
      <c r="AJ628" s="209"/>
    </row>
    <row r="629" ht="12.75" customHeight="1">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I629" s="209"/>
      <c r="AJ629" s="209"/>
    </row>
    <row r="630" ht="12.75" customHeight="1">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I630" s="209"/>
      <c r="AJ630" s="209"/>
    </row>
    <row r="631" ht="12.75" customHeight="1">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I631" s="209"/>
      <c r="AJ631" s="209"/>
    </row>
    <row r="632" ht="12.75" customHeight="1">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I632" s="209"/>
      <c r="AJ632" s="209"/>
    </row>
    <row r="633" ht="12.75" customHeight="1">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I633" s="209"/>
      <c r="AJ633" s="209"/>
    </row>
    <row r="634" ht="12.75" customHeight="1">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I634" s="209"/>
      <c r="AJ634" s="209"/>
    </row>
    <row r="635" ht="12.75" customHeight="1">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I635" s="209"/>
      <c r="AJ635" s="209"/>
    </row>
    <row r="636" ht="12.75" customHeight="1">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I636" s="209"/>
      <c r="AJ636" s="209"/>
    </row>
    <row r="637" ht="12.75" customHeight="1">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I637" s="209"/>
      <c r="AJ637" s="209"/>
    </row>
    <row r="638" ht="12.75" customHeight="1">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I638" s="209"/>
      <c r="AJ638" s="209"/>
    </row>
    <row r="639" ht="12.75" customHeight="1">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I639" s="209"/>
      <c r="AJ639" s="209"/>
    </row>
    <row r="640" ht="12.75" customHeight="1">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I640" s="209"/>
      <c r="AJ640" s="209"/>
    </row>
    <row r="641" ht="12.75" customHeight="1">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I641" s="209"/>
      <c r="AJ641" s="209"/>
    </row>
    <row r="642" ht="12.75" customHeight="1">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I642" s="209"/>
      <c r="AJ642" s="209"/>
    </row>
    <row r="643" ht="12.75" customHeight="1">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I643" s="209"/>
      <c r="AJ643" s="209"/>
    </row>
    <row r="644" ht="12.75" customHeight="1">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I644" s="209"/>
      <c r="AJ644" s="209"/>
    </row>
    <row r="645" ht="12.75" customHeight="1">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I645" s="209"/>
      <c r="AJ645" s="209"/>
    </row>
    <row r="646" ht="12.75" customHeight="1">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I646" s="209"/>
      <c r="AJ646" s="209"/>
    </row>
    <row r="647" ht="12.75" customHeight="1">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I647" s="209"/>
      <c r="AJ647" s="209"/>
    </row>
    <row r="648" ht="12.75" customHeight="1">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I648" s="209"/>
      <c r="AJ648" s="209"/>
    </row>
    <row r="649" ht="12.75" customHeight="1">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I649" s="209"/>
      <c r="AJ649" s="209"/>
    </row>
    <row r="650" ht="12.75" customHeight="1">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I650" s="209"/>
      <c r="AJ650" s="209"/>
    </row>
    <row r="651" ht="12.75" customHeight="1">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I651" s="209"/>
      <c r="AJ651" s="209"/>
    </row>
    <row r="652" ht="12.75" customHeight="1">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I652" s="209"/>
      <c r="AJ652" s="209"/>
    </row>
    <row r="653" ht="12.75" customHeight="1">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I653" s="209"/>
      <c r="AJ653" s="209"/>
    </row>
    <row r="654" ht="12.75" customHeight="1">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I654" s="209"/>
      <c r="AJ654" s="209"/>
    </row>
    <row r="655" ht="12.75" customHeight="1">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I655" s="209"/>
      <c r="AJ655" s="209"/>
    </row>
    <row r="656" ht="12.75" customHeight="1">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I656" s="209"/>
      <c r="AJ656" s="209"/>
    </row>
    <row r="657" ht="12.75" customHeight="1">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I657" s="209"/>
      <c r="AJ657" s="209"/>
    </row>
    <row r="658" ht="12.75" customHeight="1">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I658" s="209"/>
      <c r="AJ658" s="209"/>
    </row>
    <row r="659" ht="12.75" customHeight="1">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I659" s="209"/>
      <c r="AJ659" s="209"/>
    </row>
    <row r="660" ht="12.75" customHeight="1">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I660" s="209"/>
      <c r="AJ660" s="209"/>
    </row>
    <row r="661" ht="12.75" customHeight="1">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I661" s="209"/>
      <c r="AJ661" s="209"/>
    </row>
    <row r="662" ht="12.75" customHeight="1">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I662" s="209"/>
      <c r="AJ662" s="209"/>
    </row>
    <row r="663" ht="12.75" customHeight="1">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I663" s="209"/>
      <c r="AJ663" s="209"/>
    </row>
    <row r="664" ht="12.75" customHeight="1">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I664" s="209"/>
      <c r="AJ664" s="209"/>
    </row>
    <row r="665" ht="12.75" customHeight="1">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I665" s="209"/>
      <c r="AJ665" s="209"/>
    </row>
    <row r="666" ht="12.75" customHeight="1">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I666" s="209"/>
      <c r="AJ666" s="209"/>
    </row>
    <row r="667" ht="12.75" customHeight="1">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I667" s="209"/>
      <c r="AJ667" s="209"/>
    </row>
    <row r="668" ht="12.75" customHeight="1">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I668" s="209"/>
      <c r="AJ668" s="209"/>
    </row>
    <row r="669" ht="12.75" customHeight="1">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I669" s="209"/>
      <c r="AJ669" s="209"/>
    </row>
    <row r="670" ht="12.75" customHeight="1">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I670" s="209"/>
      <c r="AJ670" s="209"/>
    </row>
    <row r="671" ht="12.75" customHeight="1">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I671" s="209"/>
      <c r="AJ671" s="209"/>
    </row>
    <row r="672" ht="12.75" customHeight="1">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I672" s="209"/>
      <c r="AJ672" s="209"/>
    </row>
    <row r="673" ht="12.75" customHeight="1">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I673" s="209"/>
      <c r="AJ673" s="209"/>
    </row>
    <row r="674" ht="12.75" customHeight="1">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I674" s="209"/>
      <c r="AJ674" s="209"/>
    </row>
    <row r="675" ht="12.75" customHeight="1">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I675" s="209"/>
      <c r="AJ675" s="209"/>
    </row>
    <row r="676" ht="12.75" customHeight="1">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I676" s="209"/>
      <c r="AJ676" s="209"/>
    </row>
    <row r="677" ht="12.75" customHeight="1">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I677" s="209"/>
      <c r="AJ677" s="209"/>
    </row>
    <row r="678" ht="12.75" customHeight="1">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I678" s="209"/>
      <c r="AJ678" s="209"/>
    </row>
    <row r="679" ht="12.75" customHeight="1">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I679" s="209"/>
      <c r="AJ679" s="209"/>
    </row>
    <row r="680" ht="12.75" customHeight="1">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I680" s="209"/>
      <c r="AJ680" s="209"/>
    </row>
    <row r="681" ht="12.75" customHeight="1">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I681" s="209"/>
      <c r="AJ681" s="209"/>
    </row>
    <row r="682" ht="12.75" customHeight="1">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I682" s="209"/>
      <c r="AJ682" s="209"/>
    </row>
    <row r="683" ht="12.75" customHeight="1">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I683" s="209"/>
      <c r="AJ683" s="209"/>
    </row>
    <row r="684" ht="12.75" customHeight="1">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I684" s="209"/>
      <c r="AJ684" s="209"/>
    </row>
    <row r="685" ht="12.75" customHeight="1">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I685" s="209"/>
      <c r="AJ685" s="209"/>
    </row>
    <row r="686" ht="12.75" customHeight="1">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I686" s="209"/>
      <c r="AJ686" s="209"/>
    </row>
    <row r="687" ht="12.75" customHeight="1">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I687" s="209"/>
      <c r="AJ687" s="209"/>
    </row>
    <row r="688" ht="12.75" customHeight="1">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I688" s="209"/>
      <c r="AJ688" s="209"/>
    </row>
    <row r="689" ht="12.75" customHeight="1">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I689" s="209"/>
      <c r="AJ689" s="209"/>
    </row>
    <row r="690" ht="12.75" customHeight="1">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I690" s="209"/>
      <c r="AJ690" s="209"/>
    </row>
    <row r="691" ht="12.75" customHeight="1">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I691" s="209"/>
      <c r="AJ691" s="209"/>
    </row>
    <row r="692" ht="12.75" customHeight="1">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I692" s="209"/>
      <c r="AJ692" s="209"/>
    </row>
    <row r="693" ht="12.75" customHeight="1">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I693" s="209"/>
      <c r="AJ693" s="209"/>
    </row>
    <row r="694" ht="12.75" customHeight="1">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I694" s="209"/>
      <c r="AJ694" s="209"/>
    </row>
    <row r="695" ht="12.75" customHeight="1">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I695" s="209"/>
      <c r="AJ695" s="209"/>
    </row>
    <row r="696" ht="12.75" customHeight="1">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I696" s="209"/>
      <c r="AJ696" s="209"/>
    </row>
    <row r="697" ht="12.75" customHeight="1">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I697" s="209"/>
      <c r="AJ697" s="209"/>
    </row>
    <row r="698" ht="12.75" customHeight="1">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I698" s="209"/>
      <c r="AJ698" s="209"/>
    </row>
    <row r="699" ht="12.75" customHeight="1">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I699" s="209"/>
      <c r="AJ699" s="209"/>
    </row>
    <row r="700" ht="12.75" customHeight="1">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I700" s="209"/>
      <c r="AJ700" s="209"/>
    </row>
    <row r="701" ht="12.75" customHeight="1">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I701" s="209"/>
      <c r="AJ701" s="209"/>
    </row>
    <row r="702" ht="12.75" customHeight="1">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I702" s="209"/>
      <c r="AJ702" s="209"/>
    </row>
    <row r="703" ht="12.75" customHeight="1">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I703" s="209"/>
      <c r="AJ703" s="209"/>
    </row>
    <row r="704" ht="12.75" customHeight="1">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I704" s="209"/>
      <c r="AJ704" s="209"/>
    </row>
    <row r="705" ht="12.75" customHeight="1">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I705" s="209"/>
      <c r="AJ705" s="209"/>
    </row>
    <row r="706" ht="12.75" customHeight="1">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I706" s="209"/>
      <c r="AJ706" s="209"/>
    </row>
    <row r="707" ht="12.75" customHeight="1">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I707" s="209"/>
      <c r="AJ707" s="209"/>
    </row>
    <row r="708" ht="12.75" customHeight="1">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I708" s="209"/>
      <c r="AJ708" s="209"/>
    </row>
    <row r="709" ht="12.75" customHeight="1">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I709" s="209"/>
      <c r="AJ709" s="209"/>
    </row>
    <row r="710" ht="12.75" customHeight="1">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I710" s="209"/>
      <c r="AJ710" s="209"/>
    </row>
    <row r="711" ht="12.75" customHeight="1">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I711" s="209"/>
      <c r="AJ711" s="209"/>
    </row>
    <row r="712" ht="12.75" customHeight="1">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I712" s="209"/>
      <c r="AJ712" s="209"/>
    </row>
    <row r="713" ht="12.75" customHeight="1">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I713" s="209"/>
      <c r="AJ713" s="209"/>
    </row>
    <row r="714" ht="12.75" customHeight="1">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I714" s="209"/>
      <c r="AJ714" s="209"/>
    </row>
    <row r="715" ht="12.75" customHeight="1">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I715" s="209"/>
      <c r="AJ715" s="209"/>
    </row>
    <row r="716" ht="12.75" customHeight="1">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I716" s="209"/>
      <c r="AJ716" s="209"/>
    </row>
    <row r="717" ht="12.75" customHeight="1">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I717" s="209"/>
      <c r="AJ717" s="209"/>
    </row>
    <row r="718" ht="12.75" customHeight="1">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I718" s="209"/>
      <c r="AJ718" s="209"/>
    </row>
    <row r="719" ht="12.75" customHeight="1">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I719" s="209"/>
      <c r="AJ719" s="209"/>
    </row>
    <row r="720" ht="12.75" customHeight="1">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I720" s="209"/>
      <c r="AJ720" s="209"/>
    </row>
    <row r="721" ht="12.75" customHeight="1">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I721" s="209"/>
      <c r="AJ721" s="209"/>
    </row>
    <row r="722" ht="12.75" customHeight="1">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I722" s="209"/>
      <c r="AJ722" s="209"/>
    </row>
    <row r="723" ht="12.75" customHeight="1">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I723" s="209"/>
      <c r="AJ723" s="209"/>
    </row>
    <row r="724" ht="12.75" customHeight="1">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I724" s="209"/>
      <c r="AJ724" s="209"/>
    </row>
    <row r="725" ht="12.75" customHeight="1">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I725" s="209"/>
      <c r="AJ725" s="209"/>
    </row>
    <row r="726" ht="12.75" customHeight="1">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I726" s="209"/>
      <c r="AJ726" s="209"/>
    </row>
    <row r="727" ht="12.75" customHeight="1">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I727" s="209"/>
      <c r="AJ727" s="209"/>
    </row>
    <row r="728" ht="12.75" customHeight="1">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I728" s="209"/>
      <c r="AJ728" s="209"/>
    </row>
    <row r="729" ht="12.75" customHeight="1">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I729" s="209"/>
      <c r="AJ729" s="209"/>
    </row>
    <row r="730" ht="12.75" customHeight="1">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I730" s="209"/>
      <c r="AJ730" s="209"/>
    </row>
    <row r="731" ht="12.75" customHeight="1">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I731" s="209"/>
      <c r="AJ731" s="209"/>
    </row>
    <row r="732" ht="12.75" customHeight="1">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I732" s="209"/>
      <c r="AJ732" s="209"/>
    </row>
    <row r="733" ht="12.75" customHeight="1">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I733" s="209"/>
      <c r="AJ733" s="209"/>
    </row>
    <row r="734" ht="12.75" customHeight="1">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I734" s="209"/>
      <c r="AJ734" s="209"/>
    </row>
    <row r="735" ht="12.75" customHeight="1">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I735" s="209"/>
      <c r="AJ735" s="209"/>
    </row>
    <row r="736" ht="12.75" customHeight="1">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I736" s="209"/>
      <c r="AJ736" s="209"/>
    </row>
    <row r="737" ht="12.75" customHeight="1">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I737" s="209"/>
      <c r="AJ737" s="209"/>
    </row>
    <row r="738" ht="12.75" customHeight="1">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I738" s="209"/>
      <c r="AJ738" s="209"/>
    </row>
    <row r="739" ht="12.75" customHeight="1">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I739" s="209"/>
      <c r="AJ739" s="209"/>
    </row>
    <row r="740" ht="12.75" customHeight="1">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I740" s="209"/>
      <c r="AJ740" s="209"/>
    </row>
    <row r="741" ht="12.75" customHeight="1">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I741" s="209"/>
      <c r="AJ741" s="209"/>
    </row>
    <row r="742" ht="12.75" customHeight="1">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I742" s="209"/>
      <c r="AJ742" s="209"/>
    </row>
    <row r="743" ht="12.75" customHeight="1">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I743" s="209"/>
      <c r="AJ743" s="209"/>
    </row>
    <row r="744" ht="12.75" customHeight="1">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I744" s="209"/>
      <c r="AJ744" s="209"/>
    </row>
    <row r="745" ht="12.75" customHeight="1">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I745" s="209"/>
      <c r="AJ745" s="209"/>
    </row>
    <row r="746" ht="12.75" customHeight="1">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I746" s="209"/>
      <c r="AJ746" s="209"/>
    </row>
    <row r="747" ht="12.75" customHeight="1">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I747" s="209"/>
      <c r="AJ747" s="209"/>
    </row>
    <row r="748" ht="12.75" customHeight="1">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I748" s="209"/>
      <c r="AJ748" s="209"/>
    </row>
    <row r="749" ht="12.75" customHeight="1">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I749" s="209"/>
      <c r="AJ749" s="209"/>
    </row>
    <row r="750" ht="12.75" customHeight="1">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I750" s="209"/>
      <c r="AJ750" s="209"/>
    </row>
    <row r="751" ht="12.75" customHeight="1">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I751" s="209"/>
      <c r="AJ751" s="209"/>
    </row>
    <row r="752" ht="12.75" customHeight="1">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I752" s="209"/>
      <c r="AJ752" s="209"/>
    </row>
    <row r="753" ht="12.75" customHeight="1">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I753" s="209"/>
      <c r="AJ753" s="209"/>
    </row>
    <row r="754" ht="12.75" customHeight="1">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I754" s="209"/>
      <c r="AJ754" s="209"/>
    </row>
    <row r="755" ht="12.75" customHeight="1">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I755" s="209"/>
      <c r="AJ755" s="209"/>
    </row>
    <row r="756" ht="12.75" customHeight="1">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I756" s="209"/>
      <c r="AJ756" s="209"/>
    </row>
    <row r="757" ht="12.75" customHeight="1">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I757" s="209"/>
      <c r="AJ757" s="209"/>
    </row>
    <row r="758" ht="12.75" customHeight="1">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I758" s="209"/>
      <c r="AJ758" s="209"/>
    </row>
    <row r="759" ht="12.75" customHeight="1">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I759" s="209"/>
      <c r="AJ759" s="209"/>
    </row>
    <row r="760" ht="12.75" customHeight="1">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I760" s="209"/>
      <c r="AJ760" s="209"/>
    </row>
    <row r="761" ht="12.75" customHeight="1">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I761" s="209"/>
      <c r="AJ761" s="209"/>
    </row>
    <row r="762" ht="12.75" customHeight="1">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I762" s="209"/>
      <c r="AJ762" s="209"/>
    </row>
    <row r="763" ht="12.75" customHeight="1">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I763" s="209"/>
      <c r="AJ763" s="209"/>
    </row>
    <row r="764" ht="12.75" customHeight="1">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I764" s="209"/>
      <c r="AJ764" s="209"/>
    </row>
    <row r="765" ht="12.75" customHeight="1">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I765" s="209"/>
      <c r="AJ765" s="209"/>
    </row>
    <row r="766" ht="12.75" customHeight="1">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I766" s="209"/>
      <c r="AJ766" s="209"/>
    </row>
    <row r="767" ht="12.75" customHeight="1">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I767" s="209"/>
      <c r="AJ767" s="209"/>
    </row>
    <row r="768" ht="12.75" customHeight="1">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I768" s="209"/>
      <c r="AJ768" s="209"/>
    </row>
    <row r="769" ht="12.75" customHeight="1">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I769" s="209"/>
      <c r="AJ769" s="209"/>
    </row>
    <row r="770" ht="12.75" customHeight="1">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I770" s="209"/>
      <c r="AJ770" s="209"/>
    </row>
    <row r="771" ht="12.75" customHeight="1">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I771" s="209"/>
      <c r="AJ771" s="209"/>
    </row>
    <row r="772" ht="12.75" customHeight="1">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I772" s="209"/>
      <c r="AJ772" s="209"/>
    </row>
    <row r="773" ht="12.75" customHeight="1">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I773" s="209"/>
      <c r="AJ773" s="209"/>
    </row>
    <row r="774" ht="12.75" customHeight="1">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I774" s="209"/>
      <c r="AJ774" s="209"/>
    </row>
    <row r="775" ht="12.75" customHeight="1">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I775" s="209"/>
      <c r="AJ775" s="209"/>
    </row>
    <row r="776" ht="12.75" customHeight="1">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I776" s="209"/>
      <c r="AJ776" s="209"/>
    </row>
    <row r="777" ht="12.75" customHeight="1">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I777" s="209"/>
      <c r="AJ777" s="209"/>
    </row>
    <row r="778" ht="12.75" customHeight="1">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I778" s="209"/>
      <c r="AJ778" s="209"/>
    </row>
    <row r="779" ht="12.75" customHeight="1">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I779" s="209"/>
      <c r="AJ779" s="209"/>
    </row>
    <row r="780" ht="12.75" customHeight="1">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I780" s="209"/>
      <c r="AJ780" s="209"/>
    </row>
    <row r="781" ht="12.75" customHeight="1">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I781" s="209"/>
      <c r="AJ781" s="209"/>
    </row>
    <row r="782" ht="12.75" customHeight="1">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I782" s="209"/>
      <c r="AJ782" s="209"/>
    </row>
    <row r="783" ht="12.75" customHeight="1">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I783" s="209"/>
      <c r="AJ783" s="209"/>
    </row>
    <row r="784" ht="12.75" customHeight="1">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I784" s="209"/>
      <c r="AJ784" s="209"/>
    </row>
    <row r="785" ht="12.75" customHeight="1">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I785" s="209"/>
      <c r="AJ785" s="209"/>
    </row>
    <row r="786" ht="12.75" customHeight="1">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I786" s="209"/>
      <c r="AJ786" s="209"/>
    </row>
    <row r="787" ht="12.75" customHeight="1">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I787" s="209"/>
      <c r="AJ787" s="209"/>
    </row>
    <row r="788" ht="12.75" customHeight="1">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I788" s="209"/>
      <c r="AJ788" s="209"/>
    </row>
    <row r="789" ht="12.75" customHeight="1">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I789" s="209"/>
      <c r="AJ789" s="209"/>
    </row>
    <row r="790" ht="12.75" customHeight="1">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I790" s="209"/>
      <c r="AJ790" s="209"/>
    </row>
    <row r="791" ht="12.75" customHeight="1">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I791" s="209"/>
      <c r="AJ791" s="209"/>
    </row>
    <row r="792" ht="12.75" customHeight="1">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I792" s="209"/>
      <c r="AJ792" s="209"/>
    </row>
    <row r="793" ht="12.75" customHeight="1">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I793" s="209"/>
      <c r="AJ793" s="209"/>
    </row>
    <row r="794" ht="12.75" customHeight="1">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I794" s="209"/>
      <c r="AJ794" s="209"/>
    </row>
    <row r="795" ht="12.75" customHeight="1">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I795" s="209"/>
      <c r="AJ795" s="209"/>
    </row>
    <row r="796" ht="12.75" customHeight="1">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I796" s="209"/>
      <c r="AJ796" s="209"/>
    </row>
    <row r="797" ht="12.75" customHeight="1">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I797" s="209"/>
      <c r="AJ797" s="209"/>
    </row>
    <row r="798" ht="12.75" customHeight="1">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I798" s="209"/>
      <c r="AJ798" s="209"/>
    </row>
    <row r="799" ht="12.75" customHeight="1">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I799" s="209"/>
      <c r="AJ799" s="209"/>
    </row>
    <row r="800" ht="12.75" customHeight="1">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I800" s="209"/>
      <c r="AJ800" s="209"/>
    </row>
    <row r="801" ht="12.75" customHeight="1">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I801" s="209"/>
      <c r="AJ801" s="209"/>
    </row>
    <row r="802" ht="12.75" customHeight="1">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I802" s="209"/>
      <c r="AJ802" s="209"/>
    </row>
    <row r="803" ht="12.75" customHeight="1">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I803" s="209"/>
      <c r="AJ803" s="209"/>
    </row>
    <row r="804" ht="12.75" customHeight="1">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I804" s="209"/>
      <c r="AJ804" s="209"/>
    </row>
    <row r="805" ht="12.75" customHeight="1">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I805" s="209"/>
      <c r="AJ805" s="209"/>
    </row>
    <row r="806" ht="12.75" customHeight="1">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I806" s="209"/>
      <c r="AJ806" s="209"/>
    </row>
    <row r="807" ht="12.75" customHeight="1">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I807" s="209"/>
      <c r="AJ807" s="209"/>
    </row>
    <row r="808" ht="12.75" customHeight="1">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I808" s="209"/>
      <c r="AJ808" s="209"/>
    </row>
    <row r="809" ht="12.75" customHeight="1">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I809" s="209"/>
      <c r="AJ809" s="209"/>
    </row>
    <row r="810" ht="12.75" customHeight="1">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I810" s="209"/>
      <c r="AJ810" s="209"/>
    </row>
    <row r="811" ht="12.75" customHeight="1">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I811" s="209"/>
      <c r="AJ811" s="209"/>
    </row>
    <row r="812" ht="12.75" customHeight="1">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I812" s="209"/>
      <c r="AJ812" s="209"/>
    </row>
    <row r="813" ht="12.75" customHeight="1">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I813" s="209"/>
      <c r="AJ813" s="209"/>
    </row>
    <row r="814" ht="12.75" customHeight="1">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I814" s="209"/>
      <c r="AJ814" s="209"/>
    </row>
    <row r="815" ht="12.75" customHeight="1">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I815" s="209"/>
      <c r="AJ815" s="209"/>
    </row>
    <row r="816" ht="12.75" customHeight="1">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I816" s="209"/>
      <c r="AJ816" s="209"/>
    </row>
    <row r="817" ht="12.75" customHeight="1">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I817" s="209"/>
      <c r="AJ817" s="209"/>
    </row>
    <row r="818" ht="12.75" customHeight="1">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I818" s="209"/>
      <c r="AJ818" s="209"/>
    </row>
    <row r="819" ht="12.75" customHeight="1">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I819" s="209"/>
      <c r="AJ819" s="209"/>
    </row>
    <row r="820" ht="12.75" customHeight="1">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I820" s="209"/>
      <c r="AJ820" s="209"/>
    </row>
    <row r="821" ht="12.75" customHeight="1">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I821" s="209"/>
      <c r="AJ821" s="209"/>
    </row>
    <row r="822" ht="12.75" customHeight="1">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I822" s="209"/>
      <c r="AJ822" s="209"/>
    </row>
    <row r="823" ht="12.75" customHeight="1">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I823" s="209"/>
      <c r="AJ823" s="209"/>
    </row>
    <row r="824" ht="12.75" customHeight="1">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I824" s="209"/>
      <c r="AJ824" s="209"/>
    </row>
    <row r="825" ht="12.75" customHeight="1">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I825" s="209"/>
      <c r="AJ825" s="209"/>
    </row>
    <row r="826" ht="12.75" customHeight="1">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I826" s="209"/>
      <c r="AJ826" s="209"/>
    </row>
    <row r="827" ht="12.75" customHeight="1">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I827" s="209"/>
      <c r="AJ827" s="209"/>
    </row>
    <row r="828" ht="12.75" customHeight="1">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I828" s="209"/>
      <c r="AJ828" s="209"/>
    </row>
    <row r="829" ht="12.75" customHeight="1">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I829" s="209"/>
      <c r="AJ829" s="209"/>
    </row>
    <row r="830" ht="12.75" customHeight="1">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I830" s="209"/>
      <c r="AJ830" s="209"/>
    </row>
    <row r="831" ht="12.75" customHeight="1">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I831" s="209"/>
      <c r="AJ831" s="209"/>
    </row>
    <row r="832" ht="12.75" customHeight="1">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I832" s="209"/>
      <c r="AJ832" s="209"/>
    </row>
    <row r="833" ht="12.75" customHeight="1">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I833" s="209"/>
      <c r="AJ833" s="209"/>
    </row>
    <row r="834" ht="12.75" customHeight="1">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I834" s="209"/>
      <c r="AJ834" s="209"/>
    </row>
    <row r="835" ht="12.75" customHeight="1">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I835" s="209"/>
      <c r="AJ835" s="209"/>
    </row>
    <row r="836" ht="12.75" customHeight="1">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I836" s="209"/>
      <c r="AJ836" s="209"/>
    </row>
    <row r="837" ht="12.75" customHeight="1">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I837" s="209"/>
      <c r="AJ837" s="209"/>
    </row>
    <row r="838" ht="12.75" customHeight="1">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I838" s="209"/>
      <c r="AJ838" s="209"/>
    </row>
    <row r="839" ht="12.75" customHeight="1">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I839" s="209"/>
      <c r="AJ839" s="209"/>
    </row>
    <row r="840" ht="12.75" customHeight="1">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I840" s="209"/>
      <c r="AJ840" s="209"/>
    </row>
    <row r="841" ht="12.75" customHeight="1">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I841" s="209"/>
      <c r="AJ841" s="209"/>
    </row>
    <row r="842" ht="12.75" customHeight="1">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I842" s="209"/>
      <c r="AJ842" s="209"/>
    </row>
    <row r="843" ht="12.75" customHeight="1">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I843" s="209"/>
      <c r="AJ843" s="209"/>
    </row>
    <row r="844" ht="12.75" customHeight="1">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I844" s="209"/>
      <c r="AJ844" s="209"/>
    </row>
    <row r="845" ht="12.75" customHeight="1">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I845" s="209"/>
      <c r="AJ845" s="209"/>
    </row>
    <row r="846" ht="12.75" customHeight="1">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I846" s="209"/>
      <c r="AJ846" s="209"/>
    </row>
    <row r="847" ht="12.75" customHeight="1">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I847" s="209"/>
      <c r="AJ847" s="209"/>
    </row>
    <row r="848" ht="12.75" customHeight="1">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I848" s="209"/>
      <c r="AJ848" s="209"/>
    </row>
    <row r="849" ht="12.75" customHeight="1">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I849" s="209"/>
      <c r="AJ849" s="209"/>
    </row>
    <row r="850" ht="12.75" customHeight="1">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I850" s="209"/>
      <c r="AJ850" s="209"/>
    </row>
    <row r="851" ht="12.75" customHeight="1">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I851" s="209"/>
      <c r="AJ851" s="209"/>
    </row>
    <row r="852" ht="12.75" customHeight="1">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I852" s="209"/>
      <c r="AJ852" s="209"/>
    </row>
    <row r="853" ht="12.75" customHeight="1">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I853" s="209"/>
      <c r="AJ853" s="209"/>
    </row>
    <row r="854" ht="12.75" customHeight="1">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I854" s="209"/>
      <c r="AJ854" s="209"/>
    </row>
    <row r="855" ht="12.75" customHeight="1">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I855" s="209"/>
      <c r="AJ855" s="209"/>
    </row>
    <row r="856" ht="12.75" customHeight="1">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I856" s="209"/>
      <c r="AJ856" s="209"/>
    </row>
    <row r="857" ht="12.75" customHeight="1">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I857" s="209"/>
      <c r="AJ857" s="209"/>
    </row>
    <row r="858" ht="12.75" customHeight="1">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I858" s="209"/>
      <c r="AJ858" s="209"/>
    </row>
    <row r="859" ht="12.75" customHeight="1">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I859" s="209"/>
      <c r="AJ859" s="209"/>
    </row>
    <row r="860" ht="12.75" customHeight="1">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I860" s="209"/>
      <c r="AJ860" s="209"/>
    </row>
    <row r="861" ht="12.75" customHeight="1">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I861" s="209"/>
      <c r="AJ861" s="209"/>
    </row>
    <row r="862" ht="12.75" customHeight="1">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I862" s="209"/>
      <c r="AJ862" s="209"/>
    </row>
    <row r="863" ht="12.75" customHeight="1">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I863" s="209"/>
      <c r="AJ863" s="209"/>
    </row>
    <row r="864" ht="12.75" customHeight="1">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I864" s="209"/>
      <c r="AJ864" s="209"/>
    </row>
    <row r="865" ht="12.75" customHeight="1">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I865" s="209"/>
      <c r="AJ865" s="209"/>
    </row>
    <row r="866" ht="12.75" customHeight="1">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I866" s="209"/>
      <c r="AJ866" s="209"/>
    </row>
    <row r="867" ht="12.75" customHeight="1">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I867" s="209"/>
      <c r="AJ867" s="209"/>
    </row>
    <row r="868" ht="12.75" customHeight="1">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I868" s="209"/>
      <c r="AJ868" s="209"/>
    </row>
    <row r="869" ht="12.75" customHeight="1">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I869" s="209"/>
      <c r="AJ869" s="209"/>
    </row>
    <row r="870" ht="12.75" customHeight="1">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I870" s="209"/>
      <c r="AJ870" s="209"/>
    </row>
    <row r="871" ht="12.75" customHeight="1">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I871" s="209"/>
      <c r="AJ871" s="209"/>
    </row>
    <row r="872" ht="12.75" customHeight="1">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I872" s="209"/>
      <c r="AJ872" s="209"/>
    </row>
    <row r="873" ht="12.75" customHeight="1">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I873" s="209"/>
      <c r="AJ873" s="209"/>
    </row>
    <row r="874" ht="12.75" customHeight="1">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I874" s="209"/>
      <c r="AJ874" s="209"/>
    </row>
    <row r="875" ht="12.75" customHeight="1">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I875" s="209"/>
      <c r="AJ875" s="209"/>
    </row>
    <row r="876" ht="12.75" customHeight="1">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I876" s="209"/>
      <c r="AJ876" s="209"/>
    </row>
    <row r="877" ht="12.75" customHeight="1">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I877" s="209"/>
      <c r="AJ877" s="209"/>
    </row>
    <row r="878" ht="12.75" customHeight="1">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I878" s="209"/>
      <c r="AJ878" s="209"/>
    </row>
    <row r="879" ht="12.75" customHeight="1">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I879" s="209"/>
      <c r="AJ879" s="209"/>
    </row>
    <row r="880" ht="12.75" customHeight="1">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I880" s="209"/>
      <c r="AJ880" s="209"/>
    </row>
    <row r="881" ht="12.75" customHeight="1">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I881" s="209"/>
      <c r="AJ881" s="209"/>
    </row>
    <row r="882" ht="12.75" customHeight="1">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I882" s="209"/>
      <c r="AJ882" s="209"/>
    </row>
    <row r="883" ht="12.75" customHeight="1">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I883" s="209"/>
      <c r="AJ883" s="209"/>
    </row>
    <row r="884" ht="12.75" customHeight="1">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I884" s="209"/>
      <c r="AJ884" s="209"/>
    </row>
    <row r="885" ht="12.75" customHeight="1">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I885" s="209"/>
      <c r="AJ885" s="209"/>
    </row>
    <row r="886" ht="12.75" customHeight="1">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I886" s="209"/>
      <c r="AJ886" s="209"/>
    </row>
    <row r="887" ht="12.75" customHeight="1">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I887" s="209"/>
      <c r="AJ887" s="209"/>
    </row>
    <row r="888" ht="12.75" customHeight="1">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I888" s="209"/>
      <c r="AJ888" s="209"/>
    </row>
    <row r="889" ht="12.75" customHeight="1">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I889" s="209"/>
      <c r="AJ889" s="209"/>
    </row>
    <row r="890" ht="12.75" customHeight="1">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I890" s="209"/>
      <c r="AJ890" s="209"/>
    </row>
    <row r="891" ht="12.75" customHeight="1">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I891" s="209"/>
      <c r="AJ891" s="209"/>
    </row>
    <row r="892" ht="12.75" customHeight="1">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I892" s="209"/>
      <c r="AJ892" s="209"/>
    </row>
    <row r="893" ht="12.75" customHeight="1">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I893" s="209"/>
      <c r="AJ893" s="209"/>
    </row>
    <row r="894" ht="12.75" customHeight="1">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I894" s="209"/>
      <c r="AJ894" s="209"/>
    </row>
    <row r="895" ht="12.75" customHeight="1">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I895" s="209"/>
      <c r="AJ895" s="209"/>
    </row>
    <row r="896" ht="12.75" customHeight="1">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I896" s="209"/>
      <c r="AJ896" s="209"/>
    </row>
    <row r="897" ht="12.75" customHeight="1">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I897" s="209"/>
      <c r="AJ897" s="209"/>
    </row>
    <row r="898" ht="12.75" customHeight="1">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I898" s="209"/>
      <c r="AJ898" s="209"/>
    </row>
    <row r="899" ht="12.75" customHeight="1">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I899" s="209"/>
      <c r="AJ899" s="209"/>
    </row>
    <row r="900" ht="12.75" customHeight="1">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I900" s="209"/>
      <c r="AJ900" s="209"/>
    </row>
    <row r="901" ht="12.75" customHeight="1">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I901" s="209"/>
      <c r="AJ901" s="209"/>
    </row>
    <row r="902" ht="12.75" customHeight="1">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I902" s="209"/>
      <c r="AJ902" s="209"/>
    </row>
    <row r="903" ht="12.75" customHeight="1">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I903" s="209"/>
      <c r="AJ903" s="209"/>
    </row>
    <row r="904" ht="12.75" customHeight="1">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I904" s="209"/>
      <c r="AJ904" s="209"/>
    </row>
    <row r="905" ht="12.75" customHeight="1">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I905" s="209"/>
      <c r="AJ905" s="209"/>
    </row>
    <row r="906" ht="12.75" customHeight="1">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I906" s="209"/>
      <c r="AJ906" s="209"/>
    </row>
    <row r="907" ht="12.75" customHeight="1">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I907" s="209"/>
      <c r="AJ907" s="209"/>
    </row>
    <row r="908" ht="12.75" customHeight="1">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I908" s="209"/>
      <c r="AJ908" s="209"/>
    </row>
    <row r="909" ht="12.75" customHeight="1">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I909" s="209"/>
      <c r="AJ909" s="209"/>
    </row>
    <row r="910" ht="12.75" customHeight="1">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I910" s="209"/>
      <c r="AJ910" s="209"/>
    </row>
    <row r="911" ht="12.75" customHeight="1">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I911" s="209"/>
      <c r="AJ911" s="209"/>
    </row>
    <row r="912" ht="12.75" customHeight="1">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I912" s="209"/>
      <c r="AJ912" s="209"/>
    </row>
    <row r="913" ht="12.75" customHeight="1">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I913" s="209"/>
      <c r="AJ913" s="209"/>
    </row>
    <row r="914" ht="12.75" customHeight="1">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I914" s="209"/>
      <c r="AJ914" s="209"/>
    </row>
    <row r="915" ht="12.75" customHeight="1">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I915" s="209"/>
      <c r="AJ915" s="209"/>
    </row>
    <row r="916" ht="12.75" customHeight="1">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I916" s="209"/>
      <c r="AJ916" s="209"/>
    </row>
    <row r="917" ht="12.75" customHeight="1">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I917" s="209"/>
      <c r="AJ917" s="209"/>
    </row>
    <row r="918" ht="12.75" customHeight="1">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I918" s="209"/>
      <c r="AJ918" s="209"/>
    </row>
    <row r="919" ht="12.75" customHeight="1">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I919" s="209"/>
      <c r="AJ919" s="209"/>
    </row>
    <row r="920" ht="12.75" customHeight="1">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I920" s="209"/>
      <c r="AJ920" s="209"/>
    </row>
    <row r="921" ht="12.75" customHeight="1">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I921" s="209"/>
      <c r="AJ921" s="209"/>
    </row>
    <row r="922" ht="12.75" customHeight="1">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I922" s="209"/>
      <c r="AJ922" s="209"/>
    </row>
    <row r="923" ht="12.75" customHeight="1">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I923" s="209"/>
      <c r="AJ923" s="209"/>
    </row>
    <row r="924" ht="12.75" customHeight="1">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I924" s="209"/>
      <c r="AJ924" s="209"/>
    </row>
    <row r="925" ht="12.75" customHeight="1">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I925" s="209"/>
      <c r="AJ925" s="209"/>
    </row>
    <row r="926" ht="12.75" customHeight="1">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I926" s="209"/>
      <c r="AJ926" s="209"/>
    </row>
    <row r="927" ht="12.75" customHeight="1">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I927" s="209"/>
      <c r="AJ927" s="209"/>
    </row>
    <row r="928" ht="12.75" customHeight="1">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I928" s="209"/>
      <c r="AJ928" s="209"/>
    </row>
    <row r="929" ht="12.75" customHeight="1">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I929" s="209"/>
      <c r="AJ929" s="209"/>
    </row>
    <row r="930" ht="12.75" customHeight="1">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I930" s="209"/>
      <c r="AJ930" s="209"/>
    </row>
    <row r="931" ht="12.75" customHeight="1">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I931" s="209"/>
      <c r="AJ931" s="209"/>
    </row>
    <row r="932" ht="12.75" customHeight="1">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I932" s="209"/>
      <c r="AJ932" s="209"/>
    </row>
    <row r="933" ht="12.75" customHeight="1">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I933" s="209"/>
      <c r="AJ933" s="209"/>
    </row>
    <row r="934" ht="12.75" customHeight="1">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I934" s="209"/>
      <c r="AJ934" s="209"/>
    </row>
    <row r="935" ht="12.75" customHeight="1">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I935" s="209"/>
      <c r="AJ935" s="209"/>
    </row>
    <row r="936" ht="12.75" customHeight="1">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I936" s="209"/>
      <c r="AJ936" s="209"/>
    </row>
    <row r="937" ht="12.75" customHeight="1">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I937" s="209"/>
      <c r="AJ937" s="209"/>
    </row>
    <row r="938" ht="12.75" customHeight="1">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I938" s="209"/>
      <c r="AJ938" s="209"/>
    </row>
    <row r="939" ht="12.75" customHeight="1">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I939" s="209"/>
      <c r="AJ939" s="209"/>
    </row>
    <row r="940" ht="12.75" customHeight="1">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I940" s="209"/>
      <c r="AJ940" s="209"/>
    </row>
    <row r="941" ht="12.75" customHeight="1">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I941" s="209"/>
      <c r="AJ941" s="209"/>
    </row>
    <row r="942" ht="12.75" customHeight="1">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I942" s="209"/>
      <c r="AJ942" s="209"/>
    </row>
    <row r="943" ht="12.75" customHeight="1">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I943" s="209"/>
      <c r="AJ943" s="209"/>
    </row>
    <row r="944" ht="12.75" customHeight="1">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I944" s="209"/>
      <c r="AJ944" s="209"/>
    </row>
    <row r="945" ht="12.75" customHeight="1">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I945" s="209"/>
      <c r="AJ945" s="209"/>
    </row>
    <row r="946" ht="12.75" customHeight="1">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I946" s="209"/>
      <c r="AJ946" s="209"/>
    </row>
    <row r="947" ht="12.75" customHeight="1">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I947" s="209"/>
      <c r="AJ947" s="209"/>
    </row>
    <row r="948" ht="12.75" customHeight="1">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I948" s="209"/>
      <c r="AJ948" s="209"/>
    </row>
    <row r="949" ht="12.75" customHeight="1">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I949" s="209"/>
      <c r="AJ949" s="209"/>
    </row>
    <row r="950" ht="12.75" customHeight="1">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I950" s="209"/>
      <c r="AJ950" s="209"/>
    </row>
    <row r="951" ht="12.75" customHeight="1">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I951" s="209"/>
      <c r="AJ951" s="209"/>
    </row>
    <row r="952" ht="12.75" customHeight="1">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I952" s="209"/>
      <c r="AJ952" s="209"/>
    </row>
    <row r="953" ht="12.75" customHeight="1">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I953" s="209"/>
      <c r="AJ953" s="209"/>
    </row>
    <row r="954" ht="12.75" customHeight="1">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I954" s="209"/>
      <c r="AJ954" s="209"/>
    </row>
    <row r="955" ht="12.75" customHeight="1">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I955" s="209"/>
      <c r="AJ955" s="209"/>
    </row>
    <row r="956" ht="12.75" customHeight="1">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I956" s="209"/>
      <c r="AJ956" s="209"/>
    </row>
    <row r="957" ht="12.75" customHeight="1">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I957" s="209"/>
      <c r="AJ957" s="209"/>
    </row>
    <row r="958" ht="12.75" customHeight="1">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I958" s="209"/>
      <c r="AJ958" s="209"/>
    </row>
    <row r="959" ht="12.75" customHeight="1">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I959" s="209"/>
      <c r="AJ959" s="209"/>
    </row>
    <row r="960" ht="12.75" customHeight="1">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I960" s="209"/>
      <c r="AJ960" s="209"/>
    </row>
    <row r="961" ht="12.75" customHeight="1">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I961" s="209"/>
      <c r="AJ961" s="209"/>
    </row>
    <row r="962" ht="12.75" customHeight="1">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I962" s="209"/>
      <c r="AJ962" s="209"/>
    </row>
    <row r="963" ht="12.75" customHeight="1">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I963" s="209"/>
      <c r="AJ963" s="209"/>
    </row>
    <row r="964" ht="12.75" customHeight="1">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I964" s="209"/>
      <c r="AJ964" s="209"/>
    </row>
    <row r="965" ht="12.75" customHeight="1">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I965" s="209"/>
      <c r="AJ965" s="209"/>
    </row>
    <row r="966" ht="12.75" customHeight="1">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I966" s="209"/>
      <c r="AJ966" s="209"/>
    </row>
    <row r="967" ht="12.75" customHeight="1">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I967" s="209"/>
      <c r="AJ967" s="209"/>
    </row>
    <row r="968" ht="12.75" customHeight="1">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I968" s="209"/>
      <c r="AJ968" s="209"/>
    </row>
    <row r="969" ht="12.75" customHeight="1">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I969" s="209"/>
      <c r="AJ969" s="209"/>
    </row>
    <row r="970" ht="12.75" customHeight="1">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I970" s="209"/>
      <c r="AJ970" s="209"/>
    </row>
    <row r="971" ht="12.75" customHeight="1">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I971" s="209"/>
      <c r="AJ971" s="209"/>
    </row>
    <row r="972" ht="12.75" customHeight="1">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I972" s="209"/>
      <c r="AJ972" s="209"/>
    </row>
    <row r="973" ht="12.75" customHeight="1">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I973" s="209"/>
      <c r="AJ973" s="209"/>
    </row>
    <row r="974" ht="12.75" customHeight="1">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I974" s="209"/>
      <c r="AJ974" s="209"/>
    </row>
    <row r="975" ht="12.75" customHeight="1">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I975" s="209"/>
      <c r="AJ975" s="209"/>
    </row>
    <row r="976" ht="12.75" customHeight="1">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I976" s="209"/>
      <c r="AJ976" s="209"/>
    </row>
    <row r="977" ht="12.75" customHeight="1">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I977" s="209"/>
      <c r="AJ977" s="209"/>
    </row>
    <row r="978" ht="12.75" customHeight="1">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I978" s="209"/>
      <c r="AJ978" s="209"/>
    </row>
    <row r="979" ht="12.75" customHeight="1">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I979" s="209"/>
      <c r="AJ979" s="209"/>
    </row>
    <row r="980" ht="12.75" customHeight="1">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I980" s="209"/>
      <c r="AJ980" s="209"/>
    </row>
    <row r="981" ht="12.75" customHeight="1">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I981" s="209"/>
      <c r="AJ981" s="209"/>
    </row>
    <row r="982" ht="12.75" customHeight="1">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I982" s="209"/>
      <c r="AJ982" s="209"/>
    </row>
    <row r="983" ht="12.75" customHeight="1">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I983" s="209"/>
      <c r="AJ983" s="209"/>
    </row>
    <row r="984" ht="12.75" customHeight="1">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I984" s="209"/>
      <c r="AJ984" s="209"/>
    </row>
    <row r="985" ht="12.75" customHeight="1">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I985" s="209"/>
      <c r="AJ985" s="209"/>
    </row>
    <row r="986" ht="12.75" customHeight="1">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I986" s="209"/>
      <c r="AJ986" s="209"/>
    </row>
    <row r="987" ht="12.75" customHeight="1">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I987" s="209"/>
      <c r="AJ987" s="209"/>
    </row>
    <row r="988" ht="12.75" customHeight="1">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c r="AB988" s="209"/>
      <c r="AC988" s="209"/>
      <c r="AI988" s="209"/>
      <c r="AJ988" s="209"/>
    </row>
    <row r="989" ht="12.75" customHeight="1">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c r="AB989" s="209"/>
      <c r="AC989" s="209"/>
      <c r="AI989" s="209"/>
      <c r="AJ989" s="209"/>
    </row>
    <row r="990" ht="12.75" customHeight="1">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c r="AB990" s="209"/>
      <c r="AC990" s="209"/>
      <c r="AI990" s="209"/>
      <c r="AJ990" s="209"/>
    </row>
    <row r="991" ht="12.75" customHeight="1">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c r="AB991" s="209"/>
      <c r="AC991" s="209"/>
      <c r="AI991" s="209"/>
      <c r="AJ991" s="209"/>
    </row>
    <row r="992" ht="12.75" customHeight="1">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c r="AB992" s="209"/>
      <c r="AC992" s="209"/>
      <c r="AI992" s="209"/>
      <c r="AJ992" s="209"/>
    </row>
    <row r="993" ht="12.75" customHeight="1">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c r="AB993" s="209"/>
      <c r="AC993" s="209"/>
      <c r="AI993" s="209"/>
      <c r="AJ993" s="209"/>
    </row>
    <row r="994" ht="12.75" customHeight="1">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c r="AB994" s="209"/>
      <c r="AC994" s="209"/>
      <c r="AI994" s="209"/>
      <c r="AJ994" s="209"/>
    </row>
    <row r="995" ht="12.75" customHeight="1">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c r="AB995" s="209"/>
      <c r="AC995" s="209"/>
      <c r="AI995" s="209"/>
      <c r="AJ995" s="209"/>
    </row>
    <row r="996" ht="12.75" customHeight="1">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c r="AB996" s="209"/>
      <c r="AC996" s="209"/>
      <c r="AI996" s="209"/>
      <c r="AJ996" s="209"/>
    </row>
    <row r="997" ht="12.75" customHeight="1">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c r="AB997" s="209"/>
      <c r="AC997" s="209"/>
      <c r="AI997" s="209"/>
      <c r="AJ997" s="209"/>
    </row>
    <row r="998" ht="12.75" customHeight="1">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c r="AB998" s="209"/>
      <c r="AC998" s="209"/>
      <c r="AI998" s="209"/>
      <c r="AJ998" s="209"/>
    </row>
    <row r="999" ht="12.75" customHeight="1">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c r="AB999" s="209"/>
      <c r="AC999" s="209"/>
      <c r="AI999" s="209"/>
      <c r="AJ999" s="209"/>
    </row>
    <row r="1000" ht="12.75" customHeight="1">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c r="AB1000" s="209"/>
      <c r="AC1000" s="209"/>
      <c r="AI1000" s="209"/>
      <c r="AJ1000" s="209"/>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198"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1" t="s">
        <v>1443</v>
      </c>
      <c r="B1" s="221" t="s">
        <v>1444</v>
      </c>
      <c r="C1" s="221" t="s">
        <v>1445</v>
      </c>
      <c r="D1" s="221" t="s">
        <v>1267</v>
      </c>
      <c r="E1" s="221" t="s">
        <v>1446</v>
      </c>
      <c r="F1" s="221" t="s">
        <v>1447</v>
      </c>
      <c r="G1" s="221" t="s">
        <v>1448</v>
      </c>
      <c r="H1" s="221" t="s">
        <v>1449</v>
      </c>
      <c r="I1" s="221" t="s">
        <v>1450</v>
      </c>
      <c r="J1" s="222" t="s">
        <v>1451</v>
      </c>
      <c r="K1" s="221" t="s">
        <v>1452</v>
      </c>
      <c r="L1" s="221" t="s">
        <v>1453</v>
      </c>
      <c r="M1" s="221" t="s">
        <v>1454</v>
      </c>
      <c r="N1" s="221" t="s">
        <v>1455</v>
      </c>
      <c r="O1" s="221" t="s">
        <v>1456</v>
      </c>
      <c r="P1" s="221" t="s">
        <v>1457</v>
      </c>
      <c r="Q1" s="221" t="s">
        <v>1458</v>
      </c>
      <c r="R1" s="221" t="s">
        <v>1459</v>
      </c>
      <c r="S1" s="221" t="s">
        <v>1460</v>
      </c>
      <c r="T1" s="221" t="s">
        <v>1461</v>
      </c>
      <c r="U1" s="221" t="s">
        <v>882</v>
      </c>
      <c r="V1" s="223" t="s">
        <v>1462</v>
      </c>
      <c r="W1" s="223" t="s">
        <v>1463</v>
      </c>
      <c r="X1" s="223" t="s">
        <v>1464</v>
      </c>
      <c r="Y1" s="223" t="s">
        <v>1465</v>
      </c>
      <c r="Z1" s="223" t="s">
        <v>1466</v>
      </c>
      <c r="AA1" s="223" t="s">
        <v>1467</v>
      </c>
      <c r="AB1" s="224" t="s">
        <v>1468</v>
      </c>
      <c r="AC1" s="224" t="s">
        <v>1469</v>
      </c>
      <c r="AD1" s="224" t="s">
        <v>1470</v>
      </c>
      <c r="AE1" s="224" t="s">
        <v>1471</v>
      </c>
      <c r="AF1" s="224" t="s">
        <v>1472</v>
      </c>
      <c r="AG1" s="224" t="s">
        <v>1473</v>
      </c>
      <c r="AH1" s="225" t="s">
        <v>1474</v>
      </c>
      <c r="AI1" s="225" t="s">
        <v>1475</v>
      </c>
      <c r="AJ1" s="225" t="s">
        <v>1476</v>
      </c>
      <c r="AK1" s="225" t="s">
        <v>1477</v>
      </c>
      <c r="AL1" s="225" t="s">
        <v>1478</v>
      </c>
      <c r="AM1" s="225" t="s">
        <v>1479</v>
      </c>
      <c r="AN1" s="226" t="s">
        <v>1480</v>
      </c>
      <c r="AO1" s="226" t="s">
        <v>1481</v>
      </c>
      <c r="AP1" s="226" t="s">
        <v>1482</v>
      </c>
      <c r="AQ1" s="226" t="s">
        <v>1483</v>
      </c>
      <c r="AR1" s="226" t="s">
        <v>1484</v>
      </c>
      <c r="AS1" s="226" t="s">
        <v>1485</v>
      </c>
      <c r="AT1" s="227" t="s">
        <v>1486</v>
      </c>
      <c r="AU1" s="227" t="s">
        <v>1487</v>
      </c>
      <c r="AV1" s="227" t="s">
        <v>1488</v>
      </c>
      <c r="AW1" s="227" t="s">
        <v>1489</v>
      </c>
      <c r="AX1" s="227" t="s">
        <v>1490</v>
      </c>
      <c r="AY1" s="227" t="s">
        <v>1491</v>
      </c>
      <c r="AZ1" s="228" t="s">
        <v>1492</v>
      </c>
      <c r="BA1" s="221" t="s">
        <v>1493</v>
      </c>
      <c r="BB1" s="221" t="s">
        <v>1494</v>
      </c>
      <c r="BC1" s="221" t="s">
        <v>1495</v>
      </c>
      <c r="BD1" s="229" t="s">
        <v>1496</v>
      </c>
    </row>
    <row r="2" ht="12.75" customHeight="1">
      <c r="A2" s="1" t="s">
        <v>10</v>
      </c>
      <c r="B2" s="1" t="s">
        <v>10</v>
      </c>
      <c r="C2" s="202" t="s">
        <v>1276</v>
      </c>
      <c r="D2" s="202" t="s">
        <v>1497</v>
      </c>
      <c r="E2" s="230">
        <v>3.2136E10</v>
      </c>
      <c r="F2" s="230" t="str">
        <f>IF(ISNUMBER(Table1[[#This Row],[2019 Scope 3 ]]),IF(Table1[[#This Row],[Net Earnings/Income (2019)]]-k_cost*Table1[[#This Row],[2019 Total Scope 1, 2 + 3]]&lt;0,"Y","N"),"NA")</f>
        <v>#ERROR!</v>
      </c>
      <c r="G2" s="62" t="str">
        <f>IF(ISNUMBER(Table1[[#This Row],[2019 Scope 3 ]]),IF(k_cost*Table1[[#This Row],[2019 Total Scope 1, 2 + 3]]/Table1[[#This Row],[Size (2019 Revenue)]]&gt;k_rev_max,"Y","N"),"NA")</f>
        <v>#ERROR!</v>
      </c>
      <c r="H2" s="62" t="str">
        <f>IF(OR(Table1[[#This Row],[Net earnings post carbon price @85/t]]="Y",Table1[[#This Row],[Carbon costs in % revenue]] = "Y"),"Y",IF(OR(Table1[[#This Row],[Net earnings post carbon price @85/t]]="NA",Table1[[#This Row],[Carbon costs in % revenue]]="NA"),"NA","N"))</f>
        <v>#ERROR!</v>
      </c>
      <c r="I2" s="230">
        <v>4.57E9</v>
      </c>
      <c r="J2" s="231">
        <v>1978.0</v>
      </c>
      <c r="K2" s="230" t="s">
        <v>1498</v>
      </c>
      <c r="L2" s="1" t="s">
        <v>1499</v>
      </c>
      <c r="M2" s="202" t="s">
        <v>1499</v>
      </c>
      <c r="P2" s="232">
        <v>9150000.0</v>
      </c>
      <c r="Q2" s="1" t="s">
        <v>1499</v>
      </c>
      <c r="R2" s="1" t="s">
        <v>1498</v>
      </c>
      <c r="S2" s="1">
        <v>2050.0</v>
      </c>
      <c r="T2" s="218" t="str">
        <f>IFERROR((Table1[[#This Row],[2019 Total Scope 1, 2 + 3]])/Table1[[#This Row],[2018 Total Scope 1, 2 + Scope 3]]-1,"NA")</f>
        <v>#ERROR!</v>
      </c>
      <c r="V2" s="233">
        <v>4050000.0</v>
      </c>
      <c r="W2" s="233">
        <v>1320000.0</v>
      </c>
      <c r="X2" s="233"/>
      <c r="Y2" s="233">
        <f t="shared" ref="Y2:Y70" si="1">IFERROR(V2+W2-X2,"")</f>
        <v>5370000</v>
      </c>
      <c r="Z2" s="233">
        <v>8920000.0</v>
      </c>
      <c r="AA2" s="233">
        <f t="shared" ref="AA2:AA101" si="2">IFERROR(Y2+Z2,"")</f>
        <v>14290000</v>
      </c>
      <c r="AB2" s="233">
        <v>4790000.0</v>
      </c>
      <c r="AC2" s="233">
        <v>1480000.0</v>
      </c>
      <c r="AD2" s="233"/>
      <c r="AE2" s="233">
        <f t="shared" ref="AE2:AE70" si="3">IFERROR(AB2+AC2-AD2,"")</f>
        <v>6270000</v>
      </c>
      <c r="AF2" s="233">
        <v>9530000.0</v>
      </c>
      <c r="AG2" s="233">
        <f t="shared" ref="AG2:AG101" si="4">IFERROR(AE2+AF2,"")</f>
        <v>15800000</v>
      </c>
      <c r="AH2" s="233">
        <v>3960000.0</v>
      </c>
      <c r="AI2" s="233">
        <v>1650000.0</v>
      </c>
      <c r="AJ2" s="233"/>
      <c r="AK2" s="233">
        <f t="shared" ref="AK2:AK70" si="5">IFERROR(AH2+AI2-AJ2,"")</f>
        <v>5610000</v>
      </c>
      <c r="AL2" s="233">
        <v>9280000.0</v>
      </c>
      <c r="AM2" s="233">
        <f t="shared" ref="AM2:AM101" si="6">IFERROR(AK2+AL2,"")</f>
        <v>14890000</v>
      </c>
      <c r="AN2" s="233">
        <v>4140000.0</v>
      </c>
      <c r="AO2" s="233">
        <v>1780000.0</v>
      </c>
      <c r="AP2" s="233"/>
      <c r="AQ2" s="233">
        <f t="shared" ref="AQ2:AQ42" si="7">IFERROR(AN2+AO2-AP2,"")</f>
        <v>5920000</v>
      </c>
      <c r="AR2" s="233">
        <v>9420000.0</v>
      </c>
      <c r="AS2" s="233">
        <f t="shared" ref="AS2:AS101" si="8">IFERROR(AQ2+AR2,"")</f>
        <v>15340000</v>
      </c>
      <c r="AT2" s="233">
        <v>3770000.0</v>
      </c>
      <c r="AU2" s="233">
        <v>1930000.0</v>
      </c>
      <c r="AV2" s="233"/>
      <c r="AW2" s="233">
        <f t="shared" ref="AW2:AW42" si="9">IFERROR(AT2+AU2-AV2,"")</f>
        <v>5700000</v>
      </c>
      <c r="AX2" s="233">
        <f>6860000+577000+621000+780000+254000+55800+356000</f>
        <v>9503800</v>
      </c>
      <c r="AY2" s="233">
        <f t="shared" ref="AY2:AY101" si="10">IFERROR(AW2+AX2,"")</f>
        <v>15203800</v>
      </c>
      <c r="AZ2" s="216" t="s">
        <v>1498</v>
      </c>
      <c r="BA2" s="234" t="s">
        <v>1500</v>
      </c>
      <c r="BD2" s="235"/>
    </row>
    <row r="3" ht="12.75" customHeight="1">
      <c r="A3" s="1" t="s">
        <v>15</v>
      </c>
      <c r="B3" s="202" t="s">
        <v>15</v>
      </c>
      <c r="C3" s="202" t="s">
        <v>1283</v>
      </c>
      <c r="D3" s="202" t="s">
        <v>1501</v>
      </c>
      <c r="E3" s="236">
        <v>3.1904E10</v>
      </c>
      <c r="F3" s="230" t="str">
        <f>IF(ISNUMBER(Table1[[#This Row],[2019 Scope 3 ]]),IF(Table1[[#This Row],[Net Earnings/Income (2019)]]-k_cost*Table1[[#This Row],[2019 Total Scope 1, 2 + 3]]&lt;0,"Y","N"),"NA")</f>
        <v>#ERROR!</v>
      </c>
      <c r="G3" s="62" t="str">
        <f>IF(ISNUMBER(Table1[[#This Row],[2019 Scope 3 ]]),IF(k_cost*Table1[[#This Row],[2019 Total Scope 1, 2 + 3]]/Table1[[#This Row],[Size (2019 Revenue)]]&gt;k_rev_max,"Y","N"),"NA")</f>
        <v>#ERROR!</v>
      </c>
      <c r="H3" s="62" t="str">
        <f>IF(OR(Table1[[#This Row],[Net earnings post carbon price @85/t]]="Y",Table1[[#This Row],[Carbon costs in % revenue]] = "Y"),"Y",IF(OR(Table1[[#This Row],[Net earnings post carbon price @85/t]]="NA",Table1[[#This Row],[Carbon costs in % revenue]]="NA"),"NA","N"))</f>
        <v>#ERROR!</v>
      </c>
      <c r="I3" s="236">
        <v>3.687E9</v>
      </c>
      <c r="J3" s="231">
        <v>1929.0</v>
      </c>
      <c r="K3" s="202" t="s">
        <v>1498</v>
      </c>
      <c r="L3" s="202" t="s">
        <v>1499</v>
      </c>
      <c r="M3" s="202" t="s">
        <v>1499</v>
      </c>
      <c r="N3" s="202"/>
      <c r="O3" s="202"/>
      <c r="P3" s="232">
        <v>742000.0</v>
      </c>
      <c r="Q3" s="1" t="s">
        <v>1499</v>
      </c>
      <c r="R3" s="202" t="s">
        <v>1499</v>
      </c>
      <c r="S3" s="202" t="s">
        <v>1499</v>
      </c>
      <c r="T3" s="218" t="str">
        <f>IFERROR((Table1[[#This Row],[2019 Total Scope 1, 2 + 3]])/Table1[[#This Row],[2018 Total Scope 1, 2 + Scope 3]]-1,"NA")</f>
        <v>#ERROR!</v>
      </c>
      <c r="U3" s="202"/>
      <c r="V3" s="233">
        <v>533000.0</v>
      </c>
      <c r="W3" s="233">
        <v>439000.0</v>
      </c>
      <c r="X3" s="233"/>
      <c r="Y3" s="233">
        <f t="shared" si="1"/>
        <v>972000</v>
      </c>
      <c r="Z3" s="233">
        <f>8382000+2860000+290000+1501000+15000+332000+306000+508000+169000</f>
        <v>14363000</v>
      </c>
      <c r="AA3" s="233">
        <f t="shared" si="2"/>
        <v>15335000</v>
      </c>
      <c r="AB3" s="233">
        <v>525000.0</v>
      </c>
      <c r="AC3" s="233">
        <v>506000.0</v>
      </c>
      <c r="AD3" s="233"/>
      <c r="AE3" s="233">
        <f t="shared" si="3"/>
        <v>1031000</v>
      </c>
      <c r="AF3" s="233">
        <v>1.3678E7</v>
      </c>
      <c r="AG3" s="233">
        <f t="shared" si="4"/>
        <v>14709000</v>
      </c>
      <c r="AH3" s="233">
        <v>526000.0</v>
      </c>
      <c r="AI3" s="233">
        <v>506000.0</v>
      </c>
      <c r="AJ3" s="233"/>
      <c r="AK3" s="233">
        <f t="shared" si="5"/>
        <v>1032000</v>
      </c>
      <c r="AL3" s="233">
        <v>1.371E7</v>
      </c>
      <c r="AM3" s="233">
        <f t="shared" si="6"/>
        <v>14742000</v>
      </c>
      <c r="AN3" s="233">
        <v>516000.0</v>
      </c>
      <c r="AO3" s="233">
        <v>544000.0</v>
      </c>
      <c r="AP3" s="233"/>
      <c r="AQ3" s="233">
        <f t="shared" si="7"/>
        <v>1060000</v>
      </c>
      <c r="AR3" s="233">
        <v>1.4082E7</v>
      </c>
      <c r="AS3" s="233">
        <f t="shared" si="8"/>
        <v>15142000</v>
      </c>
      <c r="AT3" s="233" t="s">
        <v>536</v>
      </c>
      <c r="AU3" s="233" t="s">
        <v>536</v>
      </c>
      <c r="AV3" s="233"/>
      <c r="AW3" s="233" t="str">
        <f t="shared" si="9"/>
        <v/>
      </c>
      <c r="AX3" s="233" t="s">
        <v>536</v>
      </c>
      <c r="AY3" s="233" t="str">
        <f t="shared" si="10"/>
        <v/>
      </c>
      <c r="AZ3" s="216" t="s">
        <v>1499</v>
      </c>
      <c r="BA3" s="237" t="s">
        <v>1502</v>
      </c>
      <c r="BD3" s="235"/>
    </row>
    <row r="4" ht="12.75" customHeight="1">
      <c r="A4" s="1" t="s">
        <v>20</v>
      </c>
      <c r="B4" s="202" t="s">
        <v>21</v>
      </c>
      <c r="C4" s="1" t="s">
        <v>1283</v>
      </c>
      <c r="D4" s="202" t="s">
        <v>1503</v>
      </c>
      <c r="E4" s="236">
        <v>3.3266E10</v>
      </c>
      <c r="F4" s="230" t="str">
        <f>IF(ISNUMBER(Table1[[#This Row],[2019 Scope 3 ]]),IF(Table1[[#This Row],[Net Earnings/Income (2019)]]-k_cost*Table1[[#This Row],[2019 Total Scope 1, 2 + 3]]&lt;0,"Y","N"),"NA")</f>
        <v>#ERROR!</v>
      </c>
      <c r="G4" s="62" t="str">
        <f>IF(ISNUMBER(Table1[[#This Row],[2019 Scope 3 ]]),IF(k_cost*Table1[[#This Row],[2019 Total Scope 1, 2 + 3]]/Table1[[#This Row],[Size (2019 Revenue)]]&gt;k_rev_max,"Y","N"),"NA")</f>
        <v>#ERROR!</v>
      </c>
      <c r="H4" s="62" t="str">
        <f>IF(OR(Table1[[#This Row],[Net earnings post carbon price @85/t]]="Y",Table1[[#This Row],[Carbon costs in % revenue]] = "Y"),"Y",IF(OR(Table1[[#This Row],[Net earnings post carbon price @85/t]]="NA",Table1[[#This Row],[Carbon costs in % revenue]]="NA"),"NA","N"))</f>
        <v>#ERROR!</v>
      </c>
      <c r="I4" s="236">
        <v>5.697E9</v>
      </c>
      <c r="J4" s="231">
        <v>2013.0</v>
      </c>
      <c r="K4" s="202" t="s">
        <v>1498</v>
      </c>
      <c r="L4" s="202" t="s">
        <v>1499</v>
      </c>
      <c r="M4" s="202" t="s">
        <v>1499</v>
      </c>
      <c r="N4" s="202"/>
      <c r="O4" s="202"/>
      <c r="P4" s="232">
        <v>334482.0</v>
      </c>
      <c r="Q4" s="1" t="s">
        <v>1499</v>
      </c>
      <c r="R4" s="202" t="s">
        <v>1498</v>
      </c>
      <c r="S4" s="1">
        <v>2035.0</v>
      </c>
      <c r="T4" s="218" t="str">
        <f>IFERROR((Table1[[#This Row],[2019 Total Scope 1, 2 + 3]])/Table1[[#This Row],[2018 Total Scope 1, 2 + Scope 3]]-1,"NA")</f>
        <v>#ERROR!</v>
      </c>
      <c r="V4" s="233">
        <v>314421.0</v>
      </c>
      <c r="W4" s="233">
        <v>249777.0</v>
      </c>
      <c r="X4" s="233"/>
      <c r="Y4" s="233">
        <f t="shared" si="1"/>
        <v>564198</v>
      </c>
      <c r="Z4" s="233">
        <f>990981+20324+77371+5483+56303+183747</f>
        <v>1334209</v>
      </c>
      <c r="AA4" s="233">
        <f t="shared" si="2"/>
        <v>1898407</v>
      </c>
      <c r="AB4" s="233">
        <v>311000.0</v>
      </c>
      <c r="AC4" s="233">
        <v>271000.0</v>
      </c>
      <c r="AD4" s="233"/>
      <c r="AE4" s="233">
        <f t="shared" si="3"/>
        <v>582000</v>
      </c>
      <c r="AF4" s="233">
        <f>711499+17595+70284+5484+65924+177779</f>
        <v>1048565</v>
      </c>
      <c r="AG4" s="233">
        <f t="shared" si="4"/>
        <v>1630565</v>
      </c>
      <c r="AH4" s="233">
        <v>299000.0</v>
      </c>
      <c r="AI4" s="233">
        <v>284000.0</v>
      </c>
      <c r="AJ4" s="233"/>
      <c r="AK4" s="233">
        <f t="shared" si="5"/>
        <v>583000</v>
      </c>
      <c r="AL4" s="233">
        <f>652163+11640+53093+3956+106698+185438</f>
        <v>1012988</v>
      </c>
      <c r="AM4" s="233">
        <f t="shared" si="6"/>
        <v>1595988</v>
      </c>
      <c r="AN4" s="233">
        <v>297395.0</v>
      </c>
      <c r="AO4" s="233">
        <v>319692.0</v>
      </c>
      <c r="AP4" s="233"/>
      <c r="AQ4" s="233">
        <f t="shared" si="7"/>
        <v>617087</v>
      </c>
      <c r="AR4" s="233">
        <f>681914+13229+19813+2052+67536+124527+172</f>
        <v>909243</v>
      </c>
      <c r="AS4" s="233">
        <f t="shared" si="8"/>
        <v>1526330</v>
      </c>
      <c r="AT4" s="233">
        <v>318216.0</v>
      </c>
      <c r="AU4" s="233">
        <v>347250.0</v>
      </c>
      <c r="AV4" s="233"/>
      <c r="AW4" s="233">
        <f t="shared" si="9"/>
        <v>665466</v>
      </c>
      <c r="AX4" s="233">
        <f>619274+8239+20560+42819+9277+41030+102658+172</f>
        <v>844029</v>
      </c>
      <c r="AY4" s="233">
        <f t="shared" si="10"/>
        <v>1509495</v>
      </c>
      <c r="AZ4" s="216" t="s">
        <v>1499</v>
      </c>
      <c r="BA4" s="234" t="s">
        <v>1504</v>
      </c>
      <c r="BD4" s="235"/>
    </row>
    <row r="5" ht="12.75" customHeight="1">
      <c r="A5" s="1" t="s">
        <v>26</v>
      </c>
      <c r="B5" s="202" t="s">
        <v>26</v>
      </c>
      <c r="C5" s="1" t="s">
        <v>1291</v>
      </c>
      <c r="D5" s="1" t="s">
        <v>1505</v>
      </c>
      <c r="E5" s="236">
        <v>4.32E10</v>
      </c>
      <c r="F5" s="230" t="str">
        <f>IF(ISNUMBER(Table1[[#This Row],[2019 Scope 3 ]]),IF(Table1[[#This Row],[Net Earnings/Income (2019)]]-k_cost*Table1[[#This Row],[2019 Total Scope 1, 2 + 3]]&lt;0,"Y","N"),"NA")</f>
        <v>#ERROR!</v>
      </c>
      <c r="G5" s="62" t="str">
        <f>IF(ISNUMBER(Table1[[#This Row],[2019 Scope 3 ]]),IF(k_cost*Table1[[#This Row],[2019 Total Scope 1, 2 + 3]]/Table1[[#This Row],[Size (2019 Revenue)]]&gt;k_rev_max,"Y","N"),"NA")</f>
        <v>#ERROR!</v>
      </c>
      <c r="H5" s="62" t="str">
        <f>IF(OR(Table1[[#This Row],[Net earnings post carbon price @85/t]]="Y",Table1[[#This Row],[Carbon costs in % revenue]] = "Y"),"Y",IF(OR(Table1[[#This Row],[Net earnings post carbon price @85/t]]="NA",Table1[[#This Row],[Carbon costs in % revenue]]="NA"),"NA","N"))</f>
        <v>#ERROR!</v>
      </c>
      <c r="I5" s="236">
        <v>4.78E9</v>
      </c>
      <c r="J5" s="231">
        <v>2001.0</v>
      </c>
      <c r="K5" s="202" t="s">
        <v>1498</v>
      </c>
      <c r="L5" s="202" t="s">
        <v>1499</v>
      </c>
      <c r="M5" s="1" t="s">
        <v>1498</v>
      </c>
      <c r="P5" s="232">
        <v>88000.0</v>
      </c>
      <c r="Q5" s="1" t="s">
        <v>1499</v>
      </c>
      <c r="R5" s="202" t="s">
        <v>1498</v>
      </c>
      <c r="S5" s="1">
        <v>2023.0</v>
      </c>
      <c r="T5" s="218" t="str">
        <f>IFERROR((Table1[[#This Row],[2019 Total Scope 1, 2 + 3]])/Table1[[#This Row],[2018 Total Scope 1, 2 + Scope 3]]-1,"NA")</f>
        <v>#ERROR!</v>
      </c>
      <c r="V5" s="233">
        <v>18923.0</v>
      </c>
      <c r="W5" s="233">
        <v>214680.0</v>
      </c>
      <c r="X5" s="233"/>
      <c r="Y5" s="233">
        <f t="shared" si="1"/>
        <v>233603</v>
      </c>
      <c r="Z5" s="233">
        <v>932653.0</v>
      </c>
      <c r="AA5" s="233">
        <f t="shared" si="2"/>
        <v>1166256</v>
      </c>
      <c r="AB5" s="233">
        <v>22183.0</v>
      </c>
      <c r="AC5" s="233">
        <v>218855.0</v>
      </c>
      <c r="AD5" s="233"/>
      <c r="AE5" s="233">
        <f t="shared" si="3"/>
        <v>241038</v>
      </c>
      <c r="AF5" s="233">
        <v>948756.0</v>
      </c>
      <c r="AG5" s="233">
        <f t="shared" si="4"/>
        <v>1189794</v>
      </c>
      <c r="AH5" s="233">
        <v>24095.0</v>
      </c>
      <c r="AI5" s="233">
        <v>243773.0</v>
      </c>
      <c r="AJ5" s="233"/>
      <c r="AK5" s="233">
        <f t="shared" si="5"/>
        <v>267868</v>
      </c>
      <c r="AL5" s="233">
        <v>974176.0</v>
      </c>
      <c r="AM5" s="233">
        <f t="shared" si="6"/>
        <v>1242044</v>
      </c>
      <c r="AN5" s="233">
        <v>27203.0</v>
      </c>
      <c r="AO5" s="233">
        <v>263050.0</v>
      </c>
      <c r="AP5" s="233"/>
      <c r="AQ5" s="233">
        <f t="shared" si="7"/>
        <v>290253</v>
      </c>
      <c r="AR5" s="233">
        <f>506841</f>
        <v>506841</v>
      </c>
      <c r="AS5" s="233">
        <f t="shared" si="8"/>
        <v>797094</v>
      </c>
      <c r="AT5" s="233">
        <v>26290.0</v>
      </c>
      <c r="AU5" s="233">
        <v>237239.0</v>
      </c>
      <c r="AV5" s="233"/>
      <c r="AW5" s="233">
        <f t="shared" si="9"/>
        <v>263529</v>
      </c>
      <c r="AX5" s="233">
        <v>449240.0</v>
      </c>
      <c r="AY5" s="233">
        <f t="shared" si="10"/>
        <v>712769</v>
      </c>
      <c r="AZ5" s="1" t="s">
        <v>1499</v>
      </c>
      <c r="BA5" s="234" t="s">
        <v>1506</v>
      </c>
      <c r="BB5" s="237" t="s">
        <v>1507</v>
      </c>
      <c r="BD5" s="235"/>
    </row>
    <row r="6" ht="12.75" customHeight="1">
      <c r="A6" s="202" t="s">
        <v>31</v>
      </c>
      <c r="B6" s="202" t="s">
        <v>32</v>
      </c>
      <c r="C6" s="202" t="s">
        <v>1291</v>
      </c>
      <c r="D6" s="1" t="s">
        <v>1297</v>
      </c>
      <c r="E6" s="230">
        <v>1.1171E10</v>
      </c>
      <c r="F6" s="230" t="str">
        <f>IF(ISNUMBER(Table1[[#This Row],[2019 Scope 3 ]]),IF(Table1[[#This Row],[Net Earnings/Income (2019)]]-k_cost*Table1[[#This Row],[2019 Total Scope 1, 2 + 3]]&lt;0,"Y","N"),"NA")</f>
        <v>#ERROR!</v>
      </c>
      <c r="G6" s="62" t="str">
        <f>IF(ISNUMBER(Table1[[#This Row],[2019 Scope 3 ]]),IF(k_cost*Table1[[#This Row],[2019 Total Scope 1, 2 + 3]]/Table1[[#This Row],[Size (2019 Revenue)]]&gt;k_rev_max,"Y","N"),"NA")</f>
        <v>#ERROR!</v>
      </c>
      <c r="H6" s="62" t="str">
        <f>IF(OR(Table1[[#This Row],[Net earnings post carbon price @85/t]]="Y",Table1[[#This Row],[Carbon costs in % revenue]] = "Y"),"Y",IF(OR(Table1[[#This Row],[Net earnings post carbon price @85/t]]="NA",Table1[[#This Row],[Carbon costs in % revenue]]="NA"),"NA","N"))</f>
        <v>#ERROR!</v>
      </c>
      <c r="I6" s="230">
        <v>2.951E9</v>
      </c>
      <c r="J6" s="231">
        <v>1986.0</v>
      </c>
      <c r="K6" s="230" t="s">
        <v>1498</v>
      </c>
      <c r="L6" s="1" t="s">
        <v>1499</v>
      </c>
      <c r="M6" s="202" t="s">
        <v>1498</v>
      </c>
      <c r="P6" s="232"/>
      <c r="Q6" s="1" t="s">
        <v>1499</v>
      </c>
      <c r="R6" s="1" t="s">
        <v>1498</v>
      </c>
      <c r="S6" s="1">
        <v>2035.0</v>
      </c>
      <c r="T6" s="218" t="str">
        <f>IFERROR((Table1[[#This Row],[2019 Total Scope 1, 2 + 3]])/Table1[[#This Row],[2018 Total Scope 1, 2 + Scope 3]]-1,"NA")</f>
        <v>#ERROR!</v>
      </c>
      <c r="V6" s="233">
        <v>11816.0</v>
      </c>
      <c r="W6" s="233">
        <v>43526.0</v>
      </c>
      <c r="X6" s="233"/>
      <c r="Y6" s="233">
        <f t="shared" si="1"/>
        <v>55342</v>
      </c>
      <c r="Z6" s="233">
        <f>358472+39706+14180+57.87+88959+42037</f>
        <v>543411.87</v>
      </c>
      <c r="AA6" s="233">
        <f t="shared" si="2"/>
        <v>598753.87</v>
      </c>
      <c r="AB6" s="233">
        <v>12119.0</v>
      </c>
      <c r="AC6" s="233">
        <v>47871.0</v>
      </c>
      <c r="AD6" s="233"/>
      <c r="AE6" s="233">
        <f t="shared" si="3"/>
        <v>59990</v>
      </c>
      <c r="AF6" s="238">
        <v>574034.0</v>
      </c>
      <c r="AG6" s="233">
        <f t="shared" si="4"/>
        <v>634024</v>
      </c>
      <c r="AH6" s="233">
        <v>12119.0</v>
      </c>
      <c r="AI6" s="233">
        <v>58874.0</v>
      </c>
      <c r="AJ6" s="233"/>
      <c r="AK6" s="233">
        <f t="shared" si="5"/>
        <v>70993</v>
      </c>
      <c r="AL6" s="233">
        <f>35952.82+16872.85+52.85+32512+9988+169+505</f>
        <v>96052.52</v>
      </c>
      <c r="AM6" s="233">
        <f t="shared" si="6"/>
        <v>167045.52</v>
      </c>
      <c r="AN6" s="233">
        <v>11082.0</v>
      </c>
      <c r="AO6" s="233">
        <v>58474.0</v>
      </c>
      <c r="AP6" s="233"/>
      <c r="AQ6" s="233">
        <f t="shared" si="7"/>
        <v>69556</v>
      </c>
      <c r="AR6" s="233"/>
      <c r="AS6" s="233">
        <f t="shared" si="8"/>
        <v>69556</v>
      </c>
      <c r="AT6" s="233" t="s">
        <v>536</v>
      </c>
      <c r="AU6" s="233" t="s">
        <v>536</v>
      </c>
      <c r="AV6" s="233"/>
      <c r="AW6" s="233" t="str">
        <f t="shared" si="9"/>
        <v/>
      </c>
      <c r="AX6" s="233" t="s">
        <v>536</v>
      </c>
      <c r="AY6" s="233" t="str">
        <f t="shared" si="10"/>
        <v/>
      </c>
      <c r="AZ6" s="1" t="s">
        <v>1499</v>
      </c>
      <c r="BD6" s="235" t="s">
        <v>1508</v>
      </c>
    </row>
    <row r="7" ht="12.75" customHeight="1">
      <c r="A7" s="202" t="s">
        <v>38</v>
      </c>
      <c r="B7" s="202" t="s">
        <v>39</v>
      </c>
      <c r="C7" s="202" t="s">
        <v>1298</v>
      </c>
      <c r="D7" s="1" t="s">
        <v>1301</v>
      </c>
      <c r="E7" s="236">
        <v>4.4675E10</v>
      </c>
      <c r="F7" s="230" t="str">
        <f>IF(ISNUMBER(Table1[[#This Row],[2019 Scope 3 ]]),IF(Table1[[#This Row],[Net Earnings/Income (2019)]]-k_cost*Table1[[#This Row],[2019 Total Scope 1, 2 + 3]]&lt;0,"Y","N"),"NA")</f>
        <v>#ERROR!</v>
      </c>
      <c r="G7" s="62" t="str">
        <f>IF(ISNUMBER(Table1[[#This Row],[2019 Scope 3 ]]),IF(k_cost*Table1[[#This Row],[2019 Total Scope 1, 2 + 3]]/Table1[[#This Row],[Size (2019 Revenue)]]&gt;k_rev_max,"Y","N"),"NA")</f>
        <v>#ERROR!</v>
      </c>
      <c r="H7" s="62" t="str">
        <f>IF(OR(Table1[[#This Row],[Net earnings post carbon price @85/t]]="Y",Table1[[#This Row],[Carbon costs in % revenue]] = "Y"),"Y",IF(OR(Table1[[#This Row],[Net earnings post carbon price @85/t]]="NA",Table1[[#This Row],[Carbon costs in % revenue]]="NA"),"NA","N"))</f>
        <v>#ERROR!</v>
      </c>
      <c r="I7" s="236">
        <v>4.847E9</v>
      </c>
      <c r="J7" s="231">
        <v>1993.0</v>
      </c>
      <c r="K7" s="202" t="s">
        <v>1498</v>
      </c>
      <c r="L7" s="202" t="s">
        <v>1499</v>
      </c>
      <c r="M7" s="1" t="s">
        <v>1499</v>
      </c>
      <c r="P7" s="232"/>
      <c r="Q7" s="1" t="s">
        <v>1499</v>
      </c>
      <c r="R7" s="202" t="s">
        <v>1499</v>
      </c>
      <c r="S7" s="202" t="s">
        <v>1499</v>
      </c>
      <c r="T7" s="218" t="str">
        <f>IFERROR((Table1[[#This Row],[2019 Total Scope 1, 2 + 3]])/Table1[[#This Row],[2018 Total Scope 1, 2 + Scope 3]]-1,"NA")</f>
        <v>#ERROR!</v>
      </c>
      <c r="U7" s="202"/>
      <c r="V7" s="239">
        <v>39230.0</v>
      </c>
      <c r="W7" s="239">
        <v>74230.0</v>
      </c>
      <c r="X7" s="233"/>
      <c r="Y7" s="233">
        <f t="shared" si="1"/>
        <v>113460</v>
      </c>
      <c r="Z7" s="233">
        <f>10528+4343+3+446+8857+13412</f>
        <v>37589</v>
      </c>
      <c r="AA7" s="233">
        <f t="shared" si="2"/>
        <v>151049</v>
      </c>
      <c r="AB7" s="233">
        <v>45966.0</v>
      </c>
      <c r="AC7" s="233">
        <v>83887.0</v>
      </c>
      <c r="AD7" s="233"/>
      <c r="AE7" s="233">
        <f t="shared" si="3"/>
        <v>129853</v>
      </c>
      <c r="AF7" s="233">
        <v>13264.0</v>
      </c>
      <c r="AG7" s="233">
        <f t="shared" si="4"/>
        <v>143117</v>
      </c>
      <c r="AH7" s="233">
        <v>53818.0</v>
      </c>
      <c r="AI7" s="233">
        <v>91209.0</v>
      </c>
      <c r="AJ7" s="233"/>
      <c r="AK7" s="233">
        <f t="shared" si="5"/>
        <v>145027</v>
      </c>
      <c r="AL7" s="233">
        <v>20119.0</v>
      </c>
      <c r="AM7" s="233">
        <f t="shared" si="6"/>
        <v>165146</v>
      </c>
      <c r="AN7" s="233">
        <v>56521.0</v>
      </c>
      <c r="AO7" s="233">
        <v>104350.0</v>
      </c>
      <c r="AP7" s="233"/>
      <c r="AQ7" s="233">
        <f t="shared" si="7"/>
        <v>160871</v>
      </c>
      <c r="AR7" s="233">
        <v>19089.0</v>
      </c>
      <c r="AS7" s="233">
        <f t="shared" si="8"/>
        <v>179960</v>
      </c>
      <c r="AT7" s="233">
        <v>55709.0</v>
      </c>
      <c r="AU7" s="233">
        <v>111825.0</v>
      </c>
      <c r="AV7" s="233"/>
      <c r="AW7" s="233">
        <f t="shared" si="9"/>
        <v>167534</v>
      </c>
      <c r="AX7" s="233">
        <v>17345.0</v>
      </c>
      <c r="AY7" s="233">
        <f t="shared" si="10"/>
        <v>184879</v>
      </c>
      <c r="AZ7" s="1" t="s">
        <v>1499</v>
      </c>
      <c r="BA7" s="234" t="s">
        <v>1509</v>
      </c>
      <c r="BD7" s="235"/>
    </row>
    <row r="8" ht="12.75" customHeight="1">
      <c r="A8" s="1" t="s">
        <v>897</v>
      </c>
      <c r="B8" s="202" t="s">
        <v>45</v>
      </c>
      <c r="C8" s="1" t="s">
        <v>1302</v>
      </c>
      <c r="D8" s="202" t="s">
        <v>1510</v>
      </c>
      <c r="E8" s="230">
        <v>1.61857E11</v>
      </c>
      <c r="F8" s="230" t="str">
        <f>IF(ISNUMBER(Table1[[#This Row],[2019 Scope 3 ]]),IF(Table1[[#This Row],[Net Earnings/Income (2019)]]-k_cost*Table1[[#This Row],[2019 Total Scope 1, 2 + 3]]&lt;0,"Y","N"),"NA")</f>
        <v>#ERROR!</v>
      </c>
      <c r="G8" s="62" t="str">
        <f>IF(ISNUMBER(Table1[[#This Row],[2019 Scope 3 ]]),IF(k_cost*Table1[[#This Row],[2019 Total Scope 1, 2 + 3]]/Table1[[#This Row],[Size (2019 Revenue)]]&gt;k_rev_max,"Y","N"),"NA")</f>
        <v>#ERROR!</v>
      </c>
      <c r="H8" s="62" t="str">
        <f>IF(OR(Table1[[#This Row],[Net earnings post carbon price @85/t]]="Y",Table1[[#This Row],[Carbon costs in % revenue]] = "Y"),"Y",IF(OR(Table1[[#This Row],[Net earnings post carbon price @85/t]]="NA",Table1[[#This Row],[Carbon costs in % revenue]]="NA"),"NA","N"))</f>
        <v>#ERROR!</v>
      </c>
      <c r="I8" s="230">
        <v>3.434E10</v>
      </c>
      <c r="J8" s="231">
        <v>2004.0</v>
      </c>
      <c r="K8" s="230" t="s">
        <v>1498</v>
      </c>
      <c r="L8" s="1" t="s">
        <v>1498</v>
      </c>
      <c r="M8" s="1" t="s">
        <v>1499</v>
      </c>
      <c r="N8" s="1">
        <v>2007.0</v>
      </c>
      <c r="O8" s="1">
        <v>2007.0</v>
      </c>
      <c r="P8" s="232"/>
      <c r="Q8" s="1" t="s">
        <v>1498</v>
      </c>
      <c r="R8" s="1" t="s">
        <v>1498</v>
      </c>
      <c r="S8" s="1">
        <v>2017.0</v>
      </c>
      <c r="T8" s="218" t="str">
        <f>IFERROR((Table1[[#This Row],[2019 Total Scope 1, 2 + 3]])/Table1[[#This Row],[2018 Total Scope 1, 2 + Scope 3]]-1,"NA")</f>
        <v>#ERROR!</v>
      </c>
      <c r="V8" s="239">
        <v>66686.0</v>
      </c>
      <c r="W8" s="239">
        <v>794267.0</v>
      </c>
      <c r="X8" s="233"/>
      <c r="Y8" s="233">
        <f t="shared" si="1"/>
        <v>860953</v>
      </c>
      <c r="Z8" s="233">
        <f>2158000+460000+369000+173000</f>
        <v>3160000</v>
      </c>
      <c r="AA8" s="233">
        <f t="shared" si="2"/>
        <v>4020953</v>
      </c>
      <c r="AB8" s="233">
        <v>63521.0</v>
      </c>
      <c r="AC8" s="233">
        <v>684236.0</v>
      </c>
      <c r="AD8" s="233">
        <v>1211224.0</v>
      </c>
      <c r="AE8" s="233">
        <f t="shared" si="3"/>
        <v>-463467</v>
      </c>
      <c r="AF8" s="233">
        <v>1.4279467E7</v>
      </c>
      <c r="AG8" s="233">
        <f t="shared" si="4"/>
        <v>13816000</v>
      </c>
      <c r="AH8" s="233">
        <v>66546.0</v>
      </c>
      <c r="AI8" s="233">
        <v>509334.0</v>
      </c>
      <c r="AJ8" s="233">
        <v>931943.0</v>
      </c>
      <c r="AK8" s="233">
        <f t="shared" si="5"/>
        <v>-356063</v>
      </c>
      <c r="AL8" s="233">
        <v>2719024.0</v>
      </c>
      <c r="AM8" s="233">
        <f t="shared" si="6"/>
        <v>2362961</v>
      </c>
      <c r="AN8" s="233">
        <v>66218.0</v>
      </c>
      <c r="AO8" s="233">
        <v>1518643.0</v>
      </c>
      <c r="AP8" s="233">
        <v>1898889.0</v>
      </c>
      <c r="AQ8" s="233">
        <f t="shared" si="7"/>
        <v>-314028</v>
      </c>
      <c r="AR8" s="233">
        <v>1292267.0</v>
      </c>
      <c r="AS8" s="233">
        <f t="shared" si="8"/>
        <v>978239</v>
      </c>
      <c r="AT8" s="233">
        <v>66991.0</v>
      </c>
      <c r="AU8" s="233">
        <v>1384427.0</v>
      </c>
      <c r="AV8" s="233">
        <v>2686101.0</v>
      </c>
      <c r="AW8" s="233">
        <f t="shared" si="9"/>
        <v>-1234683</v>
      </c>
      <c r="AX8" s="233">
        <v>1234683.0</v>
      </c>
      <c r="AY8" s="233">
        <f t="shared" si="10"/>
        <v>0</v>
      </c>
      <c r="AZ8" s="1" t="s">
        <v>1498</v>
      </c>
      <c r="BA8" s="234" t="s">
        <v>1511</v>
      </c>
      <c r="BC8" s="240"/>
      <c r="BD8" s="235"/>
    </row>
    <row r="9" ht="12.75" customHeight="1">
      <c r="A9" s="1" t="s">
        <v>51</v>
      </c>
      <c r="B9" s="202" t="s">
        <v>52</v>
      </c>
      <c r="C9" s="202" t="s">
        <v>1306</v>
      </c>
      <c r="D9" s="1" t="s">
        <v>951</v>
      </c>
      <c r="E9" s="236">
        <v>2.5364E10</v>
      </c>
      <c r="F9" s="230" t="str">
        <f>IF(ISNUMBER(Table1[[#This Row],[2019 Scope 3 ]]),IF(Table1[[#This Row],[Net Earnings/Income (2019)]]-k_cost*Table1[[#This Row],[2019 Total Scope 1, 2 + 3]]&lt;0,"Y","N"),"NA")</f>
        <v>#ERROR!</v>
      </c>
      <c r="G9" s="62" t="str">
        <f>IF(ISNUMBER(Table1[[#This Row],[2019 Scope 3 ]]),IF(k_cost*Table1[[#This Row],[2019 Total Scope 1, 2 + 3]]/Table1[[#This Row],[Size (2019 Revenue)]]&gt;k_rev_max,"Y","N"),"NA")</f>
        <v>#ERROR!</v>
      </c>
      <c r="H9" s="62" t="str">
        <f>IF(OR(Table1[[#This Row],[Net earnings post carbon price @85/t]]="Y",Table1[[#This Row],[Carbon costs in % revenue]] = "Y"),"Y",IF(OR(Table1[[#This Row],[Net earnings post carbon price @85/t]]="NA",Table1[[#This Row],[Carbon costs in % revenue]]="NA"),"NA","N"))</f>
        <v>#ERROR!</v>
      </c>
      <c r="I9" s="236">
        <v>6.963E9</v>
      </c>
      <c r="J9" s="231">
        <v>1985.0</v>
      </c>
      <c r="K9" s="202" t="s">
        <v>1498</v>
      </c>
      <c r="L9" s="202" t="s">
        <v>1499</v>
      </c>
      <c r="M9" s="1" t="s">
        <v>1499</v>
      </c>
      <c r="P9" s="216">
        <v>4468432.0</v>
      </c>
      <c r="Q9" s="1" t="s">
        <v>1499</v>
      </c>
      <c r="R9" s="202" t="s">
        <v>1498</v>
      </c>
      <c r="S9" s="1">
        <v>2030.0</v>
      </c>
      <c r="T9" s="218" t="str">
        <f>IFERROR((Table1[[#This Row],[2019 Total Scope 1, 2 + 3]])/Table1[[#This Row],[2018 Total Scope 1, 2 + Scope 3]]-1,"NA")</f>
        <v>#ERROR!</v>
      </c>
      <c r="V9" s="233">
        <v>154507.0</v>
      </c>
      <c r="W9" s="233">
        <v>146909.0</v>
      </c>
      <c r="X9" s="233"/>
      <c r="Y9" s="233">
        <f t="shared" si="1"/>
        <v>301416</v>
      </c>
      <c r="Z9" s="233" t="s">
        <v>536</v>
      </c>
      <c r="AA9" s="233" t="str">
        <f t="shared" si="2"/>
        <v/>
      </c>
      <c r="AB9" s="233">
        <v>162139.0</v>
      </c>
      <c r="AC9" s="233">
        <v>166706.0</v>
      </c>
      <c r="AD9" s="233"/>
      <c r="AE9" s="233">
        <f t="shared" si="3"/>
        <v>328845</v>
      </c>
      <c r="AF9" s="233">
        <v>5078448.0</v>
      </c>
      <c r="AG9" s="233">
        <f t="shared" si="4"/>
        <v>5407293</v>
      </c>
      <c r="AH9" s="233">
        <v>167695.0</v>
      </c>
      <c r="AI9" s="233">
        <v>168889.0</v>
      </c>
      <c r="AJ9" s="233"/>
      <c r="AK9" s="233">
        <f t="shared" si="5"/>
        <v>336584</v>
      </c>
      <c r="AL9" s="233">
        <v>5264365.0</v>
      </c>
      <c r="AM9" s="233">
        <f t="shared" si="6"/>
        <v>5600949</v>
      </c>
      <c r="AN9" s="233">
        <v>170442.0</v>
      </c>
      <c r="AO9" s="233">
        <v>206622.0</v>
      </c>
      <c r="AP9" s="233"/>
      <c r="AQ9" s="233">
        <f t="shared" si="7"/>
        <v>377064</v>
      </c>
      <c r="AR9" s="233">
        <f>1941444+126828+98679+165673+18158+10951+18622+243900+76389+172681</f>
        <v>2873325</v>
      </c>
      <c r="AS9" s="233">
        <f t="shared" si="8"/>
        <v>3250389</v>
      </c>
      <c r="AT9" s="233">
        <v>192293.0</v>
      </c>
      <c r="AU9" s="233">
        <v>204900.0</v>
      </c>
      <c r="AV9" s="233"/>
      <c r="AW9" s="233">
        <f t="shared" si="9"/>
        <v>397193</v>
      </c>
      <c r="AX9" s="233">
        <f>1946817+127179+59481+97537+30299+10641+19468+244575+76601+173159</f>
        <v>2785757</v>
      </c>
      <c r="AY9" s="233">
        <f t="shared" si="10"/>
        <v>3182950</v>
      </c>
      <c r="AZ9" s="1" t="s">
        <v>1499</v>
      </c>
      <c r="BA9" s="240" t="s">
        <v>1512</v>
      </c>
      <c r="BD9" s="235"/>
    </row>
    <row r="10" ht="12.75" customHeight="1">
      <c r="A10" s="1" t="s">
        <v>58</v>
      </c>
      <c r="B10" s="202" t="s">
        <v>59</v>
      </c>
      <c r="C10" s="202" t="s">
        <v>1376</v>
      </c>
      <c r="D10" s="202" t="s">
        <v>962</v>
      </c>
      <c r="E10" s="230">
        <v>2.8E11</v>
      </c>
      <c r="F10" s="230" t="str">
        <f>IF(ISNUMBER(Table1[[#This Row],[2019 Scope 3 ]]),IF(Table1[[#This Row],[Net Earnings/Income (2019)]]-k_cost*Table1[[#This Row],[2019 Total Scope 1, 2 + 3]]&lt;0,"Y","N"),"NA")</f>
        <v>#ERROR!</v>
      </c>
      <c r="G10" s="62" t="str">
        <f>IF(ISNUMBER(Table1[[#This Row],[2019 Scope 3 ]]),IF(k_cost*Table1[[#This Row],[2019 Total Scope 1, 2 + 3]]/Table1[[#This Row],[Size (2019 Revenue)]]&gt;k_rev_max,"Y","N"),"NA")</f>
        <v>#ERROR!</v>
      </c>
      <c r="H10" s="62" t="str">
        <f>IF(OR(Table1[[#This Row],[Net earnings post carbon price @85/t]]="Y",Table1[[#This Row],[Carbon costs in % revenue]] = "Y"),"Y",IF(OR(Table1[[#This Row],[Net earnings post carbon price @85/t]]="NA",Table1[[#This Row],[Carbon costs in % revenue]]="NA"),"NA","N"))</f>
        <v>#ERROR!</v>
      </c>
      <c r="I10" s="230">
        <v>1.1588E10</v>
      </c>
      <c r="J10" s="231">
        <v>1997.0</v>
      </c>
      <c r="K10" s="230" t="s">
        <v>1498</v>
      </c>
      <c r="L10" s="1" t="s">
        <v>1498</v>
      </c>
      <c r="M10" s="202" t="s">
        <v>1498</v>
      </c>
      <c r="N10" s="1">
        <v>2040.0</v>
      </c>
      <c r="O10" s="1">
        <v>2020.0</v>
      </c>
      <c r="R10" s="1" t="s">
        <v>1498</v>
      </c>
      <c r="S10" s="1">
        <v>2025.0</v>
      </c>
      <c r="T10" s="218" t="str">
        <f>IFERROR((Table1[[#This Row],[2019 Total Scope 1, 2 + 3]])/Table1[[#This Row],[2018 Total Scope 1, 2 + Scope 3]]-1,"NA")</f>
        <v>#ERROR!</v>
      </c>
      <c r="V10" s="233">
        <v>5760000.0</v>
      </c>
      <c r="W10" s="233">
        <v>5500000.0</v>
      </c>
      <c r="X10" s="233"/>
      <c r="Y10" s="233">
        <f t="shared" si="1"/>
        <v>11260000</v>
      </c>
      <c r="Z10" s="233">
        <v>3.991E7</v>
      </c>
      <c r="AA10" s="233">
        <f t="shared" si="2"/>
        <v>51170000</v>
      </c>
      <c r="AB10" s="233">
        <v>4980000.0</v>
      </c>
      <c r="AC10" s="233">
        <v>4710000.0</v>
      </c>
      <c r="AD10" s="233"/>
      <c r="AE10" s="233">
        <f t="shared" si="3"/>
        <v>9690000</v>
      </c>
      <c r="AF10" s="233">
        <v>3.471E7</v>
      </c>
      <c r="AG10" s="233">
        <f t="shared" si="4"/>
        <v>44400000</v>
      </c>
      <c r="AH10" s="233" t="s">
        <v>536</v>
      </c>
      <c r="AI10" s="233" t="s">
        <v>536</v>
      </c>
      <c r="AJ10" s="233"/>
      <c r="AK10" s="233" t="str">
        <f t="shared" si="5"/>
        <v/>
      </c>
      <c r="AL10" s="233" t="s">
        <v>536</v>
      </c>
      <c r="AM10" s="233" t="str">
        <f t="shared" si="6"/>
        <v/>
      </c>
      <c r="AN10" s="233" t="s">
        <v>536</v>
      </c>
      <c r="AO10" s="233" t="s">
        <v>536</v>
      </c>
      <c r="AP10" s="233"/>
      <c r="AQ10" s="233" t="str">
        <f t="shared" si="7"/>
        <v/>
      </c>
      <c r="AR10" s="233" t="s">
        <v>536</v>
      </c>
      <c r="AS10" s="233" t="str">
        <f t="shared" si="8"/>
        <v/>
      </c>
      <c r="AT10" s="233" t="s">
        <v>536</v>
      </c>
      <c r="AU10" s="233" t="s">
        <v>536</v>
      </c>
      <c r="AV10" s="233"/>
      <c r="AW10" s="233" t="str">
        <f t="shared" si="9"/>
        <v/>
      </c>
      <c r="AX10" s="233" t="s">
        <v>536</v>
      </c>
      <c r="AY10" s="233" t="str">
        <f t="shared" si="10"/>
        <v/>
      </c>
      <c r="AZ10" s="1" t="s">
        <v>1498</v>
      </c>
      <c r="BA10" s="240" t="s">
        <v>1513</v>
      </c>
      <c r="BB10" s="240"/>
      <c r="BC10" s="240" t="s">
        <v>1514</v>
      </c>
      <c r="BD10" s="235"/>
    </row>
    <row r="11" ht="12.75" customHeight="1">
      <c r="A11" s="1" t="s">
        <v>62</v>
      </c>
      <c r="B11" s="1" t="s">
        <v>62</v>
      </c>
      <c r="C11" s="1" t="s">
        <v>1298</v>
      </c>
      <c r="D11" s="1" t="s">
        <v>1515</v>
      </c>
      <c r="E11" s="236">
        <v>4.3556E10</v>
      </c>
      <c r="F11" s="230" t="str">
        <f>IF(ISNUMBER(Table1[[#This Row],[2019 Scope 3 ]]),IF(Table1[[#This Row],[Net Earnings/Income (2019)]]-k_cost*Table1[[#This Row],[2019 Total Scope 1, 2 + 3]]&lt;0,"Y","N"),"NA")</f>
        <v>#ERROR!</v>
      </c>
      <c r="G11" s="62" t="str">
        <f>IF(ISNUMBER(Table1[[#This Row],[2019 Scope 3 ]]),IF(k_cost*Table1[[#This Row],[2019 Total Scope 1, 2 + 3]]/Table1[[#This Row],[Size (2019 Revenue)]]&gt;k_rev_max,"Y","N"),"NA")</f>
        <v>#ERROR!</v>
      </c>
      <c r="H11" s="62" t="str">
        <f>IF(OR(Table1[[#This Row],[Net earnings post carbon price @85/t]]="Y",Table1[[#This Row],[Carbon costs in % revenue]] = "Y"),"Y",IF(OR(Table1[[#This Row],[Net earnings post carbon price @85/t]]="NA",Table1[[#This Row],[Carbon costs in % revenue]]="NA"),"NA","N"))</f>
        <v>#ERROR!</v>
      </c>
      <c r="I11" s="236">
        <v>6.921E9</v>
      </c>
      <c r="J11" s="231">
        <v>1850.0</v>
      </c>
      <c r="K11" s="202" t="s">
        <v>1498</v>
      </c>
      <c r="L11" s="202" t="s">
        <v>1498</v>
      </c>
      <c r="M11" s="1" t="s">
        <v>1499</v>
      </c>
      <c r="N11" s="1">
        <v>2018.0</v>
      </c>
      <c r="O11" s="1">
        <v>2018.0</v>
      </c>
      <c r="P11" s="216" t="s">
        <v>1499</v>
      </c>
      <c r="Q11" s="1" t="s">
        <v>1498</v>
      </c>
      <c r="R11" s="202" t="s">
        <v>1498</v>
      </c>
      <c r="S11" s="202">
        <v>2018.0</v>
      </c>
      <c r="T11" s="218" t="str">
        <f>IFERROR((Table1[[#This Row],[2019 Total Scope 1, 2 + 3]])/Table1[[#This Row],[2018 Total Scope 1, 2 + Scope 3]]-1,"NA")</f>
        <v>#ERROR!</v>
      </c>
      <c r="U11" s="202"/>
      <c r="V11" s="233">
        <v>24363.0</v>
      </c>
      <c r="W11" s="233">
        <v>3153.0</v>
      </c>
      <c r="X11" s="233"/>
      <c r="Y11" s="233">
        <f t="shared" si="1"/>
        <v>27516</v>
      </c>
      <c r="Z11" s="233">
        <f>1956901+24863+30305+1719+51.679+138358+8000+9000</f>
        <v>2169197.679</v>
      </c>
      <c r="AA11" s="233">
        <f t="shared" si="2"/>
        <v>2196713.679</v>
      </c>
      <c r="AB11" s="233">
        <v>23981.0</v>
      </c>
      <c r="AC11" s="233">
        <v>2994.0</v>
      </c>
      <c r="AD11" s="233"/>
      <c r="AE11" s="233">
        <f t="shared" si="3"/>
        <v>26975</v>
      </c>
      <c r="AF11" s="233">
        <f>2090113+36041+28946+1710+47285+120309+8000+9000+135</f>
        <v>2341539</v>
      </c>
      <c r="AG11" s="233">
        <f t="shared" si="4"/>
        <v>2368514</v>
      </c>
      <c r="AH11" s="233">
        <v>24162.0</v>
      </c>
      <c r="AI11" s="233">
        <v>55273.0</v>
      </c>
      <c r="AJ11" s="233"/>
      <c r="AK11" s="233">
        <f t="shared" si="5"/>
        <v>79435</v>
      </c>
      <c r="AL11" s="233">
        <f>2028571+23807+30677+1314+34224+107396+8000+20000+156</f>
        <v>2254145</v>
      </c>
      <c r="AM11" s="233">
        <f t="shared" si="6"/>
        <v>2333580</v>
      </c>
      <c r="AN11" s="233">
        <v>25438.0</v>
      </c>
      <c r="AO11" s="233">
        <v>59115.0</v>
      </c>
      <c r="AP11" s="233"/>
      <c r="AQ11" s="233">
        <f t="shared" si="7"/>
        <v>84553</v>
      </c>
      <c r="AR11" s="233">
        <f>2110677+22382+30852+724+38364+122106+8000+22000+777</f>
        <v>2355882</v>
      </c>
      <c r="AS11" s="233">
        <f t="shared" si="8"/>
        <v>2440435</v>
      </c>
      <c r="AT11" s="233">
        <v>27352.0</v>
      </c>
      <c r="AU11" s="233">
        <v>98452.0</v>
      </c>
      <c r="AV11" s="233"/>
      <c r="AW11" s="233">
        <f t="shared" si="9"/>
        <v>125804</v>
      </c>
      <c r="AX11" s="233">
        <f>1128675+25937+34489+3230+1347+43092+118926+1800</f>
        <v>1357496</v>
      </c>
      <c r="AY11" s="233">
        <f t="shared" si="10"/>
        <v>1483300</v>
      </c>
      <c r="AZ11" s="1" t="s">
        <v>1499</v>
      </c>
      <c r="BA11" s="240"/>
      <c r="BD11" s="235"/>
    </row>
    <row r="12" ht="12.75" customHeight="1">
      <c r="A12" s="202" t="s">
        <v>67</v>
      </c>
      <c r="B12" s="202" t="s">
        <v>68</v>
      </c>
      <c r="C12" s="202" t="s">
        <v>1298</v>
      </c>
      <c r="D12" s="202" t="s">
        <v>1301</v>
      </c>
      <c r="E12" s="236">
        <v>4.975E10</v>
      </c>
      <c r="F12" s="230" t="str">
        <f>IF(ISNUMBER(Table1[[#This Row],[2019 Scope 3 ]]),IF(Table1[[#This Row],[Net Earnings/Income (2019)]]-k_cost*Table1[[#This Row],[2019 Total Scope 1, 2 + 3]]&lt;0,"Y","N"),"NA")</f>
        <v>#ERROR!</v>
      </c>
      <c r="G12" s="62" t="str">
        <f>IF(ISNUMBER(Table1[[#This Row],[2019 Scope 3 ]]),IF(k_cost*Table1[[#This Row],[2019 Total Scope 1, 2 + 3]]/Table1[[#This Row],[Size (2019 Revenue)]]&gt;k_rev_max,"Y","N"),"NA")</f>
        <v>#ERROR!</v>
      </c>
      <c r="H12" s="62" t="str">
        <f>IF(OR(Table1[[#This Row],[Net earnings post carbon price @85/t]]="Y",Table1[[#This Row],[Carbon costs in % revenue]] = "Y"),"Y",IF(OR(Table1[[#This Row],[Net earnings post carbon price @85/t]]="NA",Table1[[#This Row],[Carbon costs in % revenue]]="NA"),"NA","N"))</f>
        <v>#ERROR!</v>
      </c>
      <c r="I12" s="236">
        <v>3.3E9</v>
      </c>
      <c r="J12" s="231">
        <v>1969.0</v>
      </c>
      <c r="K12" s="202" t="s">
        <v>1498</v>
      </c>
      <c r="L12" s="202" t="s">
        <v>1499</v>
      </c>
      <c r="M12" s="1" t="s">
        <v>1499</v>
      </c>
      <c r="P12" s="216" t="s">
        <v>1499</v>
      </c>
      <c r="Q12" s="1" t="s">
        <v>1499</v>
      </c>
      <c r="R12" s="202" t="s">
        <v>1499</v>
      </c>
      <c r="S12" s="202" t="s">
        <v>1499</v>
      </c>
      <c r="T12" s="218" t="str">
        <f>IFERROR((Table1[[#This Row],[2019 Total Scope 1, 2 + 3]])/Table1[[#This Row],[2018 Total Scope 1, 2 + Scope 3]]-1,"NA")</f>
        <v>#ERROR!</v>
      </c>
      <c r="U12" s="202"/>
      <c r="V12" s="233">
        <v>17121.0</v>
      </c>
      <c r="W12" s="233">
        <v>93781.0</v>
      </c>
      <c r="X12" s="233"/>
      <c r="Y12" s="233">
        <f t="shared" si="1"/>
        <v>110902</v>
      </c>
      <c r="Z12" s="233" t="s">
        <v>536</v>
      </c>
      <c r="AA12" s="233" t="str">
        <f t="shared" si="2"/>
        <v/>
      </c>
      <c r="AB12" s="233" t="s">
        <v>536</v>
      </c>
      <c r="AC12" s="233">
        <v>8824.0</v>
      </c>
      <c r="AD12" s="233"/>
      <c r="AE12" s="233" t="str">
        <f t="shared" si="3"/>
        <v/>
      </c>
      <c r="AF12" s="233" t="s">
        <v>536</v>
      </c>
      <c r="AG12" s="233" t="str">
        <f t="shared" si="4"/>
        <v/>
      </c>
      <c r="AH12" s="233" t="s">
        <v>536</v>
      </c>
      <c r="AI12" s="233">
        <v>9781.0</v>
      </c>
      <c r="AJ12" s="233"/>
      <c r="AK12" s="233" t="str">
        <f t="shared" si="5"/>
        <v/>
      </c>
      <c r="AL12" s="233" t="s">
        <v>536</v>
      </c>
      <c r="AM12" s="233" t="str">
        <f t="shared" si="6"/>
        <v/>
      </c>
      <c r="AN12" s="233" t="s">
        <v>536</v>
      </c>
      <c r="AO12" s="233">
        <v>12135.0</v>
      </c>
      <c r="AP12" s="233"/>
      <c r="AQ12" s="233" t="str">
        <f t="shared" si="7"/>
        <v/>
      </c>
      <c r="AR12" s="233" t="s">
        <v>536</v>
      </c>
      <c r="AS12" s="233" t="str">
        <f t="shared" si="8"/>
        <v/>
      </c>
      <c r="AT12" s="233" t="s">
        <v>536</v>
      </c>
      <c r="AU12" s="233" t="s">
        <v>536</v>
      </c>
      <c r="AV12" s="233"/>
      <c r="AW12" s="233" t="str">
        <f t="shared" si="9"/>
        <v/>
      </c>
      <c r="AX12" s="233" t="s">
        <v>536</v>
      </c>
      <c r="AY12" s="233" t="str">
        <f t="shared" si="10"/>
        <v/>
      </c>
      <c r="AZ12" s="233" t="s">
        <v>1499</v>
      </c>
      <c r="BA12" s="234" t="s">
        <v>1516</v>
      </c>
      <c r="BB12" s="234" t="s">
        <v>1517</v>
      </c>
      <c r="BD12" s="235"/>
    </row>
    <row r="13" ht="12.75" customHeight="1">
      <c r="A13" s="202" t="s">
        <v>73</v>
      </c>
      <c r="B13" s="202" t="s">
        <v>73</v>
      </c>
      <c r="C13" s="202" t="s">
        <v>1314</v>
      </c>
      <c r="D13" s="1" t="s">
        <v>1314</v>
      </c>
      <c r="E13" s="236">
        <v>7.58E9</v>
      </c>
      <c r="F13" s="230" t="str">
        <f>IF(ISNUMBER(Table1[[#This Row],[2019 Scope 3 ]]),IF(Table1[[#This Row],[Net Earnings/Income (2019)]]-k_cost*Table1[[#This Row],[2019 Total Scope 1, 2 + 3]]&lt;0,"Y","N"),"NA")</f>
        <v>#ERROR!</v>
      </c>
      <c r="G13" s="62" t="str">
        <f>IF(ISNUMBER(Table1[[#This Row],[2019 Scope 3 ]]),IF(k_cost*Table1[[#This Row],[2019 Total Scope 1, 2 + 3]]/Table1[[#This Row],[Size (2019 Revenue)]]&gt;k_rev_max,"Y","N"),"NA")</f>
        <v>#ERROR!</v>
      </c>
      <c r="H13" s="62" t="str">
        <f>IF(OR(Table1[[#This Row],[Net earnings post carbon price @85/t]]="Y",Table1[[#This Row],[Carbon costs in % revenue]] = "Y"),"Y",IF(OR(Table1[[#This Row],[Net earnings post carbon price @85/t]]="NA",Table1[[#This Row],[Carbon costs in % revenue]]="NA"),"NA","N"))</f>
        <v>#ERROR!</v>
      </c>
      <c r="I13" s="236">
        <v>1.888E9</v>
      </c>
      <c r="J13" s="231">
        <v>1995.0</v>
      </c>
      <c r="K13" s="202" t="s">
        <v>1498</v>
      </c>
      <c r="L13" s="241" t="s">
        <v>1499</v>
      </c>
      <c r="M13" s="202" t="s">
        <v>1499</v>
      </c>
      <c r="P13" s="216" t="s">
        <v>1499</v>
      </c>
      <c r="R13" s="202" t="s">
        <v>1499</v>
      </c>
      <c r="S13" s="202" t="s">
        <v>1499</v>
      </c>
      <c r="T13" s="218" t="str">
        <f>IFERROR((Table1[[#This Row],[2019 Total Scope 1, 2 + 3]])/Table1[[#This Row],[2018 Total Scope 1, 2 + Scope 3]]-1,"NA")</f>
        <v>#ERROR!</v>
      </c>
      <c r="U13" s="202"/>
      <c r="V13" s="233">
        <v>556281.0</v>
      </c>
      <c r="W13" s="233">
        <v>1780621.0</v>
      </c>
      <c r="X13" s="233">
        <v>92145.0</v>
      </c>
      <c r="Y13" s="233">
        <f t="shared" si="1"/>
        <v>2244757</v>
      </c>
      <c r="Z13" s="233" t="s">
        <v>536</v>
      </c>
      <c r="AA13" s="233" t="str">
        <f t="shared" si="2"/>
        <v/>
      </c>
      <c r="AB13" s="233">
        <v>615347.0</v>
      </c>
      <c r="AC13" s="233">
        <v>1796960.0</v>
      </c>
      <c r="AD13" s="233"/>
      <c r="AE13" s="233">
        <f t="shared" si="3"/>
        <v>2412307</v>
      </c>
      <c r="AF13" s="233" t="s">
        <v>536</v>
      </c>
      <c r="AG13" s="233" t="str">
        <f t="shared" si="4"/>
        <v/>
      </c>
      <c r="AH13" s="233">
        <v>650755.0</v>
      </c>
      <c r="AI13" s="233">
        <v>1617395.0</v>
      </c>
      <c r="AJ13" s="233"/>
      <c r="AK13" s="233">
        <f t="shared" si="5"/>
        <v>2268150</v>
      </c>
      <c r="AL13" s="233" t="s">
        <v>536</v>
      </c>
      <c r="AM13" s="233" t="str">
        <f t="shared" si="6"/>
        <v/>
      </c>
      <c r="AN13" s="233" t="s">
        <v>536</v>
      </c>
      <c r="AO13" s="233" t="s">
        <v>536</v>
      </c>
      <c r="AP13" s="233"/>
      <c r="AQ13" s="233" t="str">
        <f t="shared" si="7"/>
        <v/>
      </c>
      <c r="AR13" s="233" t="s">
        <v>536</v>
      </c>
      <c r="AS13" s="233" t="str">
        <f t="shared" si="8"/>
        <v/>
      </c>
      <c r="AT13" s="233" t="s">
        <v>536</v>
      </c>
      <c r="AU13" s="233" t="s">
        <v>536</v>
      </c>
      <c r="AV13" s="233"/>
      <c r="AW13" s="233" t="str">
        <f t="shared" si="9"/>
        <v/>
      </c>
      <c r="AX13" s="233" t="s">
        <v>536</v>
      </c>
      <c r="AY13" s="233" t="str">
        <f t="shared" si="10"/>
        <v/>
      </c>
      <c r="AZ13" s="1" t="s">
        <v>1499</v>
      </c>
      <c r="BA13" s="234" t="s">
        <v>1518</v>
      </c>
      <c r="BD13" s="235" t="s">
        <v>1519</v>
      </c>
    </row>
    <row r="14" ht="12.75" customHeight="1">
      <c r="A14" s="1" t="s">
        <v>78</v>
      </c>
      <c r="B14" s="202" t="s">
        <v>79</v>
      </c>
      <c r="C14" s="1" t="s">
        <v>1283</v>
      </c>
      <c r="D14" s="1" t="s">
        <v>1503</v>
      </c>
      <c r="E14" s="236">
        <v>2.34E10</v>
      </c>
      <c r="F14" s="230" t="str">
        <f>IF(ISNUMBER(Table1[[#This Row],[2019 Scope 3 ]]),IF(Table1[[#This Row],[Net Earnings/Income (2019)]]-k_cost*Table1[[#This Row],[2019 Total Scope 1, 2 + 3]]&lt;0,"Y","N"),"NA")</f>
        <v>#ERROR!</v>
      </c>
      <c r="G14" s="62" t="str">
        <f>IF(ISNUMBER(Table1[[#This Row],[2019 Scope 3 ]]),IF(k_cost*Table1[[#This Row],[2019 Total Scope 1, 2 + 3]]/Table1[[#This Row],[Size (2019 Revenue)]]&gt;k_rev_max,"Y","N"),"NA")</f>
        <v>#ERROR!</v>
      </c>
      <c r="H14" s="62" t="str">
        <f>IF(OR(Table1[[#This Row],[Net earnings post carbon price @85/t]]="Y",Table1[[#This Row],[Carbon costs in % revenue]] = "Y"),"Y",IF(OR(Table1[[#This Row],[Net earnings post carbon price @85/t]]="NA",Table1[[#This Row],[Carbon costs in % revenue]]="NA"),"NA","N"))</f>
        <v>#ERROR!</v>
      </c>
      <c r="I14" s="236">
        <v>7.84E9</v>
      </c>
      <c r="J14" s="231">
        <v>1983.0</v>
      </c>
      <c r="K14" s="202" t="s">
        <v>1498</v>
      </c>
      <c r="L14" s="202" t="s">
        <v>1499</v>
      </c>
      <c r="M14" s="1" t="s">
        <v>1499</v>
      </c>
      <c r="P14" s="216"/>
      <c r="Q14" s="1" t="s">
        <v>1499</v>
      </c>
      <c r="R14" s="202" t="s">
        <v>1499</v>
      </c>
      <c r="S14" s="202" t="s">
        <v>1499</v>
      </c>
      <c r="T14" s="218" t="str">
        <f>IFERROR((Table1[[#This Row],[2019 Total Scope 1, 2 + 3]])/Table1[[#This Row],[2018 Total Scope 1, 2 + Scope 3]]-1,"NA")</f>
        <v>#ERROR!</v>
      </c>
      <c r="U14" s="202"/>
      <c r="V14" s="233">
        <v>135954.0</v>
      </c>
      <c r="W14" s="233">
        <v>160360.0</v>
      </c>
      <c r="X14" s="233"/>
      <c r="Y14" s="233">
        <f t="shared" si="1"/>
        <v>296314</v>
      </c>
      <c r="Z14" s="233">
        <f>2323917+258132+52554+22572+3454+56478+56210+52991+3047</f>
        <v>2829355</v>
      </c>
      <c r="AA14" s="233">
        <f t="shared" si="2"/>
        <v>3125669</v>
      </c>
      <c r="AB14" s="233">
        <v>160184.0</v>
      </c>
      <c r="AC14" s="233">
        <v>159848.0</v>
      </c>
      <c r="AD14" s="233"/>
      <c r="AE14" s="233">
        <f t="shared" si="3"/>
        <v>320032</v>
      </c>
      <c r="AF14" s="233">
        <f>2413684+263202+29187+33207+1405+59334+56483</f>
        <v>2856502</v>
      </c>
      <c r="AG14" s="233">
        <f t="shared" si="4"/>
        <v>3176534</v>
      </c>
      <c r="AH14" s="233">
        <v>163362.0</v>
      </c>
      <c r="AI14" s="233">
        <v>139035.0</v>
      </c>
      <c r="AJ14" s="233"/>
      <c r="AK14" s="233">
        <f t="shared" si="5"/>
        <v>302397</v>
      </c>
      <c r="AL14" s="233" t="s">
        <v>536</v>
      </c>
      <c r="AM14" s="233" t="str">
        <f t="shared" si="6"/>
        <v/>
      </c>
      <c r="AN14" s="233">
        <v>116643.0</v>
      </c>
      <c r="AO14" s="233">
        <v>196000.0</v>
      </c>
      <c r="AP14" s="233"/>
      <c r="AQ14" s="233">
        <f t="shared" si="7"/>
        <v>312643</v>
      </c>
      <c r="AR14" s="233" t="s">
        <v>536</v>
      </c>
      <c r="AS14" s="233" t="str">
        <f t="shared" si="8"/>
        <v/>
      </c>
      <c r="AT14" s="233">
        <v>125674.0</v>
      </c>
      <c r="AU14" s="233">
        <v>281940.0</v>
      </c>
      <c r="AV14" s="233"/>
      <c r="AW14" s="233">
        <f t="shared" si="9"/>
        <v>407614</v>
      </c>
      <c r="AX14" s="233" t="s">
        <v>536</v>
      </c>
      <c r="AY14" s="233" t="str">
        <f t="shared" si="10"/>
        <v/>
      </c>
      <c r="AZ14" s="1" t="s">
        <v>1499</v>
      </c>
      <c r="BA14" s="234" t="s">
        <v>1520</v>
      </c>
      <c r="BD14" s="235"/>
    </row>
    <row r="15" ht="12.75" customHeight="1">
      <c r="A15" s="1" t="s">
        <v>84</v>
      </c>
      <c r="B15" s="202" t="s">
        <v>85</v>
      </c>
      <c r="C15" s="1" t="s">
        <v>1291</v>
      </c>
      <c r="D15" s="202" t="s">
        <v>1521</v>
      </c>
      <c r="E15" s="230">
        <v>2.60174E11</v>
      </c>
      <c r="F15" s="230" t="str">
        <f>IF(ISNUMBER(Table1[[#This Row],[2019 Scope 3 ]]),IF(Table1[[#This Row],[Net Earnings/Income (2019)]]-k_cost*Table1[[#This Row],[2019 Total Scope 1, 2 + 3]]&lt;0,"Y","N"),"NA")</f>
        <v>#ERROR!</v>
      </c>
      <c r="G15" s="62" t="str">
        <f>IF(ISNUMBER(Table1[[#This Row],[2019 Scope 3 ]]),IF(k_cost*Table1[[#This Row],[2019 Total Scope 1, 2 + 3]]/Table1[[#This Row],[Size (2019 Revenue)]]&gt;k_rev_max,"Y","N"),"NA")</f>
        <v>#ERROR!</v>
      </c>
      <c r="H15" s="62" t="str">
        <f>IF(OR(Table1[[#This Row],[Net earnings post carbon price @85/t]]="Y",Table1[[#This Row],[Carbon costs in % revenue]] = "Y"),"Y",IF(OR(Table1[[#This Row],[Net earnings post carbon price @85/t]]="NA",Table1[[#This Row],[Carbon costs in % revenue]]="NA"),"NA","N"))</f>
        <v>#ERROR!</v>
      </c>
      <c r="I15" s="230">
        <v>5.5256E10</v>
      </c>
      <c r="J15" s="231">
        <v>1980.0</v>
      </c>
      <c r="K15" s="230" t="s">
        <v>1498</v>
      </c>
      <c r="L15" s="1" t="s">
        <v>1498</v>
      </c>
      <c r="M15" s="1" t="s">
        <v>1499</v>
      </c>
      <c r="N15" s="1">
        <v>2030.0</v>
      </c>
      <c r="O15" s="1">
        <v>2020.0</v>
      </c>
      <c r="P15" s="216">
        <v>1083243.0</v>
      </c>
      <c r="Q15" s="1" t="s">
        <v>1499</v>
      </c>
      <c r="R15" s="1" t="s">
        <v>1498</v>
      </c>
      <c r="S15" s="1">
        <v>2018.0</v>
      </c>
      <c r="T15" s="218" t="str">
        <f>IFERROR((Table1[[#This Row],[2019 Total Scope 1, 2 + 3]])/Table1[[#This Row],[2018 Total Scope 1, 2 + Scope 3]]-1,"NA")</f>
        <v>#ERROR!</v>
      </c>
      <c r="V15" s="233">
        <v>50549.0</v>
      </c>
      <c r="W15" s="233">
        <v>0.0</v>
      </c>
      <c r="X15" s="233"/>
      <c r="Y15" s="233">
        <f t="shared" si="1"/>
        <v>50549</v>
      </c>
      <c r="Z15" s="233">
        <f>18900000+486000+325500+194700+999000+4100000+60000</f>
        <v>25065200</v>
      </c>
      <c r="AA15" s="233">
        <f t="shared" si="2"/>
        <v>25115749</v>
      </c>
      <c r="AB15" s="233">
        <v>54590.0</v>
      </c>
      <c r="AC15" s="233">
        <v>8730.0</v>
      </c>
      <c r="AD15" s="233"/>
      <c r="AE15" s="233">
        <f t="shared" si="3"/>
        <v>63320</v>
      </c>
      <c r="AF15" s="233">
        <v>2.46E7</v>
      </c>
      <c r="AG15" s="233">
        <f t="shared" si="4"/>
        <v>24663320</v>
      </c>
      <c r="AH15" s="233">
        <v>45400.0</v>
      </c>
      <c r="AI15" s="233">
        <v>36250.0</v>
      </c>
      <c r="AJ15" s="233"/>
      <c r="AK15" s="233">
        <f t="shared" si="5"/>
        <v>81650</v>
      </c>
      <c r="AL15" s="233">
        <v>293440.0</v>
      </c>
      <c r="AM15" s="233">
        <f t="shared" si="6"/>
        <v>375090</v>
      </c>
      <c r="AN15" s="233">
        <v>34370.0</v>
      </c>
      <c r="AO15" s="233">
        <v>31000.0</v>
      </c>
      <c r="AP15" s="233"/>
      <c r="AQ15" s="233">
        <f t="shared" si="7"/>
        <v>65370</v>
      </c>
      <c r="AR15" s="233">
        <f>22800000+350000+117500+186400+830000+5000000+300000</f>
        <v>29583900</v>
      </c>
      <c r="AS15" s="233">
        <f t="shared" si="8"/>
        <v>29649270</v>
      </c>
      <c r="AT15" s="233">
        <v>28100.0</v>
      </c>
      <c r="AU15" s="233">
        <v>42460.0</v>
      </c>
      <c r="AV15" s="233"/>
      <c r="AW15" s="233">
        <f t="shared" si="9"/>
        <v>70560</v>
      </c>
      <c r="AX15" s="233" t="s">
        <v>536</v>
      </c>
      <c r="AY15" s="233" t="str">
        <f t="shared" si="10"/>
        <v/>
      </c>
      <c r="AZ15" s="1" t="s">
        <v>1498</v>
      </c>
      <c r="BC15" s="202" t="s">
        <v>1522</v>
      </c>
      <c r="BD15" s="235"/>
    </row>
    <row r="16" ht="12.75" customHeight="1">
      <c r="A16" s="1" t="s">
        <v>90</v>
      </c>
      <c r="B16" s="202" t="s">
        <v>91</v>
      </c>
      <c r="C16" s="1" t="s">
        <v>1302</v>
      </c>
      <c r="D16" s="1" t="s">
        <v>1523</v>
      </c>
      <c r="E16" s="230">
        <v>1.812E11</v>
      </c>
      <c r="F16" s="230" t="str">
        <f>IF(ISNUMBER(Table1[[#This Row],[2019 Scope 3 ]]),IF(Table1[[#This Row],[Net Earnings/Income (2019)]]-k_cost*Table1[[#This Row],[2019 Total Scope 1, 2 + 3]]&lt;0,"Y","N"),"NA")</f>
        <v>#ERROR!</v>
      </c>
      <c r="G16" s="62" t="str">
        <f>IF(ISNUMBER(Table1[[#This Row],[2019 Scope 3 ]]),IF(k_cost*Table1[[#This Row],[2019 Total Scope 1, 2 + 3]]/Table1[[#This Row],[Size (2019 Revenue)]]&gt;k_rev_max,"Y","N"),"NA")</f>
        <v>#ERROR!</v>
      </c>
      <c r="H16" s="62" t="str">
        <f>IF(OR(Table1[[#This Row],[Net earnings post carbon price @85/t]]="Y",Table1[[#This Row],[Carbon costs in % revenue]] = "Y"),"Y",IF(OR(Table1[[#This Row],[Net earnings post carbon price @85/t]]="NA",Table1[[#This Row],[Carbon costs in % revenue]]="NA"),"NA","N"))</f>
        <v>#ERROR!</v>
      </c>
      <c r="I16" s="230">
        <v>1.39E10</v>
      </c>
      <c r="J16" s="231">
        <v>1983.0</v>
      </c>
      <c r="K16" s="230" t="s">
        <v>1498</v>
      </c>
      <c r="L16" s="1" t="s">
        <v>1498</v>
      </c>
      <c r="M16" s="1" t="s">
        <v>1498</v>
      </c>
      <c r="N16" s="1">
        <v>2035.0</v>
      </c>
      <c r="O16" s="1">
        <v>2020.0</v>
      </c>
      <c r="P16" s="1" t="s">
        <v>1499</v>
      </c>
      <c r="Q16" s="1" t="s">
        <v>1498</v>
      </c>
      <c r="R16" s="1" t="s">
        <v>1499</v>
      </c>
      <c r="S16" s="1" t="s">
        <v>1499</v>
      </c>
      <c r="T16" s="218" t="str">
        <f>IFERROR((Table1[[#This Row],[2019 Total Scope 1, 2 + 3]])/Table1[[#This Row],[2018 Total Scope 1, 2 + Scope 3]]-1,"NA")</f>
        <v>#ERROR!</v>
      </c>
      <c r="V16" s="233">
        <v>990000.0</v>
      </c>
      <c r="W16" s="233">
        <v>5530000.0</v>
      </c>
      <c r="X16" s="233"/>
      <c r="Y16" s="233">
        <f t="shared" si="1"/>
        <v>6520000</v>
      </c>
      <c r="Z16" s="233">
        <v>3890000.0</v>
      </c>
      <c r="AA16" s="233">
        <f t="shared" si="2"/>
        <v>10410000</v>
      </c>
      <c r="AB16" s="233">
        <v>1020000.0</v>
      </c>
      <c r="AC16" s="233">
        <v>6660000.0</v>
      </c>
      <c r="AD16" s="233"/>
      <c r="AE16" s="233">
        <f t="shared" si="3"/>
        <v>7680000</v>
      </c>
      <c r="AF16" s="233">
        <v>4350000.0</v>
      </c>
      <c r="AG16" s="233">
        <f t="shared" si="4"/>
        <v>12030000</v>
      </c>
      <c r="AH16" s="233">
        <v>1070000.0</v>
      </c>
      <c r="AI16" s="233">
        <v>6950000.0</v>
      </c>
      <c r="AJ16" s="233"/>
      <c r="AK16" s="233">
        <f t="shared" si="5"/>
        <v>8020000</v>
      </c>
      <c r="AL16" s="233">
        <v>3620000.0</v>
      </c>
      <c r="AM16" s="233">
        <f t="shared" si="6"/>
        <v>11640000</v>
      </c>
      <c r="AN16" s="233">
        <v>1080000.0</v>
      </c>
      <c r="AO16" s="233">
        <v>7810000.0</v>
      </c>
      <c r="AP16" s="233"/>
      <c r="AQ16" s="233">
        <f t="shared" si="7"/>
        <v>8890000</v>
      </c>
      <c r="AR16" s="233">
        <v>3400000.0</v>
      </c>
      <c r="AS16" s="233">
        <f t="shared" si="8"/>
        <v>12290000</v>
      </c>
      <c r="AT16" s="233">
        <v>1070000.0</v>
      </c>
      <c r="AU16" s="233">
        <v>7690000.0</v>
      </c>
      <c r="AV16" s="233"/>
      <c r="AW16" s="233">
        <f t="shared" si="9"/>
        <v>8760000</v>
      </c>
      <c r="AX16" s="233">
        <v>3030000.0</v>
      </c>
      <c r="AY16" s="233">
        <f t="shared" si="10"/>
        <v>11790000</v>
      </c>
      <c r="AZ16" s="1" t="s">
        <v>1499</v>
      </c>
      <c r="BA16" s="234" t="s">
        <v>1524</v>
      </c>
      <c r="BC16" s="240" t="s">
        <v>1525</v>
      </c>
      <c r="BD16" s="235"/>
    </row>
    <row r="17" ht="12.75" customHeight="1">
      <c r="A17" s="1" t="s">
        <v>96</v>
      </c>
      <c r="B17" s="202" t="s">
        <v>96</v>
      </c>
      <c r="C17" s="1" t="s">
        <v>1298</v>
      </c>
      <c r="D17" s="202" t="s">
        <v>1312</v>
      </c>
      <c r="E17" s="230">
        <v>9.124E10</v>
      </c>
      <c r="F17" s="230" t="str">
        <f>IF(ISNUMBER(Table1[[#This Row],[2019 Scope 3 ]]),IF(Table1[[#This Row],[Net Earnings/Income (2019)]]-k_cost*Table1[[#This Row],[2019 Total Scope 1, 2 + 3]]&lt;0,"Y","N"),"NA")</f>
        <v>#ERROR!</v>
      </c>
      <c r="G17" s="62" t="str">
        <f>IF(ISNUMBER(Table1[[#This Row],[2019 Scope 3 ]]),IF(k_cost*Table1[[#This Row],[2019 Total Scope 1, 2 + 3]]/Table1[[#This Row],[Size (2019 Revenue)]]&gt;k_rev_max,"Y","N"),"NA")</f>
        <v>#ERROR!</v>
      </c>
      <c r="H17" s="62" t="str">
        <f>IF(OR(Table1[[#This Row],[Net earnings post carbon price @85/t]]="Y",Table1[[#This Row],[Carbon costs in % revenue]] = "Y"),"Y",IF(OR(Table1[[#This Row],[Net earnings post carbon price @85/t]]="NA",Table1[[#This Row],[Carbon costs in % revenue]]="NA"),"NA","N"))</f>
        <v>#ERROR!</v>
      </c>
      <c r="I17" s="230">
        <v>2.5998E10</v>
      </c>
      <c r="J17" s="231">
        <v>1998.0</v>
      </c>
      <c r="K17" s="230" t="s">
        <v>1498</v>
      </c>
      <c r="L17" s="1" t="s">
        <v>1498</v>
      </c>
      <c r="M17" s="1" t="s">
        <v>1499</v>
      </c>
      <c r="N17" s="1">
        <v>2020.0</v>
      </c>
      <c r="O17" s="1">
        <v>2016.0</v>
      </c>
      <c r="Q17" s="1" t="s">
        <v>1498</v>
      </c>
      <c r="R17" s="241" t="s">
        <v>1498</v>
      </c>
      <c r="S17" s="1">
        <v>2020.0</v>
      </c>
      <c r="T17" s="218" t="str">
        <f>IFERROR((Table1[[#This Row],[2019 Total Scope 1, 2 + 3]])/Table1[[#This Row],[2018 Total Scope 1, 2 + Scope 3]]-1,"NA")</f>
        <v>#ERROR!</v>
      </c>
      <c r="V17" s="233">
        <v>62639.0</v>
      </c>
      <c r="W17" s="233">
        <v>17523.0</v>
      </c>
      <c r="X17" s="233"/>
      <c r="Y17" s="233">
        <f t="shared" si="1"/>
        <v>80162</v>
      </c>
      <c r="Z17" s="233">
        <f>2329208+251336+161151+140215+22386+162457+378088+1400000+4000+19000</f>
        <v>4867841</v>
      </c>
      <c r="AA17" s="233">
        <f t="shared" si="2"/>
        <v>4948003</v>
      </c>
      <c r="AB17" s="233">
        <v>85145.0</v>
      </c>
      <c r="AC17" s="233">
        <v>108614.0</v>
      </c>
      <c r="AD17" s="233"/>
      <c r="AE17" s="233">
        <f t="shared" si="3"/>
        <v>193759</v>
      </c>
      <c r="AF17" s="233">
        <v>4819113.0</v>
      </c>
      <c r="AG17" s="233">
        <f t="shared" si="4"/>
        <v>5012872</v>
      </c>
      <c r="AH17" s="233">
        <v>82298.0</v>
      </c>
      <c r="AI17" s="233">
        <v>173512.0</v>
      </c>
      <c r="AJ17" s="233"/>
      <c r="AK17" s="233">
        <f t="shared" si="5"/>
        <v>255810</v>
      </c>
      <c r="AL17" s="233"/>
      <c r="AM17" s="233">
        <f t="shared" si="6"/>
        <v>255810</v>
      </c>
      <c r="AN17" s="233">
        <v>83473.0</v>
      </c>
      <c r="AO17" s="233">
        <v>369084.0</v>
      </c>
      <c r="AP17" s="233"/>
      <c r="AQ17" s="233">
        <f t="shared" si="7"/>
        <v>452557</v>
      </c>
      <c r="AR17" s="233">
        <f>1944781+312588+208087+15968+10761+154531+373481+1500000+5000+18000</f>
        <v>4543197</v>
      </c>
      <c r="AS17" s="233">
        <f t="shared" si="8"/>
        <v>4995754</v>
      </c>
      <c r="AT17" s="233">
        <v>98911.0</v>
      </c>
      <c r="AU17" s="233">
        <v>1036822.0</v>
      </c>
      <c r="AV17" s="233"/>
      <c r="AW17" s="233">
        <f t="shared" si="9"/>
        <v>1135733</v>
      </c>
      <c r="AX17" s="233">
        <f>1674213+85933+215561+14818+16525+184613+388595+900000+9000+24000</f>
        <v>3513258</v>
      </c>
      <c r="AY17" s="233">
        <f t="shared" si="10"/>
        <v>4648991</v>
      </c>
      <c r="AZ17" s="1" t="s">
        <v>1499</v>
      </c>
      <c r="BA17" s="240" t="s">
        <v>1526</v>
      </c>
      <c r="BB17" s="240" t="s">
        <v>1527</v>
      </c>
      <c r="BC17" s="240" t="s">
        <v>1528</v>
      </c>
      <c r="BD17" s="235" t="s">
        <v>1529</v>
      </c>
    </row>
    <row r="18" ht="12.75" customHeight="1">
      <c r="A18" s="202" t="s">
        <v>101</v>
      </c>
      <c r="B18" s="202" t="s">
        <v>102</v>
      </c>
      <c r="C18" s="202" t="s">
        <v>1298</v>
      </c>
      <c r="D18" s="202" t="s">
        <v>1301</v>
      </c>
      <c r="E18" s="230">
        <v>2.54616E11</v>
      </c>
      <c r="F18" s="230" t="str">
        <f>IF(ISNUMBER(Table1[[#This Row],[2019 Scope 3 ]]),IF(Table1[[#This Row],[Net Earnings/Income (2019)]]-k_cost*Table1[[#This Row],[2019 Total Scope 1, 2 + 3]]&lt;0,"Y","N"),"NA")</f>
        <v>#ERROR!</v>
      </c>
      <c r="G18" s="62" t="str">
        <f>IF(ISNUMBER(Table1[[#This Row],[2019 Scope 3 ]]),IF(k_cost*Table1[[#This Row],[2019 Total Scope 1, 2 + 3]]/Table1[[#This Row],[Size (2019 Revenue)]]&gt;k_rev_max,"Y","N"),"NA")</f>
        <v>#ERROR!</v>
      </c>
      <c r="H18" s="62" t="str">
        <f>IF(OR(Table1[[#This Row],[Net earnings post carbon price @85/t]]="Y",Table1[[#This Row],[Carbon costs in % revenue]] = "Y"),"Y",IF(OR(Table1[[#This Row],[Net earnings post carbon price @85/t]]="NA",Table1[[#This Row],[Carbon costs in % revenue]]="NA"),"NA","N"))</f>
        <v>#ERROR!</v>
      </c>
      <c r="I18" s="230">
        <v>8.1417E10</v>
      </c>
      <c r="J18" s="231">
        <v>1839.0</v>
      </c>
      <c r="K18" s="230" t="s">
        <v>1498</v>
      </c>
      <c r="L18" s="1" t="s">
        <v>1499</v>
      </c>
      <c r="M18" s="1" t="s">
        <v>1499</v>
      </c>
      <c r="P18" s="1" t="s">
        <v>1499</v>
      </c>
      <c r="Q18" s="1" t="s">
        <v>1499</v>
      </c>
      <c r="R18" s="1" t="s">
        <v>1499</v>
      </c>
      <c r="S18" s="1" t="s">
        <v>1499</v>
      </c>
      <c r="T18" s="218" t="str">
        <f>IFERROR((Table1[[#This Row],[2019 Total Scope 1, 2 + 3]])/Table1[[#This Row],[2018 Total Scope 1, 2 + Scope 3]]-1,"NA")</f>
        <v>#ERROR!</v>
      </c>
      <c r="V18" s="233" t="s">
        <v>536</v>
      </c>
      <c r="W18" s="233" t="s">
        <v>536</v>
      </c>
      <c r="X18" s="233"/>
      <c r="Y18" s="233" t="str">
        <f t="shared" si="1"/>
        <v/>
      </c>
      <c r="Z18" s="233" t="s">
        <v>536</v>
      </c>
      <c r="AA18" s="233" t="str">
        <f t="shared" si="2"/>
        <v/>
      </c>
      <c r="AB18" s="233" t="s">
        <v>536</v>
      </c>
      <c r="AC18" s="233" t="s">
        <v>536</v>
      </c>
      <c r="AD18" s="233"/>
      <c r="AE18" s="233" t="str">
        <f t="shared" si="3"/>
        <v/>
      </c>
      <c r="AF18" s="233" t="s">
        <v>536</v>
      </c>
      <c r="AG18" s="233" t="str">
        <f t="shared" si="4"/>
        <v/>
      </c>
      <c r="AH18" s="233" t="s">
        <v>536</v>
      </c>
      <c r="AI18" s="233" t="s">
        <v>536</v>
      </c>
      <c r="AJ18" s="233"/>
      <c r="AK18" s="233" t="str">
        <f t="shared" si="5"/>
        <v/>
      </c>
      <c r="AL18" s="233" t="s">
        <v>536</v>
      </c>
      <c r="AM18" s="233" t="str">
        <f t="shared" si="6"/>
        <v/>
      </c>
      <c r="AN18" s="233" t="s">
        <v>536</v>
      </c>
      <c r="AO18" s="233" t="s">
        <v>536</v>
      </c>
      <c r="AP18" s="233"/>
      <c r="AQ18" s="233" t="str">
        <f t="shared" si="7"/>
        <v/>
      </c>
      <c r="AR18" s="233" t="s">
        <v>536</v>
      </c>
      <c r="AS18" s="233" t="str">
        <f t="shared" si="8"/>
        <v/>
      </c>
      <c r="AT18" s="233" t="s">
        <v>536</v>
      </c>
      <c r="AU18" s="233" t="s">
        <v>536</v>
      </c>
      <c r="AV18" s="233"/>
      <c r="AW18" s="233" t="str">
        <f t="shared" si="9"/>
        <v/>
      </c>
      <c r="AX18" s="233" t="s">
        <v>536</v>
      </c>
      <c r="AY18" s="233" t="str">
        <f t="shared" si="10"/>
        <v/>
      </c>
      <c r="AZ18" s="1" t="s">
        <v>1499</v>
      </c>
      <c r="BD18" s="235"/>
    </row>
    <row r="19" ht="12.75" customHeight="1">
      <c r="A19" s="202" t="s">
        <v>105</v>
      </c>
      <c r="B19" s="202" t="s">
        <v>106</v>
      </c>
      <c r="C19" s="202" t="s">
        <v>1283</v>
      </c>
      <c r="D19" s="1" t="s">
        <v>1503</v>
      </c>
      <c r="E19" s="230">
        <v>1.35E10</v>
      </c>
      <c r="F19" s="230" t="str">
        <f>IF(ISNUMBER(Table1[[#This Row],[2019 Scope 3 ]]),IF(Table1[[#This Row],[Net Earnings/Income (2019)]]-k_cost*Table1[[#This Row],[2019 Total Scope 1, 2 + 3]]&lt;0,"Y","N"),"NA")</f>
        <v>#ERROR!</v>
      </c>
      <c r="G19" s="62" t="str">
        <f>IF(ISNUMBER(Table1[[#This Row],[2019 Scope 3 ]]),IF(k_cost*Table1[[#This Row],[2019 Total Scope 1, 2 + 3]]/Table1[[#This Row],[Size (2019 Revenue)]]&gt;k_rev_max,"Y","N"),"NA")</f>
        <v>#ERROR!</v>
      </c>
      <c r="H19" s="62" t="str">
        <f>IF(OR(Table1[[#This Row],[Net earnings post carbon price @85/t]]="Y",Table1[[#This Row],[Carbon costs in % revenue]] = "Y"),"Y",IF(OR(Table1[[#This Row],[Net earnings post carbon price @85/t]]="NA",Table1[[#This Row],[Carbon costs in % revenue]]="NA"),"NA","N"))</f>
        <v>#ERROR!</v>
      </c>
      <c r="I19" s="230">
        <v>4.4E9</v>
      </c>
      <c r="J19" s="231">
        <v>1978.0</v>
      </c>
      <c r="K19" s="230" t="s">
        <v>1498</v>
      </c>
      <c r="L19" s="1" t="s">
        <v>1498</v>
      </c>
      <c r="M19" s="1" t="s">
        <v>1498</v>
      </c>
      <c r="N19" s="1">
        <v>2015.0</v>
      </c>
      <c r="O19" s="1">
        <v>2015.0</v>
      </c>
      <c r="P19" s="1" t="s">
        <v>1499</v>
      </c>
      <c r="Q19" s="1" t="s">
        <v>1498</v>
      </c>
      <c r="R19" s="1" t="s">
        <v>1498</v>
      </c>
      <c r="S19" s="1">
        <v>2014.0</v>
      </c>
      <c r="T19" s="218" t="str">
        <f>IFERROR((Table1[[#This Row],[2019 Total Scope 1, 2 + 3]])/Table1[[#This Row],[2018 Total Scope 1, 2 + Scope 3]]-1,"NA")</f>
        <v>#ERROR!</v>
      </c>
      <c r="V19" s="233">
        <v>67031.0</v>
      </c>
      <c r="W19" s="233">
        <v>106.0</v>
      </c>
      <c r="X19" s="233"/>
      <c r="Y19" s="233">
        <f t="shared" si="1"/>
        <v>67137</v>
      </c>
      <c r="Z19" s="233">
        <f>334954+32759+10515+645+24083+9516+12065</f>
        <v>424537</v>
      </c>
      <c r="AA19" s="233">
        <f t="shared" si="2"/>
        <v>491674</v>
      </c>
      <c r="AB19" s="233">
        <v>68448.0</v>
      </c>
      <c r="AC19" s="233">
        <v>40172.0</v>
      </c>
      <c r="AD19" s="233">
        <v>76642.0</v>
      </c>
      <c r="AE19" s="233">
        <f t="shared" si="3"/>
        <v>31978</v>
      </c>
      <c r="AF19" s="233">
        <v>436265.0</v>
      </c>
      <c r="AG19" s="233">
        <f t="shared" si="4"/>
        <v>468243</v>
      </c>
      <c r="AH19" s="233">
        <v>61616.0</v>
      </c>
      <c r="AI19" s="233">
        <v>42408.0</v>
      </c>
      <c r="AJ19" s="233">
        <v>69783.0</v>
      </c>
      <c r="AK19" s="233">
        <f t="shared" si="5"/>
        <v>34241</v>
      </c>
      <c r="AL19" s="233">
        <v>436265.0</v>
      </c>
      <c r="AM19" s="233">
        <f t="shared" si="6"/>
        <v>470506</v>
      </c>
      <c r="AN19" s="233">
        <v>61970.0</v>
      </c>
      <c r="AO19" s="233">
        <v>45899.0</v>
      </c>
      <c r="AP19" s="233">
        <v>316917.0</v>
      </c>
      <c r="AQ19" s="233">
        <f t="shared" si="7"/>
        <v>-209048</v>
      </c>
      <c r="AR19" s="233">
        <v>254791.0</v>
      </c>
      <c r="AS19" s="233">
        <f t="shared" si="8"/>
        <v>45743</v>
      </c>
      <c r="AT19" s="233">
        <v>60179.0</v>
      </c>
      <c r="AU19" s="233">
        <v>38173.0</v>
      </c>
      <c r="AV19" s="233">
        <v>322563.0</v>
      </c>
      <c r="AW19" s="233">
        <f t="shared" si="9"/>
        <v>-224211</v>
      </c>
      <c r="AX19" s="233">
        <v>262358.0</v>
      </c>
      <c r="AY19" s="233">
        <f t="shared" si="10"/>
        <v>38147</v>
      </c>
      <c r="AZ19" s="1" t="s">
        <v>1499</v>
      </c>
      <c r="BD19" s="235"/>
    </row>
    <row r="20" ht="12.75" customHeight="1">
      <c r="A20" s="202" t="s">
        <v>111</v>
      </c>
      <c r="B20" s="202" t="s">
        <v>112</v>
      </c>
      <c r="C20" s="202" t="s">
        <v>1298</v>
      </c>
      <c r="D20" s="202" t="s">
        <v>1530</v>
      </c>
      <c r="E20" s="230">
        <v>1.4539E10</v>
      </c>
      <c r="F20" s="230" t="str">
        <f>IF(ISNUMBER(Table1[[#This Row],[2019 Scope 3 ]]),IF(Table1[[#This Row],[Net Earnings/Income (2019)]]-k_cost*Table1[[#This Row],[2019 Total Scope 1, 2 + 3]]&lt;0,"Y","N"),"NA")</f>
        <v>#ERROR!</v>
      </c>
      <c r="G20" s="62" t="str">
        <f>IF(ISNUMBER(Table1[[#This Row],[2019 Scope 3 ]]),IF(k_cost*Table1[[#This Row],[2019 Total Scope 1, 2 + 3]]/Table1[[#This Row],[Size (2019 Revenue)]]&gt;k_rev_max,"Y","N"),"NA")</f>
        <v>#ERROR!</v>
      </c>
      <c r="H20" s="62" t="str">
        <f>IF(OR(Table1[[#This Row],[Net earnings post carbon price @85/t]]="Y",Table1[[#This Row],[Carbon costs in % revenue]] = "Y"),"Y",IF(OR(Table1[[#This Row],[Net earnings post carbon price @85/t]]="NA",Table1[[#This Row],[Carbon costs in % revenue]]="NA"),"NA","N"))</f>
        <v>#ERROR!</v>
      </c>
      <c r="I20" s="230">
        <v>4.484E9</v>
      </c>
      <c r="J20" s="231">
        <v>1988.0</v>
      </c>
      <c r="K20" s="230" t="s">
        <v>1498</v>
      </c>
      <c r="L20" s="1" t="s">
        <v>1499</v>
      </c>
      <c r="M20" s="1" t="s">
        <v>1499</v>
      </c>
      <c r="R20" s="1" t="s">
        <v>1498</v>
      </c>
      <c r="S20" s="1">
        <v>2020.0</v>
      </c>
      <c r="T20" s="218" t="str">
        <f>IFERROR((Table1[[#This Row],[2019 Total Scope 1, 2 + 3]])/Table1[[#This Row],[2018 Total Scope 1, 2 + Scope 3]]-1,"NA")</f>
        <v>#ERROR!</v>
      </c>
      <c r="V20" s="233">
        <v>5589.0</v>
      </c>
      <c r="W20" s="233">
        <v>0.0</v>
      </c>
      <c r="X20" s="233"/>
      <c r="Y20" s="233">
        <f t="shared" si="1"/>
        <v>5589</v>
      </c>
      <c r="Z20" s="233">
        <f>351950+15521+7865+2462+1162+39116+1161+777</f>
        <v>420014</v>
      </c>
      <c r="AA20" s="233">
        <f t="shared" si="2"/>
        <v>425603</v>
      </c>
      <c r="AB20" s="233">
        <v>4807.0</v>
      </c>
      <c r="AC20" s="233">
        <v>22043.0</v>
      </c>
      <c r="AD20" s="233">
        <v>0.0</v>
      </c>
      <c r="AE20" s="233">
        <f t="shared" si="3"/>
        <v>26850</v>
      </c>
      <c r="AF20" s="233">
        <f>2.9*15349</f>
        <v>44512.1</v>
      </c>
      <c r="AG20" s="233">
        <f t="shared" si="4"/>
        <v>71362.1</v>
      </c>
      <c r="AH20" s="233">
        <v>5016.0</v>
      </c>
      <c r="AI20" s="233">
        <v>22135.0</v>
      </c>
      <c r="AJ20" s="233">
        <v>0.0</v>
      </c>
      <c r="AK20" s="233">
        <f t="shared" si="5"/>
        <v>27151</v>
      </c>
      <c r="AL20" s="233">
        <f>2.8*13816</f>
        <v>38684.8</v>
      </c>
      <c r="AM20" s="233">
        <f t="shared" si="6"/>
        <v>65835.8</v>
      </c>
      <c r="AN20" s="233">
        <v>4281.0</v>
      </c>
      <c r="AO20" s="233">
        <v>26086.0</v>
      </c>
      <c r="AP20" s="233">
        <v>0.0</v>
      </c>
      <c r="AQ20" s="233">
        <f t="shared" si="7"/>
        <v>30367</v>
      </c>
      <c r="AR20" s="233">
        <f>3*13337</f>
        <v>40011</v>
      </c>
      <c r="AS20" s="233">
        <f t="shared" si="8"/>
        <v>70378</v>
      </c>
      <c r="AT20" s="233">
        <v>4846.0</v>
      </c>
      <c r="AU20" s="233">
        <v>28700.0</v>
      </c>
      <c r="AV20" s="233"/>
      <c r="AW20" s="233">
        <f t="shared" si="9"/>
        <v>33546</v>
      </c>
      <c r="AX20" s="233">
        <f>3.1*12994</f>
        <v>40281.4</v>
      </c>
      <c r="AY20" s="233">
        <f t="shared" si="10"/>
        <v>73827.4</v>
      </c>
      <c r="AZ20" s="1" t="s">
        <v>1499</v>
      </c>
      <c r="BB20" s="1" t="s">
        <v>1531</v>
      </c>
      <c r="BD20" s="235"/>
    </row>
    <row r="21" ht="12.75" customHeight="1">
      <c r="A21" s="202" t="s">
        <v>117</v>
      </c>
      <c r="B21" s="202" t="s">
        <v>117</v>
      </c>
      <c r="C21" s="202" t="s">
        <v>1276</v>
      </c>
      <c r="D21" s="1" t="s">
        <v>1532</v>
      </c>
      <c r="E21" s="230">
        <v>7.6559E10</v>
      </c>
      <c r="F21" s="230" t="str">
        <f>IF(ISNUMBER(Table1[[#This Row],[2019 Scope 3 ]]),IF(Table1[[#This Row],[Net Earnings/Income (2019)]]-k_cost*Table1[[#This Row],[2019 Total Scope 1, 2 + 3]]&lt;0,"Y","N"),"NA")</f>
        <v>#ERROR!</v>
      </c>
      <c r="G21" s="62" t="str">
        <f>IF(ISNUMBER(Table1[[#This Row],[2019 Scope 3 ]]),IF(k_cost*Table1[[#This Row],[2019 Total Scope 1, 2 + 3]]/Table1[[#This Row],[Size (2019 Revenue)]]&gt;k_rev_max,"Y","N"),"NA")</f>
        <v>#ERROR!</v>
      </c>
      <c r="H21" s="62" t="str">
        <f>IF(OR(Table1[[#This Row],[Net earnings post carbon price @85/t]]="Y",Table1[[#This Row],[Carbon costs in % revenue]] = "Y"),"Y",IF(OR(Table1[[#This Row],[Net earnings post carbon price @85/t]]="NA",Table1[[#This Row],[Carbon costs in % revenue]]="NA"),"NA","N"))</f>
        <v>#ERROR!</v>
      </c>
      <c r="I21" s="236">
        <v>-6.36E8</v>
      </c>
      <c r="J21" s="231">
        <v>1962.0</v>
      </c>
      <c r="K21" s="230" t="s">
        <v>1498</v>
      </c>
      <c r="L21" s="1" t="s">
        <v>1499</v>
      </c>
      <c r="M21" s="1" t="s">
        <v>1499</v>
      </c>
      <c r="P21" s="2">
        <v>0.5</v>
      </c>
      <c r="Q21" s="1" t="s">
        <v>1498</v>
      </c>
      <c r="R21" s="1" t="s">
        <v>1499</v>
      </c>
      <c r="S21" s="1" t="s">
        <v>1499</v>
      </c>
      <c r="T21" s="218" t="str">
        <f>IFERROR((Table1[[#This Row],[2019 Total Scope 1, 2 + 3]])/Table1[[#This Row],[2018 Total Scope 1, 2 + Scope 3]]-1,"NA")</f>
        <v>#ERROR!</v>
      </c>
      <c r="V21" s="233">
        <v>613000.0</v>
      </c>
      <c r="W21" s="233">
        <v>733000.0</v>
      </c>
      <c r="X21" s="233"/>
      <c r="Y21" s="233">
        <f t="shared" si="1"/>
        <v>1346000</v>
      </c>
      <c r="Z21" s="233">
        <v>290000.0</v>
      </c>
      <c r="AA21" s="233">
        <f t="shared" si="2"/>
        <v>1636000</v>
      </c>
      <c r="AB21" s="233">
        <v>646000.0</v>
      </c>
      <c r="AC21" s="233">
        <v>892000.0</v>
      </c>
      <c r="AD21" s="233">
        <v>0.0</v>
      </c>
      <c r="AE21" s="233">
        <f t="shared" si="3"/>
        <v>1538000</v>
      </c>
      <c r="AF21" s="233">
        <v>320000.0</v>
      </c>
      <c r="AG21" s="233">
        <f t="shared" si="4"/>
        <v>1858000</v>
      </c>
      <c r="AH21" s="233">
        <v>626000.0</v>
      </c>
      <c r="AI21" s="233">
        <v>896000.0</v>
      </c>
      <c r="AJ21" s="233"/>
      <c r="AK21" s="233">
        <f t="shared" si="5"/>
        <v>1522000</v>
      </c>
      <c r="AL21" s="233">
        <v>285000.0</v>
      </c>
      <c r="AM21" s="233">
        <f t="shared" si="6"/>
        <v>1807000</v>
      </c>
      <c r="AN21" s="233">
        <v>593000.0</v>
      </c>
      <c r="AO21" s="233">
        <v>937000.0</v>
      </c>
      <c r="AP21" s="233"/>
      <c r="AQ21" s="233">
        <f t="shared" si="7"/>
        <v>1530000</v>
      </c>
      <c r="AR21" s="233">
        <v>244000.0</v>
      </c>
      <c r="AS21" s="233">
        <f t="shared" si="8"/>
        <v>1774000</v>
      </c>
      <c r="AT21" s="233">
        <v>601000.0</v>
      </c>
      <c r="AU21" s="233">
        <v>902000.0</v>
      </c>
      <c r="AV21" s="233"/>
      <c r="AW21" s="233">
        <f t="shared" si="9"/>
        <v>1503000</v>
      </c>
      <c r="AX21" s="233">
        <v>297000.0</v>
      </c>
      <c r="AY21" s="233">
        <f t="shared" si="10"/>
        <v>1800000</v>
      </c>
      <c r="AZ21" s="1" t="s">
        <v>1498</v>
      </c>
      <c r="BA21" s="234" t="s">
        <v>1533</v>
      </c>
      <c r="BB21" s="240" t="s">
        <v>1534</v>
      </c>
      <c r="BD21" s="235"/>
    </row>
    <row r="22" ht="12.75" customHeight="1">
      <c r="A22" s="202" t="s">
        <v>122</v>
      </c>
      <c r="B22" s="202" t="s">
        <v>123</v>
      </c>
      <c r="C22" s="202" t="s">
        <v>1376</v>
      </c>
      <c r="D22" s="202" t="s">
        <v>973</v>
      </c>
      <c r="E22" s="230">
        <v>1.5066E10</v>
      </c>
      <c r="F22" s="230" t="str">
        <f>IF(ISNUMBER(Table1[[#This Row],[2019 Scope 3 ]]),IF(Table1[[#This Row],[Net Earnings/Income (2019)]]-k_cost*Table1[[#This Row],[2019 Total Scope 1, 2 + 3]]&lt;0,"Y","N"),"NA")</f>
        <v>#ERROR!</v>
      </c>
      <c r="G22" s="62" t="str">
        <f>IF(ISNUMBER(Table1[[#This Row],[2019 Scope 3 ]]),IF(k_cost*Table1[[#This Row],[2019 Total Scope 1, 2 + 3]]/Table1[[#This Row],[Size (2019 Revenue)]]&gt;k_rev_max,"Y","N"),"NA")</f>
        <v>#ERROR!</v>
      </c>
      <c r="H22" s="62" t="str">
        <f>IF(OR(Table1[[#This Row],[Net earnings post carbon price @85/t]]="Y",Table1[[#This Row],[Carbon costs in % revenue]] = "Y"),"Y",IF(OR(Table1[[#This Row],[Net earnings post carbon price @85/t]]="NA",Table1[[#This Row],[Carbon costs in % revenue]]="NA"),"NA","N"))</f>
        <v>#ERROR!</v>
      </c>
      <c r="I22" s="230">
        <v>4.865E9</v>
      </c>
      <c r="J22" s="231">
        <v>1999.0</v>
      </c>
      <c r="K22" s="230" t="s">
        <v>1498</v>
      </c>
      <c r="L22" s="1" t="s">
        <v>1499</v>
      </c>
      <c r="M22" s="1" t="s">
        <v>1499</v>
      </c>
      <c r="P22" s="1" t="s">
        <v>1499</v>
      </c>
      <c r="Q22" s="1" t="s">
        <v>1499</v>
      </c>
      <c r="R22" s="1" t="s">
        <v>1499</v>
      </c>
      <c r="S22" s="1" t="s">
        <v>1499</v>
      </c>
      <c r="T22" s="218" t="str">
        <f>IFERROR((Table1[[#This Row],[2019 Total Scope 1, 2 + 3]])/Table1[[#This Row],[2018 Total Scope 1, 2 + Scope 3]]-1,"NA")</f>
        <v>#ERROR!</v>
      </c>
      <c r="V22" s="233" t="s">
        <v>536</v>
      </c>
      <c r="W22" s="233" t="s">
        <v>536</v>
      </c>
      <c r="X22" s="233"/>
      <c r="Y22" s="233" t="str">
        <f t="shared" si="1"/>
        <v/>
      </c>
      <c r="Z22" s="233" t="s">
        <v>536</v>
      </c>
      <c r="AA22" s="233" t="str">
        <f t="shared" si="2"/>
        <v/>
      </c>
      <c r="AB22" s="233">
        <v>4811.67</v>
      </c>
      <c r="AC22" s="233">
        <v>57517.74</v>
      </c>
      <c r="AD22" s="233">
        <v>0.0</v>
      </c>
      <c r="AE22" s="233">
        <f t="shared" si="3"/>
        <v>62329.41</v>
      </c>
      <c r="AF22" s="233" t="s">
        <v>536</v>
      </c>
      <c r="AG22" s="233" t="str">
        <f t="shared" si="4"/>
        <v/>
      </c>
      <c r="AH22" s="233">
        <v>3372.0</v>
      </c>
      <c r="AI22" s="233">
        <v>47963.0</v>
      </c>
      <c r="AJ22" s="233">
        <v>0.0</v>
      </c>
      <c r="AK22" s="233">
        <f t="shared" si="5"/>
        <v>51335</v>
      </c>
      <c r="AL22" s="233" t="s">
        <v>536</v>
      </c>
      <c r="AM22" s="233" t="str">
        <f t="shared" si="6"/>
        <v/>
      </c>
      <c r="AN22" s="233" t="s">
        <v>536</v>
      </c>
      <c r="AO22" s="233" t="s">
        <v>536</v>
      </c>
      <c r="AP22" s="233"/>
      <c r="AQ22" s="233" t="str">
        <f t="shared" si="7"/>
        <v/>
      </c>
      <c r="AR22" s="233" t="s">
        <v>536</v>
      </c>
      <c r="AS22" s="233" t="str">
        <f t="shared" si="8"/>
        <v/>
      </c>
      <c r="AT22" s="233" t="s">
        <v>536</v>
      </c>
      <c r="AU22" s="233" t="s">
        <v>536</v>
      </c>
      <c r="AV22" s="233"/>
      <c r="AW22" s="233" t="str">
        <f t="shared" si="9"/>
        <v/>
      </c>
      <c r="AX22" s="233" t="s">
        <v>536</v>
      </c>
      <c r="AY22" s="233" t="str">
        <f t="shared" si="10"/>
        <v/>
      </c>
      <c r="AZ22" s="1" t="s">
        <v>1499</v>
      </c>
      <c r="BD22" s="235"/>
    </row>
    <row r="23" ht="12.75" customHeight="1">
      <c r="A23" s="202" t="s">
        <v>125</v>
      </c>
      <c r="B23" s="202" t="s">
        <v>125</v>
      </c>
      <c r="C23" s="202" t="s">
        <v>1283</v>
      </c>
      <c r="D23" s="1" t="s">
        <v>1503</v>
      </c>
      <c r="E23" s="230">
        <v>2.6145E10</v>
      </c>
      <c r="F23" s="230" t="str">
        <f>IF(ISNUMBER(Table1[[#This Row],[2019 Scope 3 ]]),IF(Table1[[#This Row],[Net Earnings/Income (2019)]]-k_cost*Table1[[#This Row],[2019 Total Scope 1, 2 + 3]]&lt;0,"Y","N"),"NA")</f>
        <v>#ERROR!</v>
      </c>
      <c r="G23" s="62" t="str">
        <f>IF(ISNUMBER(Table1[[#This Row],[2019 Scope 3 ]]),IF(k_cost*Table1[[#This Row],[2019 Total Scope 1, 2 + 3]]/Table1[[#This Row],[Size (2019 Revenue)]]&gt;k_rev_max,"Y","N"),"NA")</f>
        <v>#ERROR!</v>
      </c>
      <c r="H23" s="62" t="str">
        <f>IF(OR(Table1[[#This Row],[Net earnings post carbon price @85/t]]="Y",Table1[[#This Row],[Carbon costs in % revenue]] = "Y"),"Y",IF(OR(Table1[[#This Row],[Net earnings post carbon price @85/t]]="NA",Table1[[#This Row],[Carbon costs in % revenue]]="NA"),"NA","N"))</f>
        <v>#ERROR!</v>
      </c>
      <c r="I23" s="230">
        <v>3.439E9</v>
      </c>
      <c r="J23" s="231">
        <v>1887.0</v>
      </c>
      <c r="K23" s="230" t="s">
        <v>1498</v>
      </c>
      <c r="L23" s="1" t="s">
        <v>1499</v>
      </c>
      <c r="M23" s="1" t="s">
        <v>1499</v>
      </c>
      <c r="P23" s="232">
        <v>400000.0</v>
      </c>
      <c r="Q23" s="1" t="s">
        <v>1499</v>
      </c>
      <c r="R23" s="1" t="s">
        <v>1499</v>
      </c>
      <c r="S23" s="1" t="s">
        <v>1499</v>
      </c>
      <c r="T23" s="218" t="str">
        <f>IFERROR((Table1[[#This Row],[2019 Total Scope 1, 2 + 3]])/Table1[[#This Row],[2018 Total Scope 1, 2 + Scope 3]]-1,"NA")</f>
        <v>#ERROR!</v>
      </c>
      <c r="V23" s="233" t="s">
        <v>536</v>
      </c>
      <c r="W23" s="233" t="s">
        <v>536</v>
      </c>
      <c r="X23" s="233"/>
      <c r="Y23" s="233" t="str">
        <f t="shared" si="1"/>
        <v/>
      </c>
      <c r="Z23" s="233" t="s">
        <v>536</v>
      </c>
      <c r="AA23" s="233" t="str">
        <f t="shared" si="2"/>
        <v/>
      </c>
      <c r="AB23" s="233">
        <v>130000.0</v>
      </c>
      <c r="AC23" s="233">
        <v>230000.0</v>
      </c>
      <c r="AD23" s="233"/>
      <c r="AE23" s="233">
        <f t="shared" si="3"/>
        <v>360000</v>
      </c>
      <c r="AF23" s="233" t="s">
        <v>536</v>
      </c>
      <c r="AG23" s="233" t="str">
        <f t="shared" si="4"/>
        <v/>
      </c>
      <c r="AH23" s="233">
        <v>125000.0</v>
      </c>
      <c r="AI23" s="233">
        <v>250000.0</v>
      </c>
      <c r="AJ23" s="233"/>
      <c r="AK23" s="233">
        <f t="shared" si="5"/>
        <v>375000</v>
      </c>
      <c r="AL23" s="233"/>
      <c r="AM23" s="233">
        <f t="shared" si="6"/>
        <v>375000</v>
      </c>
      <c r="AN23" s="233">
        <v>130000.0</v>
      </c>
      <c r="AO23" s="233">
        <v>250000.0</v>
      </c>
      <c r="AP23" s="233"/>
      <c r="AQ23" s="233">
        <f t="shared" si="7"/>
        <v>380000</v>
      </c>
      <c r="AR23" s="233"/>
      <c r="AS23" s="233">
        <f t="shared" si="8"/>
        <v>380000</v>
      </c>
      <c r="AT23" s="233" t="s">
        <v>536</v>
      </c>
      <c r="AU23" s="233" t="s">
        <v>536</v>
      </c>
      <c r="AV23" s="233"/>
      <c r="AW23" s="233" t="str">
        <f t="shared" si="9"/>
        <v/>
      </c>
      <c r="AX23" s="233" t="s">
        <v>536</v>
      </c>
      <c r="AY23" s="233" t="str">
        <f t="shared" si="10"/>
        <v/>
      </c>
      <c r="AZ23" s="1" t="s">
        <v>1499</v>
      </c>
      <c r="BA23" s="234" t="s">
        <v>1535</v>
      </c>
      <c r="BD23" s="235"/>
    </row>
    <row r="24" ht="12.75" customHeight="1">
      <c r="A24" s="202" t="s">
        <v>130</v>
      </c>
      <c r="B24" s="202" t="s">
        <v>131</v>
      </c>
      <c r="C24" s="202" t="s">
        <v>1298</v>
      </c>
      <c r="D24" s="202" t="s">
        <v>1515</v>
      </c>
      <c r="E24" s="230">
        <v>2.86E10</v>
      </c>
      <c r="F24" s="230" t="str">
        <f>IF(ISNUMBER(Table1[[#This Row],[2019 Scope 3 ]]),IF(Table1[[#This Row],[Net Earnings/Income (2019)]]-k_cost*Table1[[#This Row],[2019 Total Scope 1, 2 + 3]]&lt;0,"Y","N"),"NA")</f>
        <v>#ERROR!</v>
      </c>
      <c r="G24" s="62" t="str">
        <f>IF(ISNUMBER(Table1[[#This Row],[2019 Scope 3 ]]),IF(k_cost*Table1[[#This Row],[2019 Total Scope 1, 2 + 3]]/Table1[[#This Row],[Size (2019 Revenue)]]&gt;k_rev_max,"Y","N"),"NA")</f>
        <v>#ERROR!</v>
      </c>
      <c r="H24" s="62" t="str">
        <f>IF(OR(Table1[[#This Row],[Net earnings post carbon price @85/t]]="Y",Table1[[#This Row],[Carbon costs in % revenue]] = "Y"),"Y",IF(OR(Table1[[#This Row],[Net earnings post carbon price @85/t]]="NA",Table1[[#This Row],[Carbon costs in % revenue]]="NA"),"NA","N"))</f>
        <v>#ERROR!</v>
      </c>
      <c r="I24" s="230">
        <v>5.192E9</v>
      </c>
      <c r="J24" s="231">
        <v>1994.0</v>
      </c>
      <c r="K24" s="230" t="s">
        <v>1498</v>
      </c>
      <c r="L24" s="1" t="s">
        <v>1498</v>
      </c>
      <c r="M24" s="1" t="s">
        <v>1499</v>
      </c>
      <c r="N24" s="1">
        <v>2018.0</v>
      </c>
      <c r="O24" s="1">
        <v>2018.0</v>
      </c>
      <c r="P24" s="232"/>
      <c r="Q24" s="1" t="s">
        <v>1498</v>
      </c>
      <c r="R24" s="1" t="s">
        <v>1498</v>
      </c>
      <c r="S24" s="1">
        <v>2017.0</v>
      </c>
      <c r="T24" s="218" t="str">
        <f>IFERROR((Table1[[#This Row],[2019 Total Scope 1, 2 + 3]])/Table1[[#This Row],[2018 Total Scope 1, 2 + Scope 3]]-1,"NA")</f>
        <v>#ERROR!</v>
      </c>
      <c r="V24" s="233">
        <v>9495.0</v>
      </c>
      <c r="W24" s="233">
        <v>135.0</v>
      </c>
      <c r="X24" s="233"/>
      <c r="Y24" s="233">
        <f t="shared" si="1"/>
        <v>9630</v>
      </c>
      <c r="Z24" s="233">
        <f>165571+8156+67870+4762+37500+101249+5866.51</f>
        <v>390974.51</v>
      </c>
      <c r="AA24" s="233">
        <f t="shared" si="2"/>
        <v>400604.51</v>
      </c>
      <c r="AB24" s="233">
        <v>9815.0</v>
      </c>
      <c r="AC24" s="233">
        <v>0.0</v>
      </c>
      <c r="AD24" s="233"/>
      <c r="AE24" s="233">
        <f t="shared" si="3"/>
        <v>9815</v>
      </c>
      <c r="AF24" s="233">
        <f>157487+9106.99+56982+3601+34539+105860+7133.21</f>
        <v>374709.2</v>
      </c>
      <c r="AG24" s="233">
        <f t="shared" si="4"/>
        <v>384524.2</v>
      </c>
      <c r="AH24" s="233">
        <v>11624.0</v>
      </c>
      <c r="AI24" s="233">
        <v>150.0</v>
      </c>
      <c r="AJ24" s="233"/>
      <c r="AK24" s="233">
        <f t="shared" si="5"/>
        <v>11774</v>
      </c>
      <c r="AL24" s="233">
        <f>49982.23+62340.64+103444.88</f>
        <v>215767.75</v>
      </c>
      <c r="AM24" s="233">
        <f t="shared" si="6"/>
        <v>227541.75</v>
      </c>
      <c r="AN24" s="233">
        <v>13061.0</v>
      </c>
      <c r="AO24" s="233">
        <v>176444.0</v>
      </c>
      <c r="AP24" s="233"/>
      <c r="AQ24" s="233">
        <f t="shared" si="7"/>
        <v>189505</v>
      </c>
      <c r="AR24" s="233">
        <f>53010.86+55239.85+105093.4</f>
        <v>213344.11</v>
      </c>
      <c r="AS24" s="233">
        <f t="shared" si="8"/>
        <v>402849.11</v>
      </c>
      <c r="AT24" s="233">
        <v>14421.0</v>
      </c>
      <c r="AU24" s="233">
        <v>181088.0</v>
      </c>
      <c r="AV24" s="233"/>
      <c r="AW24" s="233">
        <f t="shared" si="9"/>
        <v>195509</v>
      </c>
      <c r="AX24" s="233">
        <f>51042.88+32022</f>
        <v>83064.88</v>
      </c>
      <c r="AY24" s="233">
        <f t="shared" si="10"/>
        <v>278573.88</v>
      </c>
      <c r="AZ24" s="1" t="s">
        <v>1499</v>
      </c>
      <c r="BA24" s="237" t="s">
        <v>1536</v>
      </c>
      <c r="BB24" s="202" t="s">
        <v>1537</v>
      </c>
      <c r="BC24" s="242" t="s">
        <v>1538</v>
      </c>
      <c r="BD24" s="235"/>
    </row>
    <row r="25" ht="12.75" customHeight="1">
      <c r="A25" s="202" t="s">
        <v>136</v>
      </c>
      <c r="B25" s="202" t="s">
        <v>137</v>
      </c>
      <c r="C25" s="202" t="s">
        <v>1276</v>
      </c>
      <c r="D25" s="202" t="s">
        <v>1539</v>
      </c>
      <c r="E25" s="230">
        <v>5.38E10</v>
      </c>
      <c r="F25" s="230" t="str">
        <f>IF(ISNUMBER(Table1[[#This Row],[2019 Scope 3 ]]),IF(Table1[[#This Row],[Net Earnings/Income (2019)]]-k_cost*Table1[[#This Row],[2019 Total Scope 1, 2 + 3]]&lt;0,"Y","N"),"NA")</f>
        <v>#ERROR!</v>
      </c>
      <c r="G25" s="62" t="str">
        <f>IF(ISNUMBER(Table1[[#This Row],[2019 Scope 3 ]]),IF(k_cost*Table1[[#This Row],[2019 Total Scope 1, 2 + 3]]/Table1[[#This Row],[Size (2019 Revenue)]]&gt;k_rev_max,"Y","N"),"NA")</f>
        <v>#ERROR!</v>
      </c>
      <c r="H25" s="62" t="str">
        <f>IF(OR(Table1[[#This Row],[Net earnings post carbon price @85/t]]="Y",Table1[[#This Row],[Carbon costs in % revenue]] = "Y"),"Y",IF(OR(Table1[[#This Row],[Net earnings post carbon price @85/t]]="NA",Table1[[#This Row],[Carbon costs in % revenue]]="NA"),"NA","N"))</f>
        <v>#ERROR!</v>
      </c>
      <c r="I25" s="230">
        <v>6.093E9</v>
      </c>
      <c r="J25" s="231">
        <v>1925.0</v>
      </c>
      <c r="K25" s="230" t="s">
        <v>1498</v>
      </c>
      <c r="L25" s="1" t="s">
        <v>1499</v>
      </c>
      <c r="M25" s="1" t="s">
        <v>1499</v>
      </c>
      <c r="P25" s="232" t="s">
        <v>1499</v>
      </c>
      <c r="Q25" s="1" t="s">
        <v>1499</v>
      </c>
      <c r="R25" s="1" t="s">
        <v>1499</v>
      </c>
      <c r="S25" s="1" t="s">
        <v>1499</v>
      </c>
      <c r="T25" s="218" t="str">
        <f>IFERROR((Table1[[#This Row],[2019 Total Scope 1, 2 + 3]])/Table1[[#This Row],[2018 Total Scope 1, 2 + Scope 3]]-1,"NA")</f>
        <v>#ERROR!</v>
      </c>
      <c r="V25" s="233">
        <v>905000.0</v>
      </c>
      <c r="W25" s="233">
        <v>869000.0</v>
      </c>
      <c r="X25" s="233">
        <v>0.0</v>
      </c>
      <c r="Y25" s="233">
        <f t="shared" si="1"/>
        <v>1774000</v>
      </c>
      <c r="Z25" s="233" t="s">
        <v>536</v>
      </c>
      <c r="AA25" s="233" t="str">
        <f t="shared" si="2"/>
        <v/>
      </c>
      <c r="AB25" s="233">
        <v>927000.0</v>
      </c>
      <c r="AC25" s="233">
        <v>1280000.0</v>
      </c>
      <c r="AD25" s="233">
        <v>0.0</v>
      </c>
      <c r="AE25" s="233">
        <f t="shared" si="3"/>
        <v>2207000</v>
      </c>
      <c r="AF25" s="233" t="s">
        <v>536</v>
      </c>
      <c r="AG25" s="233" t="str">
        <f t="shared" si="4"/>
        <v/>
      </c>
      <c r="AH25" s="233">
        <v>863000.0</v>
      </c>
      <c r="AI25" s="233">
        <v>1256000.0</v>
      </c>
      <c r="AJ25" s="233">
        <v>0.0</v>
      </c>
      <c r="AK25" s="233">
        <f t="shared" si="5"/>
        <v>2119000</v>
      </c>
      <c r="AL25" s="233" t="s">
        <v>536</v>
      </c>
      <c r="AM25" s="233" t="str">
        <f t="shared" si="6"/>
        <v/>
      </c>
      <c r="AN25" s="233">
        <v>863000.0</v>
      </c>
      <c r="AO25" s="233">
        <v>1265000.0</v>
      </c>
      <c r="AP25" s="233">
        <v>0.0</v>
      </c>
      <c r="AQ25" s="233">
        <f t="shared" si="7"/>
        <v>2128000</v>
      </c>
      <c r="AR25" s="233" t="s">
        <v>536</v>
      </c>
      <c r="AS25" s="233" t="str">
        <f t="shared" si="8"/>
        <v/>
      </c>
      <c r="AT25" s="233" t="s">
        <v>536</v>
      </c>
      <c r="AU25" s="233" t="s">
        <v>536</v>
      </c>
      <c r="AV25" s="233"/>
      <c r="AW25" s="233" t="str">
        <f t="shared" si="9"/>
        <v/>
      </c>
      <c r="AX25" s="233" t="s">
        <v>536</v>
      </c>
      <c r="AY25" s="233" t="str">
        <f t="shared" si="10"/>
        <v/>
      </c>
      <c r="AZ25" s="1" t="s">
        <v>1499</v>
      </c>
      <c r="BA25" s="234" t="s">
        <v>1540</v>
      </c>
      <c r="BC25" s="242"/>
      <c r="BD25" s="235"/>
    </row>
    <row r="26" ht="12.75" customHeight="1">
      <c r="A26" s="202" t="s">
        <v>139</v>
      </c>
      <c r="B26" s="202" t="s">
        <v>140</v>
      </c>
      <c r="C26" s="1" t="s">
        <v>1302</v>
      </c>
      <c r="D26" s="202" t="s">
        <v>1541</v>
      </c>
      <c r="E26" s="230">
        <v>4.5764E10</v>
      </c>
      <c r="F26" s="230" t="str">
        <f>IF(ISNUMBER(Table1[[#This Row],[2019 Scope 3 ]]),IF(Table1[[#This Row],[Net Earnings/Income (2019)]]-k_cost*Table1[[#This Row],[2019 Total Scope 1, 2 + 3]]&lt;0,"Y","N"),"NA")</f>
        <v>#ERROR!</v>
      </c>
      <c r="G26" s="62" t="str">
        <f>IF(ISNUMBER(Table1[[#This Row],[2019 Scope 3 ]]),IF(k_cost*Table1[[#This Row],[2019 Total Scope 1, 2 + 3]]/Table1[[#This Row],[Size (2019 Revenue)]]&gt;k_rev_max,"Y","N"),"NA")</f>
        <v>#ERROR!</v>
      </c>
      <c r="H26" s="62" t="str">
        <f>IF(OR(Table1[[#This Row],[Net earnings post carbon price @85/t]]="Y",Table1[[#This Row],[Carbon costs in % revenue]] = "Y"),"Y",IF(OR(Table1[[#This Row],[Net earnings post carbon price @85/t]]="NA",Table1[[#This Row],[Carbon costs in % revenue]]="NA"),"NA","N"))</f>
        <v>#ERROR!</v>
      </c>
      <c r="I26" s="230">
        <v>1.668E9</v>
      </c>
      <c r="J26" s="231">
        <v>1999.0</v>
      </c>
      <c r="K26" s="230" t="s">
        <v>1498</v>
      </c>
      <c r="L26" s="1" t="s">
        <v>1499</v>
      </c>
      <c r="M26" s="1" t="s">
        <v>1499</v>
      </c>
      <c r="P26" s="232" t="s">
        <v>1499</v>
      </c>
      <c r="Q26" s="1" t="s">
        <v>1499</v>
      </c>
      <c r="R26" s="1" t="s">
        <v>1499</v>
      </c>
      <c r="S26" s="1" t="s">
        <v>1499</v>
      </c>
      <c r="T26" s="218" t="str">
        <f>IFERROR((Table1[[#This Row],[2019 Total Scope 1, 2 + 3]])/Table1[[#This Row],[2018 Total Scope 1, 2 + Scope 3]]-1,"NA")</f>
        <v>#ERROR!</v>
      </c>
      <c r="V26" s="233" t="s">
        <v>536</v>
      </c>
      <c r="W26" s="233" t="s">
        <v>536</v>
      </c>
      <c r="X26" s="233"/>
      <c r="Y26" s="233" t="str">
        <f t="shared" si="1"/>
        <v/>
      </c>
      <c r="Z26" s="233" t="s">
        <v>536</v>
      </c>
      <c r="AA26" s="233" t="str">
        <f t="shared" si="2"/>
        <v/>
      </c>
      <c r="AB26" s="233" t="s">
        <v>536</v>
      </c>
      <c r="AC26" s="233" t="s">
        <v>536</v>
      </c>
      <c r="AD26" s="233"/>
      <c r="AE26" s="233" t="str">
        <f t="shared" si="3"/>
        <v/>
      </c>
      <c r="AF26" s="233" t="s">
        <v>536</v>
      </c>
      <c r="AG26" s="233" t="str">
        <f t="shared" si="4"/>
        <v/>
      </c>
      <c r="AH26" s="233" t="s">
        <v>536</v>
      </c>
      <c r="AI26" s="233" t="s">
        <v>536</v>
      </c>
      <c r="AJ26" s="233"/>
      <c r="AK26" s="233" t="str">
        <f t="shared" si="5"/>
        <v/>
      </c>
      <c r="AL26" s="233" t="s">
        <v>536</v>
      </c>
      <c r="AM26" s="233" t="str">
        <f t="shared" si="6"/>
        <v/>
      </c>
      <c r="AN26" s="233" t="s">
        <v>536</v>
      </c>
      <c r="AO26" s="233" t="s">
        <v>536</v>
      </c>
      <c r="AP26" s="233"/>
      <c r="AQ26" s="233" t="str">
        <f t="shared" si="7"/>
        <v/>
      </c>
      <c r="AR26" s="233" t="s">
        <v>536</v>
      </c>
      <c r="AS26" s="233" t="str">
        <f t="shared" si="8"/>
        <v/>
      </c>
      <c r="AT26" s="233" t="s">
        <v>536</v>
      </c>
      <c r="AU26" s="233" t="s">
        <v>536</v>
      </c>
      <c r="AV26" s="233"/>
      <c r="AW26" s="233" t="str">
        <f t="shared" si="9"/>
        <v/>
      </c>
      <c r="AX26" s="233" t="s">
        <v>536</v>
      </c>
      <c r="AY26" s="233" t="str">
        <f t="shared" si="10"/>
        <v/>
      </c>
      <c r="AZ26" s="1" t="s">
        <v>1499</v>
      </c>
      <c r="BA26" s="237" t="s">
        <v>1536</v>
      </c>
      <c r="BC26" s="242"/>
      <c r="BD26" s="235"/>
    </row>
    <row r="27" ht="12.75" customHeight="1">
      <c r="A27" s="202" t="s">
        <v>142</v>
      </c>
      <c r="B27" s="202" t="s">
        <v>142</v>
      </c>
      <c r="C27" s="1" t="s">
        <v>1350</v>
      </c>
      <c r="D27" s="202" t="s">
        <v>1542</v>
      </c>
      <c r="E27" s="230">
        <v>1.46516E11</v>
      </c>
      <c r="F27" s="230" t="str">
        <f>IF(ISNUMBER(Table1[[#This Row],[2019 Scope 3 ]]),IF(Table1[[#This Row],[Net Earnings/Income (2019)]]-k_cost*Table1[[#This Row],[2019 Total Scope 1, 2 + 3]]&lt;0,"Y","N"),"NA")</f>
        <v>#ERROR!</v>
      </c>
      <c r="G27" s="62" t="str">
        <f>IF(ISNUMBER(Table1[[#This Row],[2019 Scope 3 ]]),IF(k_cost*Table1[[#This Row],[2019 Total Scope 1, 2 + 3]]/Table1[[#This Row],[Size (2019 Revenue)]]&gt;k_rev_max,"Y","N"),"NA")</f>
        <v>#ERROR!</v>
      </c>
      <c r="H27" s="62" t="str">
        <f>IF(OR(Table1[[#This Row],[Net earnings post carbon price @85/t]]="Y",Table1[[#This Row],[Carbon costs in % revenue]] = "Y"),"Y",IF(OR(Table1[[#This Row],[Net earnings post carbon price @85/t]]="NA",Table1[[#This Row],[Carbon costs in % revenue]]="NA"),"NA","N"))</f>
        <v>#ERROR!</v>
      </c>
      <c r="I27" s="230">
        <v>2.924E9</v>
      </c>
      <c r="J27" s="231">
        <v>1879.0</v>
      </c>
      <c r="K27" s="230" t="s">
        <v>1498</v>
      </c>
      <c r="L27" s="1" t="s">
        <v>1499</v>
      </c>
      <c r="M27" s="1" t="s">
        <v>1499</v>
      </c>
      <c r="P27" s="232" t="s">
        <v>1499</v>
      </c>
      <c r="Q27" s="1" t="s">
        <v>1499</v>
      </c>
      <c r="R27" s="1" t="s">
        <v>1499</v>
      </c>
      <c r="T27" s="218" t="str">
        <f>IFERROR((Table1[[#This Row],[2019 Total Scope 1, 2 + 3]])/Table1[[#This Row],[2018 Total Scope 1, 2 + Scope 3]]-1,"NA")</f>
        <v>#ERROR!</v>
      </c>
      <c r="V27" s="233">
        <v>5.5E7</v>
      </c>
      <c r="W27" s="233">
        <v>2000000.0</v>
      </c>
      <c r="X27" s="233">
        <v>0.0</v>
      </c>
      <c r="Y27" s="233">
        <f t="shared" si="1"/>
        <v>57000000</v>
      </c>
      <c r="Z27" s="233">
        <v>4.13E8</v>
      </c>
      <c r="AA27" s="233">
        <f t="shared" si="2"/>
        <v>470000000</v>
      </c>
      <c r="AB27" s="233">
        <v>5.9E7</v>
      </c>
      <c r="AC27" s="233">
        <v>3000000.0</v>
      </c>
      <c r="AD27" s="233">
        <v>0.0</v>
      </c>
      <c r="AE27" s="233">
        <f t="shared" si="3"/>
        <v>62000000</v>
      </c>
      <c r="AF27" s="233">
        <v>3.97E8</v>
      </c>
      <c r="AG27" s="233">
        <f t="shared" si="4"/>
        <v>459000000</v>
      </c>
      <c r="AH27" s="233">
        <v>5.6E7</v>
      </c>
      <c r="AI27" s="233">
        <v>3000000.0</v>
      </c>
      <c r="AJ27" s="233">
        <v>0.0</v>
      </c>
      <c r="AK27" s="233">
        <f t="shared" si="5"/>
        <v>59000000</v>
      </c>
      <c r="AL27" s="233">
        <v>3.77E8</v>
      </c>
      <c r="AM27" s="233">
        <f t="shared" si="6"/>
        <v>436000000</v>
      </c>
      <c r="AN27" s="233">
        <v>5.8E7</v>
      </c>
      <c r="AO27" s="233">
        <v>3000000.0</v>
      </c>
      <c r="AP27" s="233">
        <v>0.0</v>
      </c>
      <c r="AQ27" s="233">
        <f t="shared" si="7"/>
        <v>61000000</v>
      </c>
      <c r="AR27" s="233">
        <v>3.65E8</v>
      </c>
      <c r="AS27" s="233">
        <f t="shared" si="8"/>
        <v>426000000</v>
      </c>
      <c r="AT27" s="233">
        <v>5.8E7</v>
      </c>
      <c r="AU27" s="233">
        <v>3000000.0</v>
      </c>
      <c r="AV27" s="233">
        <v>0.0</v>
      </c>
      <c r="AW27" s="233">
        <f t="shared" si="9"/>
        <v>61000000</v>
      </c>
      <c r="AX27" s="233">
        <v>3.67E8</v>
      </c>
      <c r="AY27" s="233">
        <f t="shared" si="10"/>
        <v>428000000</v>
      </c>
      <c r="AZ27" s="1" t="s">
        <v>1498</v>
      </c>
      <c r="BA27" s="237" t="s">
        <v>1543</v>
      </c>
      <c r="BC27" s="242"/>
      <c r="BD27" s="235"/>
    </row>
    <row r="28" ht="12.75" customHeight="1">
      <c r="A28" s="202" t="s">
        <v>144</v>
      </c>
      <c r="B28" s="202" t="s">
        <v>145</v>
      </c>
      <c r="C28" s="202" t="s">
        <v>1291</v>
      </c>
      <c r="D28" s="202" t="s">
        <v>1521</v>
      </c>
      <c r="E28" s="230">
        <v>5.19E10</v>
      </c>
      <c r="F28" s="230" t="str">
        <f>IF(ISNUMBER(Table1[[#This Row],[2019 Scope 3 ]]),IF(Table1[[#This Row],[Net Earnings/Income (2019)]]-k_cost*Table1[[#This Row],[2019 Total Scope 1, 2 + 3]]&lt;0,"Y","N"),"NA")</f>
        <v>#ERROR!</v>
      </c>
      <c r="G28" s="62" t="str">
        <f>IF(ISNUMBER(Table1[[#This Row],[2019 Scope 3 ]]),IF(k_cost*Table1[[#This Row],[2019 Total Scope 1, 2 + 3]]/Table1[[#This Row],[Size (2019 Revenue)]]&gt;k_rev_max,"Y","N"),"NA")</f>
        <v>#ERROR!</v>
      </c>
      <c r="H28" s="62" t="str">
        <f>IF(OR(Table1[[#This Row],[Net earnings post carbon price @85/t]]="Y",Table1[[#This Row],[Carbon costs in % revenue]] = "Y"),"Y",IF(OR(Table1[[#This Row],[Net earnings post carbon price @85/t]]="NA",Table1[[#This Row],[Carbon costs in % revenue]]="NA"),"NA","N"))</f>
        <v>#ERROR!</v>
      </c>
      <c r="I28" s="230">
        <v>1.162E10</v>
      </c>
      <c r="J28" s="231">
        <v>1990.0</v>
      </c>
      <c r="K28" s="230" t="s">
        <v>1498</v>
      </c>
      <c r="L28" s="1" t="s">
        <v>1499</v>
      </c>
      <c r="M28" s="1" t="s">
        <v>1498</v>
      </c>
      <c r="P28" s="232">
        <v>180000.0</v>
      </c>
      <c r="Q28" s="1" t="s">
        <v>1498</v>
      </c>
      <c r="R28" s="1" t="s">
        <v>1499</v>
      </c>
      <c r="S28" s="1" t="s">
        <v>1499</v>
      </c>
      <c r="T28" s="218" t="str">
        <f>IFERROR((Table1[[#This Row],[2019 Total Scope 1, 2 + 3]])/Table1[[#This Row],[2018 Total Scope 1, 2 + Scope 3]]-1,"NA")</f>
        <v>#ERROR!</v>
      </c>
      <c r="V28" s="233">
        <v>41181.0</v>
      </c>
      <c r="W28" s="233">
        <v>187428.0</v>
      </c>
      <c r="X28" s="233">
        <v>0.0</v>
      </c>
      <c r="Y28" s="233">
        <f t="shared" si="1"/>
        <v>228609</v>
      </c>
      <c r="Z28" s="233">
        <f>1154682+40020+39054+36598+779+207323+79699+83396+24929174+272</f>
        <v>26570997</v>
      </c>
      <c r="AA28" s="233">
        <f t="shared" si="2"/>
        <v>26799606</v>
      </c>
      <c r="AB28" s="233">
        <v>41171.0</v>
      </c>
      <c r="AC28" s="233">
        <v>205141.0</v>
      </c>
      <c r="AD28" s="233">
        <v>0.0</v>
      </c>
      <c r="AE28" s="233">
        <f t="shared" si="3"/>
        <v>246312</v>
      </c>
      <c r="AF28" s="233">
        <f>1154682+40020+40002+36598+1096+217500+81394+83396+37865598+272</f>
        <v>39520558</v>
      </c>
      <c r="AG28" s="233">
        <f t="shared" si="4"/>
        <v>39766870</v>
      </c>
      <c r="AH28" s="233">
        <v>41926.0</v>
      </c>
      <c r="AI28" s="233">
        <v>223558.0</v>
      </c>
      <c r="AJ28" s="233">
        <v>0.0</v>
      </c>
      <c r="AK28" s="233">
        <f t="shared" si="5"/>
        <v>265484</v>
      </c>
      <c r="AL28" s="233">
        <f>1283704+57607+44164+16509+177210+80506+38521+32847245+349</f>
        <v>34545815</v>
      </c>
      <c r="AM28" s="233">
        <f t="shared" si="6"/>
        <v>34811299</v>
      </c>
      <c r="AN28" s="233">
        <v>53123.0</v>
      </c>
      <c r="AO28" s="233">
        <v>247933.0</v>
      </c>
      <c r="AP28" s="233">
        <v>0.0</v>
      </c>
      <c r="AQ28" s="233">
        <f t="shared" si="7"/>
        <v>301056</v>
      </c>
      <c r="AR28" s="233">
        <f>1373745+67405+43897+20062+184901+91586+46810+33466582+1138</f>
        <v>35296126</v>
      </c>
      <c r="AS28" s="233">
        <f t="shared" si="8"/>
        <v>35597182</v>
      </c>
      <c r="AT28" s="233">
        <v>53123.0</v>
      </c>
      <c r="AU28" s="233">
        <v>247933.0</v>
      </c>
      <c r="AV28" s="233">
        <v>0.0</v>
      </c>
      <c r="AW28" s="233">
        <f t="shared" si="9"/>
        <v>301056</v>
      </c>
      <c r="AX28" s="233">
        <f>3105862+81700+46354+196595+191573+96937+458722+33753281+6800</f>
        <v>37937824</v>
      </c>
      <c r="AY28" s="233">
        <f t="shared" si="10"/>
        <v>38238880</v>
      </c>
      <c r="AZ28" s="1" t="s">
        <v>1498</v>
      </c>
      <c r="BA28" s="234" t="s">
        <v>1544</v>
      </c>
      <c r="BB28" s="202" t="s">
        <v>1545</v>
      </c>
      <c r="BD28" s="235"/>
    </row>
    <row r="29" ht="12.75" customHeight="1">
      <c r="A29" s="202" t="s">
        <v>150</v>
      </c>
      <c r="B29" s="202" t="s">
        <v>151</v>
      </c>
      <c r="C29" s="202" t="s">
        <v>1298</v>
      </c>
      <c r="D29" s="202" t="s">
        <v>1312</v>
      </c>
      <c r="E29" s="230">
        <v>1.03449E11</v>
      </c>
      <c r="F29" s="230" t="str">
        <f>IF(ISNUMBER(Table1[[#This Row],[2019 Scope 3 ]]),IF(Table1[[#This Row],[Net Earnings/Income (2019)]]-k_cost*Table1[[#This Row],[2019 Total Scope 1, 2 + 3]]&lt;0,"Y","N"),"NA")</f>
        <v>#ERROR!</v>
      </c>
      <c r="G29" s="62" t="str">
        <f>IF(ISNUMBER(Table1[[#This Row],[2019 Scope 3 ]]),IF(k_cost*Table1[[#This Row],[2019 Total Scope 1, 2 + 3]]/Table1[[#This Row],[Size (2019 Revenue)]]&gt;k_rev_max,"Y","N"),"NA")</f>
        <v>#ERROR!</v>
      </c>
      <c r="H29" s="62" t="str">
        <f>IF(OR(Table1[[#This Row],[Net earnings post carbon price @85/t]]="Y",Table1[[#This Row],[Carbon costs in % revenue]] = "Y"),"Y",IF(OR(Table1[[#This Row],[Net earnings post carbon price @85/t]]="NA",Table1[[#This Row],[Carbon costs in % revenue]]="NA"),"NA","N"))</f>
        <v>#ERROR!</v>
      </c>
      <c r="I29" s="230">
        <v>1.8171E10</v>
      </c>
      <c r="J29" s="231">
        <v>1998.0</v>
      </c>
      <c r="K29" s="230" t="s">
        <v>1498</v>
      </c>
      <c r="L29" s="1" t="s">
        <v>1499</v>
      </c>
      <c r="M29" s="1" t="s">
        <v>1499</v>
      </c>
      <c r="P29" s="1" t="s">
        <v>1499</v>
      </c>
      <c r="Q29" s="1" t="s">
        <v>1499</v>
      </c>
      <c r="R29" s="1" t="s">
        <v>1498</v>
      </c>
      <c r="S29" s="1">
        <v>2020.0</v>
      </c>
      <c r="T29" s="218" t="str">
        <f>IFERROR((Table1[[#This Row],[2019 Total Scope 1, 2 + 3]])/Table1[[#This Row],[2018 Total Scope 1, 2 + Scope 3]]-1,"NA")</f>
        <v>#ERROR!</v>
      </c>
      <c r="V29" s="233">
        <v>23289.0</v>
      </c>
      <c r="W29" s="233">
        <v>593611.0</v>
      </c>
      <c r="X29" s="233">
        <v>0.0</v>
      </c>
      <c r="Y29" s="233">
        <f t="shared" si="1"/>
        <v>616900</v>
      </c>
      <c r="Z29" s="233">
        <f>3057.83+365372.29+170626.34+126229+82627.85</f>
        <v>747913.31</v>
      </c>
      <c r="AA29" s="233">
        <f t="shared" si="2"/>
        <v>1364813.31</v>
      </c>
      <c r="AB29" s="233">
        <v>24132.0</v>
      </c>
      <c r="AC29" s="233">
        <v>623233.0</v>
      </c>
      <c r="AD29" s="233">
        <v>0.0</v>
      </c>
      <c r="AE29" s="233">
        <f t="shared" si="3"/>
        <v>647365</v>
      </c>
      <c r="AF29" s="233">
        <f>4090.86+284991.97+187586+149815+86948.67+9990000</f>
        <v>10703432.5</v>
      </c>
      <c r="AG29" s="233">
        <f t="shared" si="4"/>
        <v>11350797.5</v>
      </c>
      <c r="AH29" s="233">
        <v>20951.0</v>
      </c>
      <c r="AI29" s="233">
        <v>677636.0</v>
      </c>
      <c r="AJ29" s="233">
        <v>0.0</v>
      </c>
      <c r="AK29" s="233">
        <f t="shared" si="5"/>
        <v>698587</v>
      </c>
      <c r="AL29" s="233">
        <f>4245.09+227593.23+196748.31+151321+90709.34+18100000</f>
        <v>18770616.97</v>
      </c>
      <c r="AM29" s="233">
        <f t="shared" si="6"/>
        <v>19469203.97</v>
      </c>
      <c r="AN29" s="233">
        <v>23141.0</v>
      </c>
      <c r="AO29" s="233">
        <v>747748.0</v>
      </c>
      <c r="AP29" s="233">
        <v>0.0</v>
      </c>
      <c r="AQ29" s="233">
        <f t="shared" si="7"/>
        <v>770889</v>
      </c>
      <c r="AR29" s="233">
        <f>22105+210958+137860+95034+7760665</f>
        <v>8226622</v>
      </c>
      <c r="AS29" s="233">
        <f t="shared" si="8"/>
        <v>8997511</v>
      </c>
      <c r="AT29" s="233">
        <v>25742.0</v>
      </c>
      <c r="AU29" s="233">
        <v>789002.0</v>
      </c>
      <c r="AV29" s="233">
        <v>0.0</v>
      </c>
      <c r="AW29" s="233">
        <f t="shared" si="9"/>
        <v>814744</v>
      </c>
      <c r="AX29" s="233">
        <f>28214+111292+9600000</f>
        <v>9739506</v>
      </c>
      <c r="AY29" s="233">
        <f t="shared" si="10"/>
        <v>10554250</v>
      </c>
      <c r="AZ29" s="1" t="s">
        <v>1498</v>
      </c>
      <c r="BA29" s="237" t="s">
        <v>1546</v>
      </c>
      <c r="BB29" s="202" t="s">
        <v>1547</v>
      </c>
      <c r="BD29" s="235"/>
    </row>
    <row r="30" ht="12.75" customHeight="1">
      <c r="A30" s="202" t="s">
        <v>156</v>
      </c>
      <c r="B30" s="202" t="s">
        <v>157</v>
      </c>
      <c r="C30" s="202" t="s">
        <v>1306</v>
      </c>
      <c r="D30" s="202" t="s">
        <v>1548</v>
      </c>
      <c r="E30" s="230">
        <v>3.7266E10</v>
      </c>
      <c r="F30" s="230" t="str">
        <f>IF(ISNUMBER(Table1[[#This Row],[2019 Scope 3 ]]),IF(Table1[[#This Row],[Net Earnings/Income (2019)]]-k_cost*Table1[[#This Row],[2019 Total Scope 1, 2 + 3]]&lt;0,"Y","N"),"NA")</f>
        <v>#ERROR!</v>
      </c>
      <c r="G30" s="62" t="str">
        <f>IF(ISNUMBER(Table1[[#This Row],[2019 Scope 3 ]]),IF(k_cost*Table1[[#This Row],[2019 Total Scope 1, 2 + 3]]/Table1[[#This Row],[Size (2019 Revenue)]]&gt;k_rev_max,"Y","N"),"NA")</f>
        <v>#ERROR!</v>
      </c>
      <c r="H30" s="62" t="str">
        <f>IF(OR(Table1[[#This Row],[Net earnings post carbon price @85/t]]="Y",Table1[[#This Row],[Carbon costs in % revenue]] = "Y"),"Y",IF(OR(Table1[[#This Row],[Net earnings post carbon price @85/t]]="NA",Table1[[#This Row],[Carbon costs in % revenue]]="NA"),"NA","N"))</f>
        <v>#ERROR!</v>
      </c>
      <c r="I30" s="230">
        <v>3.864E10</v>
      </c>
      <c r="J30" s="231">
        <v>1892.0</v>
      </c>
      <c r="K30" s="230" t="s">
        <v>1498</v>
      </c>
      <c r="L30" s="1" t="s">
        <v>1499</v>
      </c>
      <c r="M30" s="1" t="s">
        <v>1498</v>
      </c>
      <c r="P30" s="232">
        <v>4125000.0</v>
      </c>
      <c r="Q30" s="1" t="s">
        <v>1499</v>
      </c>
      <c r="R30" s="1" t="s">
        <v>1499</v>
      </c>
      <c r="S30" s="1" t="s">
        <v>1499</v>
      </c>
      <c r="T30" s="218" t="str">
        <f>IFERROR((Table1[[#This Row],[2019 Total Scope 1, 2 + 3]])/Table1[[#This Row],[2018 Total Scope 1, 2 + Scope 3]]-1,"NA")</f>
        <v>#ERROR!</v>
      </c>
      <c r="V30" s="233">
        <v>1830000.0</v>
      </c>
      <c r="W30" s="233">
        <v>3730000.0</v>
      </c>
      <c r="X30" s="233">
        <v>0.0</v>
      </c>
      <c r="Y30" s="233">
        <f t="shared" si="1"/>
        <v>5560000</v>
      </c>
      <c r="Z30" s="233" t="s">
        <v>536</v>
      </c>
      <c r="AA30" s="233" t="str">
        <f t="shared" si="2"/>
        <v/>
      </c>
      <c r="AB30" s="233">
        <v>1790000.0</v>
      </c>
      <c r="AC30" s="233">
        <v>3760000.0</v>
      </c>
      <c r="AD30" s="233">
        <v>0.0</v>
      </c>
      <c r="AE30" s="233">
        <f t="shared" si="3"/>
        <v>5550000</v>
      </c>
      <c r="AF30" s="233" t="s">
        <v>536</v>
      </c>
      <c r="AG30" s="233" t="str">
        <f t="shared" si="4"/>
        <v/>
      </c>
      <c r="AH30" s="233">
        <v>1780000.0</v>
      </c>
      <c r="AI30" s="233">
        <v>3760000.0</v>
      </c>
      <c r="AJ30" s="233">
        <v>0.0</v>
      </c>
      <c r="AK30" s="233">
        <f t="shared" si="5"/>
        <v>5540000</v>
      </c>
      <c r="AL30" s="233" t="s">
        <v>536</v>
      </c>
      <c r="AM30" s="233" t="str">
        <f t="shared" si="6"/>
        <v/>
      </c>
      <c r="AN30" s="233">
        <v>1600000.0</v>
      </c>
      <c r="AO30" s="233">
        <v>3800000.0</v>
      </c>
      <c r="AP30" s="233">
        <v>0.0</v>
      </c>
      <c r="AQ30" s="233">
        <f t="shared" si="7"/>
        <v>5400000</v>
      </c>
      <c r="AR30" s="233" t="s">
        <v>536</v>
      </c>
      <c r="AS30" s="233" t="str">
        <f t="shared" si="8"/>
        <v/>
      </c>
      <c r="AT30" s="233">
        <v>1700000.0</v>
      </c>
      <c r="AU30" s="233">
        <v>3800000.0</v>
      </c>
      <c r="AV30" s="233">
        <v>0.0</v>
      </c>
      <c r="AW30" s="233">
        <f t="shared" si="9"/>
        <v>5500000</v>
      </c>
      <c r="AX30" s="233" t="s">
        <v>536</v>
      </c>
      <c r="AY30" s="233" t="str">
        <f t="shared" si="10"/>
        <v/>
      </c>
      <c r="AZ30" s="1" t="s">
        <v>1498</v>
      </c>
      <c r="BA30" s="234" t="s">
        <v>1549</v>
      </c>
      <c r="BD30" s="235"/>
    </row>
    <row r="31" ht="12.75" customHeight="1">
      <c r="A31" s="243" t="s">
        <v>162</v>
      </c>
      <c r="B31" s="202" t="s">
        <v>162</v>
      </c>
      <c r="C31" s="202" t="s">
        <v>1306</v>
      </c>
      <c r="D31" s="202" t="s">
        <v>1550</v>
      </c>
      <c r="E31" s="230">
        <v>1.5693E10</v>
      </c>
      <c r="F31" s="230" t="str">
        <f>IF(ISNUMBER(Table1[[#This Row],[2019 Scope 3 ]]),IF(Table1[[#This Row],[Net Earnings/Income (2019)]]-k_cost*Table1[[#This Row],[2019 Total Scope 1, 2 + 3]]&lt;0,"Y","N"),"NA")</f>
        <v>#ERROR!</v>
      </c>
      <c r="G31" s="62" t="str">
        <f>IF(ISNUMBER(Table1[[#This Row],[2019 Scope 3 ]]),IF(k_cost*Table1[[#This Row],[2019 Total Scope 1, 2 + 3]]/Table1[[#This Row],[Size (2019 Revenue)]]&gt;k_rev_max,"Y","N"),"NA")</f>
        <v>#ERROR!</v>
      </c>
      <c r="H31" s="62" t="str">
        <f>IF(OR(Table1[[#This Row],[Net earnings post carbon price @85/t]]="Y",Table1[[#This Row],[Carbon costs in % revenue]] = "Y"),"Y",IF(OR(Table1[[#This Row],[Net earnings post carbon price @85/t]]="NA",Table1[[#This Row],[Carbon costs in % revenue]]="NA"),"NA","N"))</f>
        <v>#ERROR!</v>
      </c>
      <c r="I31" s="230">
        <v>2.367E9</v>
      </c>
      <c r="J31" s="231">
        <v>1806.0</v>
      </c>
      <c r="K31" s="230" t="s">
        <v>1498</v>
      </c>
      <c r="L31" s="1" t="s">
        <v>1499</v>
      </c>
      <c r="M31" s="1" t="s">
        <v>1498</v>
      </c>
      <c r="P31" s="232">
        <v>525000.0</v>
      </c>
      <c r="Q31" s="1" t="s">
        <v>1499</v>
      </c>
      <c r="R31" s="1" t="s">
        <v>1499</v>
      </c>
      <c r="S31" s="1" t="s">
        <v>1499</v>
      </c>
      <c r="T31" s="218" t="str">
        <f>IFERROR((Table1[[#This Row],[2019 Total Scope 1, 2 + 3]])/Table1[[#This Row],[2018 Total Scope 1, 2 + Scope 3]]-1,"NA")</f>
        <v>#ERROR!</v>
      </c>
      <c r="V31" s="233">
        <v>191000.0</v>
      </c>
      <c r="W31" s="233">
        <v>283000.0</v>
      </c>
      <c r="X31" s="233">
        <v>0.0</v>
      </c>
      <c r="Y31" s="233">
        <f t="shared" si="1"/>
        <v>474000</v>
      </c>
      <c r="Z31" s="233">
        <v>4.868E7</v>
      </c>
      <c r="AA31" s="233">
        <f t="shared" si="2"/>
        <v>49154000</v>
      </c>
      <c r="AB31" s="233">
        <v>190000.0</v>
      </c>
      <c r="AC31" s="233">
        <v>302000.0</v>
      </c>
      <c r="AD31" s="233">
        <v>0.0</v>
      </c>
      <c r="AE31" s="233">
        <f t="shared" si="3"/>
        <v>492000</v>
      </c>
      <c r="AF31" s="233">
        <v>4.8299E7</v>
      </c>
      <c r="AG31" s="233">
        <f t="shared" si="4"/>
        <v>48791000</v>
      </c>
      <c r="AH31" s="233">
        <v>195000.0</v>
      </c>
      <c r="AI31" s="233">
        <v>316000.0</v>
      </c>
      <c r="AJ31" s="233">
        <v>0.0</v>
      </c>
      <c r="AK31" s="233">
        <f t="shared" si="5"/>
        <v>511000</v>
      </c>
      <c r="AL31" s="233">
        <v>5.157E7</v>
      </c>
      <c r="AM31" s="233">
        <f t="shared" si="6"/>
        <v>52081000</v>
      </c>
      <c r="AN31" s="233">
        <v>203000.0</v>
      </c>
      <c r="AO31" s="233">
        <v>324000.0</v>
      </c>
      <c r="AP31" s="233">
        <v>0.0</v>
      </c>
      <c r="AQ31" s="233">
        <f t="shared" si="7"/>
        <v>527000</v>
      </c>
      <c r="AR31" s="233">
        <v>5.471E7</v>
      </c>
      <c r="AS31" s="233">
        <f t="shared" si="8"/>
        <v>55237000</v>
      </c>
      <c r="AT31" s="233">
        <v>203000.0</v>
      </c>
      <c r="AU31" s="233">
        <v>389000.0</v>
      </c>
      <c r="AV31" s="233">
        <v>0.0</v>
      </c>
      <c r="AW31" s="233">
        <f t="shared" si="9"/>
        <v>592000</v>
      </c>
      <c r="AX31" s="233">
        <v>5.4155E7</v>
      </c>
      <c r="AY31" s="233">
        <f t="shared" si="10"/>
        <v>54747000</v>
      </c>
      <c r="AZ31" s="1" t="s">
        <v>1499</v>
      </c>
      <c r="BA31" s="234" t="s">
        <v>1551</v>
      </c>
      <c r="BD31" s="235"/>
    </row>
    <row r="32" ht="12.75" customHeight="1">
      <c r="A32" s="243" t="s">
        <v>167</v>
      </c>
      <c r="B32" s="202" t="s">
        <v>167</v>
      </c>
      <c r="C32" s="1" t="s">
        <v>1302</v>
      </c>
      <c r="D32" s="202" t="s">
        <v>1541</v>
      </c>
      <c r="E32" s="230">
        <v>1.08942E11</v>
      </c>
      <c r="F32" s="230" t="str">
        <f>IF(ISNUMBER(Table1[[#This Row],[2019 Scope 3 ]]),IF(Table1[[#This Row],[Net Earnings/Income (2019)]]-k_cost*Table1[[#This Row],[2019 Total Scope 1, 2 + 3]]&lt;0,"Y","N"),"NA")</f>
        <v>#ERROR!</v>
      </c>
      <c r="G32" s="62" t="str">
        <f>IF(ISNUMBER(Table1[[#This Row],[2019 Scope 3 ]]),IF(k_cost*Table1[[#This Row],[2019 Total Scope 1, 2 + 3]]/Table1[[#This Row],[Size (2019 Revenue)]]&gt;k_rev_max,"Y","N"),"NA")</f>
        <v>#ERROR!</v>
      </c>
      <c r="H32" s="62" t="str">
        <f>IF(OR(Table1[[#This Row],[Net earnings post carbon price @85/t]]="Y",Table1[[#This Row],[Carbon costs in % revenue]] = "Y"),"Y",IF(OR(Table1[[#This Row],[Net earnings post carbon price @85/t]]="NA",Table1[[#This Row],[Carbon costs in % revenue]]="NA"),"NA","N"))</f>
        <v>#ERROR!</v>
      </c>
      <c r="I32" s="230">
        <v>1.3057E10</v>
      </c>
      <c r="J32" s="231">
        <v>1963.0</v>
      </c>
      <c r="K32" s="230" t="s">
        <v>1498</v>
      </c>
      <c r="L32" s="1" t="s">
        <v>1499</v>
      </c>
      <c r="M32" s="1" t="s">
        <v>1499</v>
      </c>
      <c r="P32" s="1" t="s">
        <v>1499</v>
      </c>
      <c r="Q32" s="1" t="s">
        <v>1499</v>
      </c>
      <c r="R32" s="1" t="s">
        <v>1499</v>
      </c>
      <c r="S32" s="1" t="s">
        <v>1499</v>
      </c>
      <c r="T32" s="218" t="str">
        <f>IFERROR((Table1[[#This Row],[2019 Total Scope 1, 2 + 3]])/Table1[[#This Row],[2018 Total Scope 1, 2 + Scope 3]]-1,"NA")</f>
        <v>#ERROR!</v>
      </c>
      <c r="V32" s="233">
        <v>498455.0</v>
      </c>
      <c r="W32" s="233">
        <v>1496771.0</v>
      </c>
      <c r="X32" s="233"/>
      <c r="Y32" s="233">
        <f t="shared" si="1"/>
        <v>1995226</v>
      </c>
      <c r="Z32" s="233" t="s">
        <v>536</v>
      </c>
      <c r="AA32" s="233" t="str">
        <f t="shared" si="2"/>
        <v/>
      </c>
      <c r="AB32" s="233">
        <v>505483.0</v>
      </c>
      <c r="AC32" s="233">
        <v>1458463.0</v>
      </c>
      <c r="AD32" s="233"/>
      <c r="AE32" s="233">
        <f t="shared" si="3"/>
        <v>1963946</v>
      </c>
      <c r="AF32" s="233" t="s">
        <v>536</v>
      </c>
      <c r="AG32" s="233" t="str">
        <f t="shared" si="4"/>
        <v/>
      </c>
      <c r="AH32" s="233">
        <v>513316.0</v>
      </c>
      <c r="AI32" s="233">
        <v>1491298.0</v>
      </c>
      <c r="AJ32" s="233"/>
      <c r="AK32" s="233">
        <f t="shared" si="5"/>
        <v>2004614</v>
      </c>
      <c r="AL32" s="233" t="s">
        <v>536</v>
      </c>
      <c r="AM32" s="233" t="str">
        <f t="shared" si="6"/>
        <v/>
      </c>
      <c r="AN32" s="233">
        <v>364556.0</v>
      </c>
      <c r="AO32" s="233">
        <v>1380854.0</v>
      </c>
      <c r="AP32" s="233"/>
      <c r="AQ32" s="233">
        <f t="shared" si="7"/>
        <v>1745410</v>
      </c>
      <c r="AR32" s="233" t="s">
        <v>536</v>
      </c>
      <c r="AS32" s="233" t="str">
        <f t="shared" si="8"/>
        <v/>
      </c>
      <c r="AT32" s="233" t="s">
        <v>536</v>
      </c>
      <c r="AU32" s="233" t="s">
        <v>536</v>
      </c>
      <c r="AV32" s="233"/>
      <c r="AW32" s="233" t="str">
        <f t="shared" si="9"/>
        <v/>
      </c>
      <c r="AX32" s="233" t="s">
        <v>536</v>
      </c>
      <c r="AY32" s="233" t="str">
        <f t="shared" si="10"/>
        <v/>
      </c>
      <c r="AZ32" s="1" t="s">
        <v>1499</v>
      </c>
      <c r="BA32" s="234" t="s">
        <v>1552</v>
      </c>
      <c r="BB32" s="234" t="s">
        <v>1553</v>
      </c>
      <c r="BD32" s="235"/>
    </row>
    <row r="33" ht="12.75" customHeight="1">
      <c r="A33" s="243" t="s">
        <v>172</v>
      </c>
      <c r="B33" s="243" t="s">
        <v>172</v>
      </c>
      <c r="C33" s="243" t="s">
        <v>1350</v>
      </c>
      <c r="D33" s="202" t="s">
        <v>1542</v>
      </c>
      <c r="E33" s="230">
        <v>3.667E10</v>
      </c>
      <c r="F33" s="230" t="str">
        <f>IF(ISNUMBER(Table1[[#This Row],[2019 Scope 3 ]]),IF(Table1[[#This Row],[Net Earnings/Income (2019)]]-k_cost*Table1[[#This Row],[2019 Total Scope 1, 2 + 3]]&lt;0,"Y","N"),"NA")</f>
        <v>#ERROR!</v>
      </c>
      <c r="G33" s="62" t="str">
        <f>IF(ISNUMBER(Table1[[#This Row],[2019 Scope 3 ]]),IF(k_cost*Table1[[#This Row],[2019 Total Scope 1, 2 + 3]]/Table1[[#This Row],[Size (2019 Revenue)]]&gt;k_rev_max,"Y","N"),"NA")</f>
        <v>#ERROR!</v>
      </c>
      <c r="H33" s="62" t="str">
        <f>IF(OR(Table1[[#This Row],[Net earnings post carbon price @85/t]]="Y",Table1[[#This Row],[Carbon costs in % revenue]] = "Y"),"Y",IF(OR(Table1[[#This Row],[Net earnings post carbon price @85/t]]="NA",Table1[[#This Row],[Carbon costs in % revenue]]="NA"),"NA","N"))</f>
        <v>#ERROR!</v>
      </c>
      <c r="I33" s="230">
        <v>7.189E9</v>
      </c>
      <c r="J33" s="231">
        <v>1875.0</v>
      </c>
      <c r="K33" s="230" t="s">
        <v>1498</v>
      </c>
      <c r="L33" s="202" t="s">
        <v>1498</v>
      </c>
      <c r="M33" s="1" t="s">
        <v>1499</v>
      </c>
      <c r="N33" s="1">
        <v>2050.0</v>
      </c>
      <c r="O33" s="1">
        <v>2020.0</v>
      </c>
      <c r="P33" s="1" t="s">
        <v>1499</v>
      </c>
      <c r="Q33" s="1" t="s">
        <v>1499</v>
      </c>
      <c r="R33" s="1" t="s">
        <v>1499</v>
      </c>
      <c r="S33" s="1" t="s">
        <v>1499</v>
      </c>
      <c r="T33" s="218" t="str">
        <f>IFERROR((Table1[[#This Row],[2019 Total Scope 1, 2 + 3]])/Table1[[#This Row],[2018 Total Scope 1, 2 + Scope 3]]-1,"NA")</f>
        <v>#ERROR!</v>
      </c>
      <c r="V33" s="233">
        <v>1.95E7</v>
      </c>
      <c r="W33" s="233">
        <v>1000000.0</v>
      </c>
      <c r="X33" s="233">
        <v>0.0</v>
      </c>
      <c r="Y33" s="233">
        <f t="shared" si="1"/>
        <v>20500000</v>
      </c>
      <c r="Z33" s="233">
        <v>1.734E8</v>
      </c>
      <c r="AA33" s="233">
        <f t="shared" si="2"/>
        <v>193900000</v>
      </c>
      <c r="AB33" s="233">
        <v>1.97E7</v>
      </c>
      <c r="AC33" s="233">
        <v>1100000.0</v>
      </c>
      <c r="AD33" s="233">
        <v>0.0</v>
      </c>
      <c r="AE33" s="233">
        <f t="shared" si="3"/>
        <v>20800000</v>
      </c>
      <c r="AF33" s="233">
        <f>Z33/1.09</f>
        <v>159082568.8</v>
      </c>
      <c r="AG33" s="233">
        <f t="shared" si="4"/>
        <v>179882568.8</v>
      </c>
      <c r="AH33" s="233">
        <v>1.97E7</v>
      </c>
      <c r="AI33" s="233">
        <v>1200000.0</v>
      </c>
      <c r="AJ33" s="233">
        <v>0.0</v>
      </c>
      <c r="AK33" s="233">
        <f t="shared" si="5"/>
        <v>20900000</v>
      </c>
      <c r="AL33" s="233" t="s">
        <v>536</v>
      </c>
      <c r="AM33" s="233" t="str">
        <f t="shared" si="6"/>
        <v/>
      </c>
      <c r="AN33" s="233">
        <v>2.53E7</v>
      </c>
      <c r="AO33" s="233">
        <v>1500000.0</v>
      </c>
      <c r="AP33" s="233">
        <v>0.0</v>
      </c>
      <c r="AQ33" s="233">
        <f t="shared" si="7"/>
        <v>26800000</v>
      </c>
      <c r="AR33" s="233" t="s">
        <v>536</v>
      </c>
      <c r="AS33" s="233" t="str">
        <f t="shared" si="8"/>
        <v/>
      </c>
      <c r="AT33" s="233">
        <v>2.48E7</v>
      </c>
      <c r="AU33" s="233">
        <v>1300000.0</v>
      </c>
      <c r="AV33" s="233">
        <v>0.0</v>
      </c>
      <c r="AW33" s="233">
        <f t="shared" si="9"/>
        <v>26100000</v>
      </c>
      <c r="AX33" s="233" t="s">
        <v>536</v>
      </c>
      <c r="AY33" s="233" t="str">
        <f t="shared" si="10"/>
        <v/>
      </c>
      <c r="AZ33" s="1" t="s">
        <v>1498</v>
      </c>
      <c r="BA33" s="234" t="s">
        <v>1554</v>
      </c>
      <c r="BB33" s="237" t="s">
        <v>1555</v>
      </c>
      <c r="BD33" s="235"/>
    </row>
    <row r="34" ht="12.75" customHeight="1">
      <c r="A34" s="243" t="s">
        <v>177</v>
      </c>
      <c r="B34" s="202" t="s">
        <v>177</v>
      </c>
      <c r="C34" s="202" t="s">
        <v>1306</v>
      </c>
      <c r="D34" s="202" t="s">
        <v>962</v>
      </c>
      <c r="E34" s="230">
        <v>1.52703E11</v>
      </c>
      <c r="F34" s="230" t="str">
        <f>IF(ISNUMBER(Table1[[#This Row],[2019 Scope 3 ]]),IF(Table1[[#This Row],[Net Earnings/Income (2019)]]-k_cost*Table1[[#This Row],[2019 Total Scope 1, 2 + 3]]&lt;0,"Y","N"),"NA")</f>
        <v>#ERROR!</v>
      </c>
      <c r="G34" s="62" t="str">
        <f>IF(ISNUMBER(Table1[[#This Row],[2019 Scope 3 ]]),IF(k_cost*Table1[[#This Row],[2019 Total Scope 1, 2 + 3]]/Table1[[#This Row],[Size (2019 Revenue)]]&gt;k_rev_max,"Y","N"),"NA")</f>
        <v>#ERROR!</v>
      </c>
      <c r="H34" s="62" t="str">
        <f>IF(OR(Table1[[#This Row],[Net earnings post carbon price @85/t]]="Y",Table1[[#This Row],[Carbon costs in % revenue]] = "Y"),"Y",IF(OR(Table1[[#This Row],[Net earnings post carbon price @85/t]]="NA",Table1[[#This Row],[Carbon costs in % revenue]]="NA"),"NA","N"))</f>
        <v>#ERROR!</v>
      </c>
      <c r="I34" s="230">
        <v>3.659E9</v>
      </c>
      <c r="J34" s="231">
        <v>1976.0</v>
      </c>
      <c r="K34" s="230" t="s">
        <v>1498</v>
      </c>
      <c r="L34" s="1" t="s">
        <v>1499</v>
      </c>
      <c r="M34" s="1" t="s">
        <v>1499</v>
      </c>
      <c r="P34" s="1" t="s">
        <v>1499</v>
      </c>
      <c r="Q34" s="1" t="s">
        <v>1499</v>
      </c>
      <c r="R34" s="1" t="s">
        <v>1499</v>
      </c>
      <c r="S34" s="1" t="s">
        <v>1499</v>
      </c>
      <c r="T34" s="218" t="str">
        <f>IFERROR((Table1[[#This Row],[2019 Total Scope 1, 2 + 3]])/Table1[[#This Row],[2018 Total Scope 1, 2 + Scope 3]]-1,"NA")</f>
        <v>#ERROR!</v>
      </c>
      <c r="V34" s="233">
        <v>1108562.25</v>
      </c>
      <c r="W34" s="233">
        <v>1473874.16</v>
      </c>
      <c r="X34" s="233"/>
      <c r="Y34" s="233">
        <f t="shared" si="1"/>
        <v>2582436.41</v>
      </c>
      <c r="Z34" s="233" t="s">
        <v>536</v>
      </c>
      <c r="AA34" s="233" t="str">
        <f t="shared" si="2"/>
        <v/>
      </c>
      <c r="AB34" s="233">
        <v>1114966.57</v>
      </c>
      <c r="AC34" s="233">
        <v>1393452.84</v>
      </c>
      <c r="AD34" s="233"/>
      <c r="AE34" s="233">
        <f t="shared" si="3"/>
        <v>2508419.41</v>
      </c>
      <c r="AF34" s="233" t="s">
        <v>536</v>
      </c>
      <c r="AG34" s="233" t="str">
        <f t="shared" si="4"/>
        <v/>
      </c>
      <c r="AH34" s="233">
        <v>970138.0</v>
      </c>
      <c r="AI34" s="233">
        <v>1388491.0</v>
      </c>
      <c r="AJ34" s="233"/>
      <c r="AK34" s="233">
        <f t="shared" si="5"/>
        <v>2358629</v>
      </c>
      <c r="AL34" s="233" t="s">
        <v>536</v>
      </c>
      <c r="AM34" s="233" t="str">
        <f t="shared" si="6"/>
        <v/>
      </c>
      <c r="AN34" s="233">
        <v>785682.0</v>
      </c>
      <c r="AO34" s="233">
        <v>1315361.0</v>
      </c>
      <c r="AP34" s="233"/>
      <c r="AQ34" s="233">
        <f t="shared" si="7"/>
        <v>2101043</v>
      </c>
      <c r="AR34" s="233" t="s">
        <v>536</v>
      </c>
      <c r="AS34" s="233" t="str">
        <f t="shared" si="8"/>
        <v/>
      </c>
      <c r="AT34" s="233">
        <v>636727.0</v>
      </c>
      <c r="AU34" s="233">
        <v>1236737.0</v>
      </c>
      <c r="AV34" s="233"/>
      <c r="AW34" s="233">
        <f t="shared" si="9"/>
        <v>1873464</v>
      </c>
      <c r="AX34" s="233" t="s">
        <v>536</v>
      </c>
      <c r="AY34" s="233" t="str">
        <f t="shared" si="10"/>
        <v/>
      </c>
      <c r="AZ34" s="1" t="s">
        <v>1499</v>
      </c>
      <c r="BA34" s="234" t="s">
        <v>1556</v>
      </c>
      <c r="BB34" s="234" t="s">
        <v>1557</v>
      </c>
      <c r="BD34" s="235"/>
    </row>
    <row r="35" ht="12.75" customHeight="1">
      <c r="A35" s="202" t="s">
        <v>182</v>
      </c>
      <c r="B35" s="202" t="s">
        <v>183</v>
      </c>
      <c r="C35" s="202" t="s">
        <v>1283</v>
      </c>
      <c r="D35" s="202" t="s">
        <v>962</v>
      </c>
      <c r="E35" s="230">
        <v>2.56776E11</v>
      </c>
      <c r="F35" s="230" t="str">
        <f>IF(ISNUMBER(Table1[[#This Row],[2019 Scope 3 ]]),IF(Table1[[#This Row],[Net Earnings/Income (2019)]]-k_cost*Table1[[#This Row],[2019 Total Scope 1, 2 + 3]]&lt;0,"Y","N"),"NA")</f>
        <v>#ERROR!</v>
      </c>
      <c r="G35" s="62" t="str">
        <f>IF(ISNUMBER(Table1[[#This Row],[2019 Scope 3 ]]),IF(k_cost*Table1[[#This Row],[2019 Total Scope 1, 2 + 3]]/Table1[[#This Row],[Size (2019 Revenue)]]&gt;k_rev_max,"Y","N"),"NA")</f>
        <v>#ERROR!</v>
      </c>
      <c r="H35" s="62" t="str">
        <f>IF(OR(Table1[[#This Row],[Net earnings post carbon price @85/t]]="Y",Table1[[#This Row],[Carbon costs in % revenue]] = "Y"),"Y",IF(OR(Table1[[#This Row],[Net earnings post carbon price @85/t]]="NA",Table1[[#This Row],[Carbon costs in % revenue]]="NA"),"NA","N"))</f>
        <v>#ERROR!</v>
      </c>
      <c r="I35" s="230">
        <v>6.634E9</v>
      </c>
      <c r="J35" s="231">
        <v>1963.0</v>
      </c>
      <c r="K35" s="230" t="s">
        <v>1498</v>
      </c>
      <c r="L35" s="1" t="s">
        <v>1499</v>
      </c>
      <c r="M35" s="1" t="s">
        <v>1498</v>
      </c>
      <c r="P35" s="1" t="s">
        <v>1499</v>
      </c>
      <c r="Q35" s="1" t="s">
        <v>1499</v>
      </c>
      <c r="R35" s="1" t="s">
        <v>1499</v>
      </c>
      <c r="S35" s="1" t="s">
        <v>1499</v>
      </c>
      <c r="T35" s="218" t="str">
        <f>IFERROR((Table1[[#This Row],[2019 Total Scope 1, 2 + 3]])/Table1[[#This Row],[2018 Total Scope 1, 2 + Scope 3]]-1,"NA")</f>
        <v>#ERROR!</v>
      </c>
      <c r="V35" s="233">
        <v>157114.0</v>
      </c>
      <c r="W35" s="233">
        <v>1024682.0</v>
      </c>
      <c r="X35" s="233">
        <v>0.0</v>
      </c>
      <c r="Y35" s="233">
        <f t="shared" si="1"/>
        <v>1181796</v>
      </c>
      <c r="Z35" s="233">
        <f>14584739.12+1011729.83+51656.89+35236.88+106796.09+20400+46624.82</f>
        <v>15857183.63</v>
      </c>
      <c r="AA35" s="233">
        <f t="shared" si="2"/>
        <v>17038979.63</v>
      </c>
      <c r="AB35" s="233">
        <v>177347.0</v>
      </c>
      <c r="AC35" s="233">
        <v>1096724.0</v>
      </c>
      <c r="AD35" s="233">
        <v>0.0</v>
      </c>
      <c r="AE35" s="233">
        <f t="shared" si="3"/>
        <v>1274071</v>
      </c>
      <c r="AF35" s="233">
        <f>10986342.63+1091380.21+51836.83+31736+35855.55+20400+53932.12</f>
        <v>12271483.34</v>
      </c>
      <c r="AG35" s="233">
        <f t="shared" si="4"/>
        <v>13545554.34</v>
      </c>
      <c r="AH35" s="233">
        <v>206086.0</v>
      </c>
      <c r="AI35" s="233">
        <v>1131013.0</v>
      </c>
      <c r="AJ35" s="233">
        <v>0.0</v>
      </c>
      <c r="AK35" s="233">
        <f t="shared" si="5"/>
        <v>1337099</v>
      </c>
      <c r="AL35" s="233">
        <f>2400000+97000+31736+36636+53469</f>
        <v>2618841</v>
      </c>
      <c r="AM35" s="233">
        <f t="shared" si="6"/>
        <v>3955940</v>
      </c>
      <c r="AN35" s="233">
        <v>198055.0</v>
      </c>
      <c r="AO35" s="233">
        <v>1265480.0</v>
      </c>
      <c r="AP35" s="233"/>
      <c r="AQ35" s="233">
        <f t="shared" si="7"/>
        <v>1463535</v>
      </c>
      <c r="AR35" s="233">
        <f>2400000+119000+40280+50310</f>
        <v>2609590</v>
      </c>
      <c r="AS35" s="233">
        <f t="shared" si="8"/>
        <v>4073125</v>
      </c>
      <c r="AT35" s="233">
        <v>214156.0</v>
      </c>
      <c r="AU35" s="233">
        <v>1378660.0</v>
      </c>
      <c r="AV35" s="233"/>
      <c r="AW35" s="233">
        <f t="shared" si="9"/>
        <v>1592816</v>
      </c>
      <c r="AX35" s="233" t="s">
        <v>536</v>
      </c>
      <c r="AY35" s="233" t="str">
        <f t="shared" si="10"/>
        <v/>
      </c>
      <c r="AZ35" s="1" t="s">
        <v>1499</v>
      </c>
      <c r="BA35" s="234" t="s">
        <v>1558</v>
      </c>
      <c r="BD35" s="235"/>
    </row>
    <row r="36" ht="12.75" customHeight="1">
      <c r="A36" s="202" t="s">
        <v>188</v>
      </c>
      <c r="B36" s="202" t="s">
        <v>188</v>
      </c>
      <c r="C36" s="202" t="s">
        <v>1283</v>
      </c>
      <c r="D36" s="202" t="s">
        <v>1559</v>
      </c>
      <c r="E36" s="230">
        <v>1.791E10</v>
      </c>
      <c r="F36" s="230" t="str">
        <f>IF(ISNUMBER(Table1[[#This Row],[2019 Scope 3 ]]),IF(Table1[[#This Row],[Net Earnings/Income (2019)]]-k_cost*Table1[[#This Row],[2019 Total Scope 1, 2 + 3]]&lt;0,"Y","N"),"NA")</f>
        <v>#ERROR!</v>
      </c>
      <c r="G36" s="62" t="str">
        <f>IF(ISNUMBER(Table1[[#This Row],[2019 Scope 3 ]]),IF(k_cost*Table1[[#This Row],[2019 Total Scope 1, 2 + 3]]/Table1[[#This Row],[Size (2019 Revenue)]]&gt;k_rev_max,"Y","N"),"NA")</f>
        <v>#ERROR!</v>
      </c>
      <c r="H36" s="62" t="str">
        <f>IF(OR(Table1[[#This Row],[Net earnings post carbon price @85/t]]="Y",Table1[[#This Row],[Carbon costs in % revenue]] = "Y"),"Y",IF(OR(Table1[[#This Row],[Net earnings post carbon price @85/t]]="NA",Table1[[#This Row],[Carbon costs in % revenue]]="NA"),"NA","N"))</f>
        <v>#ERROR!</v>
      </c>
      <c r="I36" s="230">
        <v>2.94E9</v>
      </c>
      <c r="J36" s="231">
        <v>1969.0</v>
      </c>
      <c r="K36" s="230" t="s">
        <v>1498</v>
      </c>
      <c r="L36" s="1" t="s">
        <v>1499</v>
      </c>
      <c r="M36" s="1" t="s">
        <v>1499</v>
      </c>
      <c r="P36" s="1" t="s">
        <v>1499</v>
      </c>
      <c r="Q36" s="1" t="s">
        <v>1499</v>
      </c>
      <c r="R36" s="1" t="s">
        <v>1499</v>
      </c>
      <c r="S36" s="1" t="s">
        <v>1499</v>
      </c>
      <c r="T36" s="218" t="str">
        <f>IFERROR((Table1[[#This Row],[2019 Total Scope 1, 2 + 3]])/Table1[[#This Row],[2018 Total Scope 1, 2 + Scope 3]]-1,"NA")</f>
        <v>#ERROR!</v>
      </c>
      <c r="V36" s="233" t="s">
        <v>536</v>
      </c>
      <c r="W36" s="233" t="s">
        <v>536</v>
      </c>
      <c r="X36" s="233"/>
      <c r="Y36" s="233" t="str">
        <f t="shared" si="1"/>
        <v/>
      </c>
      <c r="Z36" s="233" t="s">
        <v>536</v>
      </c>
      <c r="AA36" s="233" t="str">
        <f t="shared" si="2"/>
        <v/>
      </c>
      <c r="AB36" s="233">
        <f>7.13*E36/1000000</f>
        <v>127698.3</v>
      </c>
      <c r="AC36" s="233">
        <f>10.16*E36/1000000</f>
        <v>181965.6</v>
      </c>
      <c r="AD36" s="233">
        <v>0.0</v>
      </c>
      <c r="AE36" s="233">
        <f t="shared" si="3"/>
        <v>309663.9</v>
      </c>
      <c r="AF36" s="233" t="s">
        <v>536</v>
      </c>
      <c r="AG36" s="233" t="str">
        <f t="shared" si="4"/>
        <v/>
      </c>
      <c r="AH36" s="233" t="s">
        <v>536</v>
      </c>
      <c r="AI36" s="233" t="s">
        <v>536</v>
      </c>
      <c r="AJ36" s="233"/>
      <c r="AK36" s="233" t="str">
        <f t="shared" si="5"/>
        <v/>
      </c>
      <c r="AL36" s="233" t="s">
        <v>536</v>
      </c>
      <c r="AM36" s="233" t="str">
        <f t="shared" si="6"/>
        <v/>
      </c>
      <c r="AN36" s="233" t="s">
        <v>536</v>
      </c>
      <c r="AO36" s="233" t="s">
        <v>536</v>
      </c>
      <c r="AP36" s="233"/>
      <c r="AQ36" s="233" t="str">
        <f t="shared" si="7"/>
        <v/>
      </c>
      <c r="AR36" s="233" t="s">
        <v>536</v>
      </c>
      <c r="AS36" s="233" t="str">
        <f t="shared" si="8"/>
        <v/>
      </c>
      <c r="AT36" s="233" t="s">
        <v>536</v>
      </c>
      <c r="AU36" s="233" t="s">
        <v>536</v>
      </c>
      <c r="AV36" s="233"/>
      <c r="AW36" s="233" t="str">
        <f t="shared" si="9"/>
        <v/>
      </c>
      <c r="AX36" s="233" t="s">
        <v>536</v>
      </c>
      <c r="AY36" s="233" t="str">
        <f t="shared" si="10"/>
        <v/>
      </c>
      <c r="AZ36" s="1" t="s">
        <v>1499</v>
      </c>
      <c r="BA36" s="234" t="s">
        <v>1560</v>
      </c>
      <c r="BD36" s="235"/>
    </row>
    <row r="37" ht="12.75" customHeight="1">
      <c r="A37" s="202" t="s">
        <v>190</v>
      </c>
      <c r="B37" s="202" t="s">
        <v>191</v>
      </c>
      <c r="C37" s="1" t="s">
        <v>939</v>
      </c>
      <c r="D37" s="202" t="s">
        <v>940</v>
      </c>
      <c r="E37" s="230">
        <v>4.2951E10</v>
      </c>
      <c r="F37" s="230" t="str">
        <f>IF(ISNUMBER(Table1[[#This Row],[2019 Scope 3 ]]),IF(Table1[[#This Row],[Net Earnings/Income (2019)]]-k_cost*Table1[[#This Row],[2019 Total Scope 1, 2 + 3]]&lt;0,"Y","N"),"NA")</f>
        <v>#ERROR!</v>
      </c>
      <c r="G37" s="62" t="str">
        <f>IF(ISNUMBER(Table1[[#This Row],[2019 Scope 3 ]]),IF(k_cost*Table1[[#This Row],[2019 Total Scope 1, 2 + 3]]/Table1[[#This Row],[Size (2019 Revenue)]]&gt;k_rev_max,"Y","N"),"NA")</f>
        <v>#ERROR!</v>
      </c>
      <c r="H37" s="62" t="str">
        <f>IF(OR(Table1[[#This Row],[Net earnings post carbon price @85/t]]="Y",Table1[[#This Row],[Carbon costs in % revenue]] = "Y"),"Y",IF(OR(Table1[[#This Row],[Net earnings post carbon price @85/t]]="NA",Table1[[#This Row],[Carbon costs in % revenue]]="NA"),"NA","N"))</f>
        <v>#ERROR!</v>
      </c>
      <c r="I37" s="236">
        <v>-1.359E9</v>
      </c>
      <c r="J37" s="231">
        <v>1897.0</v>
      </c>
      <c r="K37" s="230" t="s">
        <v>1498</v>
      </c>
      <c r="L37" s="1" t="s">
        <v>1498</v>
      </c>
      <c r="M37" s="1" t="s">
        <v>1499</v>
      </c>
      <c r="N37" s="1">
        <v>2050.0</v>
      </c>
      <c r="O37" s="1">
        <v>2020.0</v>
      </c>
      <c r="P37" s="1" t="s">
        <v>1499</v>
      </c>
      <c r="Q37" s="1" t="s">
        <v>1499</v>
      </c>
      <c r="R37" s="1" t="s">
        <v>1499</v>
      </c>
      <c r="S37" s="1" t="s">
        <v>1499</v>
      </c>
      <c r="T37" s="218" t="str">
        <f>IFERROR((Table1[[#This Row],[2019 Total Scope 1, 2 + 3]])/Table1[[#This Row],[2018 Total Scope 1, 2 + Scope 3]]-1,"NA")</f>
        <v>#ERROR!</v>
      </c>
      <c r="V37" s="233">
        <v>2.76E7</v>
      </c>
      <c r="W37" s="233">
        <v>6050000.0</v>
      </c>
      <c r="X37" s="233">
        <v>0.0</v>
      </c>
      <c r="Y37" s="233">
        <f t="shared" si="1"/>
        <v>33650000</v>
      </c>
      <c r="Z37" s="233">
        <v>9.14E7</v>
      </c>
      <c r="AA37" s="233">
        <f t="shared" si="2"/>
        <v>125050000</v>
      </c>
      <c r="AB37" s="233">
        <v>2.87E7</v>
      </c>
      <c r="AC37" s="233">
        <v>6820000.0</v>
      </c>
      <c r="AD37" s="233">
        <v>0.0</v>
      </c>
      <c r="AE37" s="233">
        <f t="shared" si="3"/>
        <v>35520000</v>
      </c>
      <c r="AF37" s="233">
        <v>7.63E7</v>
      </c>
      <c r="AG37" s="233">
        <f t="shared" si="4"/>
        <v>111820000</v>
      </c>
      <c r="AH37" s="233">
        <v>2.576054E7</v>
      </c>
      <c r="AI37" s="233">
        <v>8814966.0</v>
      </c>
      <c r="AJ37" s="233"/>
      <c r="AK37" s="233">
        <f t="shared" si="5"/>
        <v>34575506</v>
      </c>
      <c r="AL37" s="233">
        <f>39700000+2400000+800000+2000000+260000+74000+200000+60000+2000000+3000000+24500000+200000+3700000</f>
        <v>78894000</v>
      </c>
      <c r="AM37" s="233">
        <f t="shared" si="6"/>
        <v>113469506</v>
      </c>
      <c r="AN37" s="233">
        <v>2.557E7</v>
      </c>
      <c r="AO37" s="233">
        <v>9840000.0</v>
      </c>
      <c r="AP37" s="233"/>
      <c r="AQ37" s="233">
        <f t="shared" si="7"/>
        <v>35410000</v>
      </c>
      <c r="AR37" s="233">
        <f>36500000+2400000+2500000+2000000+260000+820000+110000+60000+2000000+2900000+25000000+1800000</f>
        <v>76350000</v>
      </c>
      <c r="AS37" s="233">
        <f t="shared" si="8"/>
        <v>111760000</v>
      </c>
      <c r="AT37" s="233">
        <v>2.524E7</v>
      </c>
      <c r="AU37" s="233">
        <v>9710000.0</v>
      </c>
      <c r="AV37" s="233"/>
      <c r="AW37" s="233">
        <f t="shared" si="9"/>
        <v>34950000</v>
      </c>
      <c r="AX37" s="233">
        <f>48800000+2200000+10300000+3000000+150000+670000+100000+60000+3400000+7400000+20900000+3400000</f>
        <v>100380000</v>
      </c>
      <c r="AY37" s="233">
        <f t="shared" si="10"/>
        <v>135330000</v>
      </c>
      <c r="AZ37" s="1" t="s">
        <v>1498</v>
      </c>
      <c r="BA37" s="234" t="s">
        <v>1561</v>
      </c>
      <c r="BB37" s="237" t="s">
        <v>1562</v>
      </c>
      <c r="BD37" s="235"/>
    </row>
    <row r="38" ht="12.75" customHeight="1">
      <c r="A38" s="202" t="s">
        <v>193</v>
      </c>
      <c r="B38" s="202" t="s">
        <v>193</v>
      </c>
      <c r="C38" s="1" t="s">
        <v>1364</v>
      </c>
      <c r="D38" s="1" t="s">
        <v>1364</v>
      </c>
      <c r="E38" s="230">
        <v>2.5079E10</v>
      </c>
      <c r="F38" s="230" t="str">
        <f>IF(ISNUMBER(Table1[[#This Row],[2019 Scope 3 ]]),IF(Table1[[#This Row],[Net Earnings/Income (2019)]]-k_cost*Table1[[#This Row],[2019 Total Scope 1, 2 + 3]]&lt;0,"Y","N"),"NA")</f>
        <v>#ERROR!</v>
      </c>
      <c r="G38" s="62" t="str">
        <f>IF(ISNUMBER(Table1[[#This Row],[2019 Scope 3 ]]),IF(k_cost*Table1[[#This Row],[2019 Total Scope 1, 2 + 3]]/Table1[[#This Row],[Size (2019 Revenue)]]&gt;k_rev_max,"Y","N"),"NA")</f>
        <v>#ERROR!</v>
      </c>
      <c r="H38" s="62" t="str">
        <f>IF(OR(Table1[[#This Row],[Net earnings post carbon price @85/t]]="Y",Table1[[#This Row],[Carbon costs in % revenue]] = "Y"),"Y",IF(OR(Table1[[#This Row],[Net earnings post carbon price @85/t]]="NA",Table1[[#This Row],[Carbon costs in % revenue]]="NA"),"NA","N"))</f>
        <v>#ERROR!</v>
      </c>
      <c r="I38" s="230">
        <v>3.707E9</v>
      </c>
      <c r="J38" s="231">
        <v>1900.0</v>
      </c>
      <c r="K38" s="230" t="s">
        <v>1498</v>
      </c>
      <c r="L38" s="1" t="s">
        <v>1498</v>
      </c>
      <c r="M38" s="1" t="s">
        <v>1499</v>
      </c>
      <c r="N38" s="1">
        <v>2050.0</v>
      </c>
      <c r="O38" s="1">
        <v>2019.0</v>
      </c>
      <c r="P38" s="1" t="s">
        <v>1499</v>
      </c>
      <c r="Q38" s="1" t="s">
        <v>1499</v>
      </c>
      <c r="R38" s="1" t="s">
        <v>1499</v>
      </c>
      <c r="S38" s="1" t="s">
        <v>1499</v>
      </c>
      <c r="T38" s="218" t="str">
        <f>IFERROR((Table1[[#This Row],[2019 Total Scope 1, 2 + 3]])/Table1[[#This Row],[2018 Total Scope 1, 2 + Scope 3]]-1,"NA")</f>
        <v>#ERROR!</v>
      </c>
      <c r="V38" s="233">
        <v>9.3E7</v>
      </c>
      <c r="W38" s="233">
        <v>1.1122E7</v>
      </c>
      <c r="X38" s="233">
        <v>0.0</v>
      </c>
      <c r="Y38" s="233">
        <f t="shared" si="1"/>
        <v>104122000</v>
      </c>
      <c r="Z38" s="233">
        <v>1.9811E7</v>
      </c>
      <c r="AA38" s="233">
        <f t="shared" si="2"/>
        <v>123933000</v>
      </c>
      <c r="AB38" s="233">
        <v>9.65488E7</v>
      </c>
      <c r="AC38" s="233">
        <v>23200.0</v>
      </c>
      <c r="AD38" s="233"/>
      <c r="AE38" s="233">
        <f t="shared" si="3"/>
        <v>96572000</v>
      </c>
      <c r="AF38" s="233">
        <f>10100000+17977642</f>
        <v>28077642</v>
      </c>
      <c r="AG38" s="233">
        <f t="shared" si="4"/>
        <v>124649642</v>
      </c>
      <c r="AH38" s="233">
        <v>9.52134E7</v>
      </c>
      <c r="AI38" s="233">
        <v>0.0</v>
      </c>
      <c r="AJ38" s="233"/>
      <c r="AK38" s="233">
        <f t="shared" si="5"/>
        <v>95213400</v>
      </c>
      <c r="AL38" s="233">
        <f>15948080</f>
        <v>15948080</v>
      </c>
      <c r="AM38" s="233">
        <f t="shared" si="6"/>
        <v>111161480</v>
      </c>
      <c r="AN38" s="233">
        <v>9.68372E7</v>
      </c>
      <c r="AO38" s="233">
        <v>0.0</v>
      </c>
      <c r="AP38" s="233"/>
      <c r="AQ38" s="233">
        <f t="shared" si="7"/>
        <v>96837200</v>
      </c>
      <c r="AR38" s="233">
        <f>16640509</f>
        <v>16640509</v>
      </c>
      <c r="AS38" s="233">
        <f t="shared" si="8"/>
        <v>113477709</v>
      </c>
      <c r="AT38" s="233">
        <v>1.00238E8</v>
      </c>
      <c r="AU38" s="233">
        <v>0.0</v>
      </c>
      <c r="AV38" s="233"/>
      <c r="AW38" s="233">
        <f t="shared" si="9"/>
        <v>100238000</v>
      </c>
      <c r="AX38" s="233" t="s">
        <v>536</v>
      </c>
      <c r="AY38" s="233" t="str">
        <f t="shared" si="10"/>
        <v/>
      </c>
      <c r="AZ38" s="233" t="s">
        <v>1499</v>
      </c>
      <c r="BA38" s="234" t="s">
        <v>1563</v>
      </c>
      <c r="BB38" s="237" t="s">
        <v>1564</v>
      </c>
      <c r="BD38" s="235"/>
    </row>
    <row r="39" ht="12.75" customHeight="1">
      <c r="A39" s="202" t="s">
        <v>198</v>
      </c>
      <c r="B39" s="202" t="s">
        <v>198</v>
      </c>
      <c r="C39" s="202" t="s">
        <v>939</v>
      </c>
      <c r="D39" s="202" t="s">
        <v>940</v>
      </c>
      <c r="E39" s="230">
        <v>2.157E10</v>
      </c>
      <c r="F39" s="230" t="str">
        <f>IF(ISNUMBER(Table1[[#This Row],[2019 Scope 3 ]]),IF(Table1[[#This Row],[Net Earnings/Income (2019)]]-k_cost*Table1[[#This Row],[2019 Total Scope 1, 2 + 3]]&lt;0,"Y","N"),"NA")</f>
        <v>#ERROR!</v>
      </c>
      <c r="G39" s="62" t="str">
        <f>IF(ISNUMBER(Table1[[#This Row],[2019 Scope 3 ]]),IF(k_cost*Table1[[#This Row],[2019 Total Scope 1, 2 + 3]]/Table1[[#This Row],[Size (2019 Revenue)]]&gt;k_rev_max,"Y","N"),"NA")</f>
        <v>#ERROR!</v>
      </c>
      <c r="H39" s="62" t="str">
        <f>IF(OR(Table1[[#This Row],[Net earnings post carbon price @85/t]]="Y",Table1[[#This Row],[Carbon costs in % revenue]] = "Y"),"Y",IF(OR(Table1[[#This Row],[Net earnings post carbon price @85/t]]="NA",Table1[[#This Row],[Carbon costs in % revenue]]="NA"),"NA","N"))</f>
        <v>#ERROR!</v>
      </c>
      <c r="I39" s="230">
        <v>4.98E8</v>
      </c>
      <c r="J39" s="231">
        <v>1802.0</v>
      </c>
      <c r="K39" s="230" t="s">
        <v>1498</v>
      </c>
      <c r="L39" s="1" t="s">
        <v>1498</v>
      </c>
      <c r="M39" s="1" t="s">
        <v>1499</v>
      </c>
      <c r="N39" s="1">
        <v>2050.0</v>
      </c>
      <c r="O39" s="1">
        <v>2018.0</v>
      </c>
      <c r="P39" s="1" t="s">
        <v>1499</v>
      </c>
      <c r="Q39" s="1" t="s">
        <v>1499</v>
      </c>
      <c r="R39" s="1" t="s">
        <v>1499</v>
      </c>
      <c r="S39" s="1" t="s">
        <v>1499</v>
      </c>
      <c r="T39" s="218" t="str">
        <f>IFERROR((Table1[[#This Row],[2019 Total Scope 1, 2 + 3]])/Table1[[#This Row],[2018 Total Scope 1, 2 + Scope 3]]-1,"NA")</f>
        <v>#ERROR!</v>
      </c>
      <c r="V39" s="233">
        <v>3057000.0</v>
      </c>
      <c r="W39" s="233">
        <v>2323000.0</v>
      </c>
      <c r="X39" s="233">
        <v>0.0</v>
      </c>
      <c r="Y39" s="233">
        <f t="shared" si="1"/>
        <v>5380000</v>
      </c>
      <c r="Z39" s="233">
        <f>1207243+23037+72464</f>
        <v>1302744</v>
      </c>
      <c r="AA39" s="233">
        <f t="shared" si="2"/>
        <v>6682744</v>
      </c>
      <c r="AB39" s="233" t="s">
        <v>536</v>
      </c>
      <c r="AC39" s="233" t="s">
        <v>536</v>
      </c>
      <c r="AD39" s="233"/>
      <c r="AE39" s="233" t="str">
        <f t="shared" si="3"/>
        <v/>
      </c>
      <c r="AF39" s="233" t="s">
        <v>536</v>
      </c>
      <c r="AG39" s="233" t="str">
        <f t="shared" si="4"/>
        <v/>
      </c>
      <c r="AH39" s="233" t="s">
        <v>536</v>
      </c>
      <c r="AI39" s="233" t="s">
        <v>536</v>
      </c>
      <c r="AJ39" s="233"/>
      <c r="AK39" s="233" t="str">
        <f t="shared" si="5"/>
        <v/>
      </c>
      <c r="AL39" s="233" t="s">
        <v>536</v>
      </c>
      <c r="AM39" s="233" t="str">
        <f t="shared" si="6"/>
        <v/>
      </c>
      <c r="AN39" s="233" t="s">
        <v>536</v>
      </c>
      <c r="AO39" s="233" t="s">
        <v>536</v>
      </c>
      <c r="AP39" s="233"/>
      <c r="AQ39" s="233" t="str">
        <f t="shared" si="7"/>
        <v/>
      </c>
      <c r="AR39" s="233" t="s">
        <v>536</v>
      </c>
      <c r="AS39" s="233" t="str">
        <f t="shared" si="8"/>
        <v/>
      </c>
      <c r="AT39" s="233" t="s">
        <v>536</v>
      </c>
      <c r="AU39" s="233" t="s">
        <v>536</v>
      </c>
      <c r="AV39" s="233"/>
      <c r="AW39" s="233" t="str">
        <f t="shared" si="9"/>
        <v/>
      </c>
      <c r="AX39" s="233" t="s">
        <v>536</v>
      </c>
      <c r="AY39" s="233" t="str">
        <f t="shared" si="10"/>
        <v/>
      </c>
      <c r="AZ39" s="1" t="s">
        <v>1498</v>
      </c>
      <c r="BA39" s="234" t="s">
        <v>1565</v>
      </c>
      <c r="BD39" s="235"/>
    </row>
    <row r="40" ht="12.75" customHeight="1">
      <c r="A40" s="202" t="s">
        <v>203</v>
      </c>
      <c r="B40" s="202" t="s">
        <v>203</v>
      </c>
      <c r="C40" s="202" t="s">
        <v>1283</v>
      </c>
      <c r="D40" s="202" t="s">
        <v>1503</v>
      </c>
      <c r="E40" s="230">
        <v>2.232E10</v>
      </c>
      <c r="F40" s="230" t="str">
        <f>IF(ISNUMBER(Table1[[#This Row],[2019 Scope 3 ]]),IF(Table1[[#This Row],[Net Earnings/Income (2019)]]-k_cost*Table1[[#This Row],[2019 Total Scope 1, 2 + 3]]&lt;0,"Y","N"),"NA")</f>
        <v>#ERROR!</v>
      </c>
      <c r="G40" s="62" t="str">
        <f>IF(ISNUMBER(Table1[[#This Row],[2019 Scope 3 ]]),IF(k_cost*Table1[[#This Row],[2019 Total Scope 1, 2 + 3]]/Table1[[#This Row],[Size (2019 Revenue)]]&gt;k_rev_max,"Y","N"),"NA")</f>
        <v>#ERROR!</v>
      </c>
      <c r="H40" s="62" t="str">
        <f>IF(OR(Table1[[#This Row],[Net earnings post carbon price @85/t]]="Y",Table1[[#This Row],[Carbon costs in % revenue]] = "Y"),"Y",IF(OR(Table1[[#This Row],[Net earnings post carbon price @85/t]]="NA",Table1[[#This Row],[Carbon costs in % revenue]]="NA"),"NA","N"))</f>
        <v>#ERROR!</v>
      </c>
      <c r="I40" s="230">
        <v>8.318E9</v>
      </c>
      <c r="J40" s="231">
        <v>1876.0</v>
      </c>
      <c r="K40" s="230" t="s">
        <v>1498</v>
      </c>
      <c r="L40" s="1" t="s">
        <v>1499</v>
      </c>
      <c r="M40" s="1" t="s">
        <v>1499</v>
      </c>
      <c r="P40" s="1">
        <v>700000.0</v>
      </c>
      <c r="Q40" s="1" t="s">
        <v>1499</v>
      </c>
      <c r="R40" s="1" t="s">
        <v>1499</v>
      </c>
      <c r="S40" s="1" t="s">
        <v>1499</v>
      </c>
      <c r="T40" s="218" t="str">
        <f>IFERROR((Table1[[#This Row],[2019 Total Scope 1, 2 + 3]])/Table1[[#This Row],[2018 Total Scope 1, 2 + Scope 3]]-1,"NA")</f>
        <v>#ERROR!</v>
      </c>
      <c r="V40" s="233">
        <v>193000.0</v>
      </c>
      <c r="W40" s="233">
        <v>671000.0</v>
      </c>
      <c r="X40" s="233">
        <v>0.0</v>
      </c>
      <c r="Y40" s="233">
        <f t="shared" si="1"/>
        <v>864000</v>
      </c>
      <c r="Z40" s="233">
        <v>240000.0</v>
      </c>
      <c r="AA40" s="233">
        <f t="shared" si="2"/>
        <v>1104000</v>
      </c>
      <c r="AB40" s="233">
        <v>201000.0</v>
      </c>
      <c r="AC40" s="233">
        <v>654000.0</v>
      </c>
      <c r="AD40" s="233">
        <v>0.0</v>
      </c>
      <c r="AE40" s="233">
        <f t="shared" si="3"/>
        <v>855000</v>
      </c>
      <c r="AF40" s="233">
        <v>265000.0</v>
      </c>
      <c r="AG40" s="233">
        <f t="shared" si="4"/>
        <v>1120000</v>
      </c>
      <c r="AH40" s="233">
        <v>228000.0</v>
      </c>
      <c r="AI40" s="233">
        <v>636000.0</v>
      </c>
      <c r="AJ40" s="233">
        <v>0.0</v>
      </c>
      <c r="AK40" s="233">
        <f t="shared" si="5"/>
        <v>864000</v>
      </c>
      <c r="AL40" s="233">
        <v>232000.0</v>
      </c>
      <c r="AM40" s="233">
        <f t="shared" si="6"/>
        <v>1096000</v>
      </c>
      <c r="AN40" s="233">
        <v>216000.0</v>
      </c>
      <c r="AO40" s="233">
        <v>660000.0</v>
      </c>
      <c r="AP40" s="233">
        <v>0.0</v>
      </c>
      <c r="AQ40" s="233">
        <f t="shared" si="7"/>
        <v>876000</v>
      </c>
      <c r="AR40" s="233">
        <v>248000.0</v>
      </c>
      <c r="AS40" s="233">
        <f t="shared" si="8"/>
        <v>1124000</v>
      </c>
      <c r="AT40" s="233">
        <v>214000.0</v>
      </c>
      <c r="AU40" s="233">
        <v>713000.0</v>
      </c>
      <c r="AV40" s="233">
        <v>0.0</v>
      </c>
      <c r="AW40" s="233">
        <f t="shared" si="9"/>
        <v>927000</v>
      </c>
      <c r="AX40" s="233">
        <v>237000.0</v>
      </c>
      <c r="AY40" s="233">
        <f t="shared" si="10"/>
        <v>1164000</v>
      </c>
      <c r="AZ40" s="1" t="s">
        <v>1499</v>
      </c>
      <c r="BA40" s="234" t="s">
        <v>1566</v>
      </c>
      <c r="BD40" s="235"/>
    </row>
    <row r="41" ht="12.75" customHeight="1">
      <c r="A41" s="202" t="s">
        <v>208</v>
      </c>
      <c r="B41" s="202" t="s">
        <v>208</v>
      </c>
      <c r="C41" s="202" t="s">
        <v>1276</v>
      </c>
      <c r="D41" s="202" t="s">
        <v>1539</v>
      </c>
      <c r="E41" s="230">
        <v>1.8372E10</v>
      </c>
      <c r="F41" s="230" t="str">
        <f>IF(ISNUMBER(Table1[[#This Row],[2019 Scope 3 ]]),IF(Table1[[#This Row],[Net Earnings/Income (2019)]]-k_cost*Table1[[#This Row],[2019 Total Scope 1, 2 + 3]]&lt;0,"Y","N"),"NA")</f>
        <v>#ERROR!</v>
      </c>
      <c r="G41" s="62" t="str">
        <f>IF(ISNUMBER(Table1[[#This Row],[2019 Scope 3 ]]),IF(k_cost*Table1[[#This Row],[2019 Total Scope 1, 2 + 3]]/Table1[[#This Row],[Size (2019 Revenue)]]&gt;k_rev_max,"Y","N"),"NA")</f>
        <v>#ERROR!</v>
      </c>
      <c r="H41" s="62" t="str">
        <f>IF(OR(Table1[[#This Row],[Net earnings post carbon price @85/t]]="Y",Table1[[#This Row],[Carbon costs in % revenue]] = "Y"),"Y",IF(OR(Table1[[#This Row],[Net earnings post carbon price @85/t]]="NA",Table1[[#This Row],[Carbon costs in % revenue]]="NA"),"NA","N"))</f>
        <v>#ERROR!</v>
      </c>
      <c r="I41" s="230">
        <v>2.306E9</v>
      </c>
      <c r="J41" s="231">
        <v>1890.0</v>
      </c>
      <c r="K41" s="1" t="s">
        <v>1498</v>
      </c>
      <c r="L41" s="1" t="s">
        <v>1499</v>
      </c>
      <c r="M41" s="1" t="s">
        <v>1499</v>
      </c>
      <c r="P41" s="1" t="s">
        <v>1499</v>
      </c>
      <c r="Q41" s="1" t="s">
        <v>1499</v>
      </c>
      <c r="R41" s="1" t="s">
        <v>1499</v>
      </c>
      <c r="S41" s="1" t="s">
        <v>1499</v>
      </c>
      <c r="T41" s="218" t="str">
        <f>IFERROR((Table1[[#This Row],[2019 Total Scope 1, 2 + 3]])/Table1[[#This Row],[2018 Total Scope 1, 2 + Scope 3]]-1,"NA")</f>
        <v>#ERROR!</v>
      </c>
      <c r="V41" s="233">
        <v>163945.0</v>
      </c>
      <c r="W41" s="233">
        <v>699739.0</v>
      </c>
      <c r="X41" s="233">
        <v>0.0</v>
      </c>
      <c r="Y41" s="233">
        <f t="shared" si="1"/>
        <v>863684</v>
      </c>
      <c r="Z41" s="233" t="s">
        <v>536</v>
      </c>
      <c r="AA41" s="233" t="str">
        <f t="shared" si="2"/>
        <v/>
      </c>
      <c r="AB41" s="233">
        <v>166132.0</v>
      </c>
      <c r="AC41" s="233">
        <v>699423.0</v>
      </c>
      <c r="AD41" s="233">
        <v>0.0</v>
      </c>
      <c r="AE41" s="233">
        <f t="shared" si="3"/>
        <v>865555</v>
      </c>
      <c r="AF41" s="233" t="s">
        <v>536</v>
      </c>
      <c r="AG41" s="233" t="str">
        <f t="shared" si="4"/>
        <v/>
      </c>
      <c r="AH41" s="233" t="s">
        <v>536</v>
      </c>
      <c r="AI41" s="233" t="s">
        <v>536</v>
      </c>
      <c r="AJ41" s="233"/>
      <c r="AK41" s="233" t="str">
        <f t="shared" si="5"/>
        <v/>
      </c>
      <c r="AL41" s="233" t="s">
        <v>536</v>
      </c>
      <c r="AM41" s="233" t="str">
        <f t="shared" si="6"/>
        <v/>
      </c>
      <c r="AN41" s="233" t="s">
        <v>536</v>
      </c>
      <c r="AO41" s="233" t="s">
        <v>536</v>
      </c>
      <c r="AP41" s="233"/>
      <c r="AQ41" s="233" t="str">
        <f t="shared" si="7"/>
        <v/>
      </c>
      <c r="AR41" s="233" t="s">
        <v>536</v>
      </c>
      <c r="AS41" s="233" t="str">
        <f t="shared" si="8"/>
        <v/>
      </c>
      <c r="AT41" s="233" t="s">
        <v>536</v>
      </c>
      <c r="AU41" s="233" t="s">
        <v>536</v>
      </c>
      <c r="AV41" s="233"/>
      <c r="AW41" s="233" t="str">
        <f t="shared" si="9"/>
        <v/>
      </c>
      <c r="AX41" s="233" t="s">
        <v>536</v>
      </c>
      <c r="AY41" s="233" t="str">
        <f t="shared" si="10"/>
        <v/>
      </c>
      <c r="AZ41" s="1" t="s">
        <v>1498</v>
      </c>
      <c r="BA41" s="234" t="s">
        <v>1567</v>
      </c>
      <c r="BD41" s="235"/>
    </row>
    <row r="42" ht="12.75" customHeight="1">
      <c r="A42" s="202" t="s">
        <v>210</v>
      </c>
      <c r="B42" s="202" t="s">
        <v>210</v>
      </c>
      <c r="C42" s="202" t="s">
        <v>1364</v>
      </c>
      <c r="D42" s="1" t="s">
        <v>1364</v>
      </c>
      <c r="E42" s="230">
        <v>3.4438E10</v>
      </c>
      <c r="F42" s="230" t="str">
        <f>IF(ISNUMBER(Table1[[#This Row],[2019 Scope 3 ]]),IF(Table1[[#This Row],[Net Earnings/Income (2019)]]-k_cost*Table1[[#This Row],[2019 Total Scope 1, 2 + 3]]&lt;0,"Y","N"),"NA")</f>
        <v>#ERROR!</v>
      </c>
      <c r="G42" s="62" t="str">
        <f>IF(ISNUMBER(Table1[[#This Row],[2019 Scope 3 ]]),IF(k_cost*Table1[[#This Row],[2019 Total Scope 1, 2 + 3]]/Table1[[#This Row],[Size (2019 Revenue)]]&gt;k_rev_max,"Y","N"),"NA")</f>
        <v>#ERROR!</v>
      </c>
      <c r="H42" s="62" t="str">
        <f>IF(OR(Table1[[#This Row],[Net earnings post carbon price @85/t]]="Y",Table1[[#This Row],[Carbon costs in % revenue]] = "Y"),"Y",IF(OR(Table1[[#This Row],[Net earnings post carbon price @85/t]]="NA",Table1[[#This Row],[Carbon costs in % revenue]]="NA"),"NA","N"))</f>
        <v>#ERROR!</v>
      </c>
      <c r="I42" s="230">
        <v>2.936E9</v>
      </c>
      <c r="J42" s="231">
        <v>2000.0</v>
      </c>
      <c r="K42" s="1" t="s">
        <v>1498</v>
      </c>
      <c r="L42" s="241" t="s">
        <v>1499</v>
      </c>
      <c r="M42" s="202" t="s">
        <v>1499</v>
      </c>
      <c r="O42" s="202"/>
      <c r="P42" s="202" t="s">
        <v>1499</v>
      </c>
      <c r="Q42" s="202" t="s">
        <v>1498</v>
      </c>
      <c r="R42" s="202" t="s">
        <v>1499</v>
      </c>
      <c r="S42" s="202" t="s">
        <v>1499</v>
      </c>
      <c r="T42" s="218" t="str">
        <f>IFERROR((Table1[[#This Row],[2019 Total Scope 1, 2 + 3]])/Table1[[#This Row],[2018 Total Scope 1, 2 + Scope 3]]-1,"NA")</f>
        <v>#ERROR!</v>
      </c>
      <c r="U42" s="202"/>
      <c r="V42" s="233">
        <v>9395000.0</v>
      </c>
      <c r="W42" s="233">
        <v>6103000.0</v>
      </c>
      <c r="X42" s="233">
        <f>W42-4914000</f>
        <v>1189000</v>
      </c>
      <c r="Y42" s="233">
        <f t="shared" si="1"/>
        <v>14309000</v>
      </c>
      <c r="Z42" s="233">
        <v>1.80732E8</v>
      </c>
      <c r="AA42" s="233">
        <f t="shared" si="2"/>
        <v>195041000</v>
      </c>
      <c r="AB42" s="233">
        <v>9526000.0</v>
      </c>
      <c r="AC42" s="233">
        <v>6120000.0</v>
      </c>
      <c r="AD42" s="233">
        <f>AC42-4817000</f>
        <v>1303000</v>
      </c>
      <c r="AE42" s="233">
        <f t="shared" si="3"/>
        <v>14343000</v>
      </c>
      <c r="AF42" s="233">
        <v>1.97376E8</v>
      </c>
      <c r="AG42" s="233">
        <f t="shared" si="4"/>
        <v>211719000</v>
      </c>
      <c r="AH42" s="233">
        <v>1.02E7</v>
      </c>
      <c r="AI42" s="233">
        <v>6521000.0</v>
      </c>
      <c r="AJ42" s="233">
        <f>AI42-5037000</f>
        <v>1484000</v>
      </c>
      <c r="AK42" s="233">
        <f t="shared" si="5"/>
        <v>15237000</v>
      </c>
      <c r="AL42" s="233">
        <v>1.9522E8</v>
      </c>
      <c r="AM42" s="233">
        <f t="shared" si="6"/>
        <v>210457000</v>
      </c>
      <c r="AN42" s="233" t="s">
        <v>536</v>
      </c>
      <c r="AO42" s="233" t="s">
        <v>536</v>
      </c>
      <c r="AP42" s="233"/>
      <c r="AQ42" s="233" t="str">
        <f t="shared" si="7"/>
        <v/>
      </c>
      <c r="AR42" s="233" t="s">
        <v>536</v>
      </c>
      <c r="AS42" s="233" t="str">
        <f t="shared" si="8"/>
        <v/>
      </c>
      <c r="AT42" s="233" t="s">
        <v>536</v>
      </c>
      <c r="AU42" s="233" t="s">
        <v>536</v>
      </c>
      <c r="AV42" s="233"/>
      <c r="AW42" s="233" t="str">
        <f t="shared" si="9"/>
        <v/>
      </c>
      <c r="AX42" s="233" t="s">
        <v>536</v>
      </c>
      <c r="AY42" s="233" t="str">
        <f t="shared" si="10"/>
        <v/>
      </c>
      <c r="AZ42" s="202" t="s">
        <v>1498</v>
      </c>
      <c r="BA42" s="234" t="s">
        <v>1568</v>
      </c>
      <c r="BD42" s="235" t="s">
        <v>1519</v>
      </c>
    </row>
    <row r="43" ht="12.75" customHeight="1">
      <c r="A43" s="202" t="s">
        <v>215</v>
      </c>
      <c r="B43" s="202" t="s">
        <v>215</v>
      </c>
      <c r="C43" s="202" t="s">
        <v>1350</v>
      </c>
      <c r="D43" s="202" t="s">
        <v>1542</v>
      </c>
      <c r="E43" s="230">
        <v>2.64938E11</v>
      </c>
      <c r="F43" s="230" t="str">
        <f>IF(ISNUMBER(Table1[[#This Row],[2019 Scope 3 ]]),IF(Table1[[#This Row],[Net Earnings/Income (2019)]]-k_cost*Table1[[#This Row],[2019 Total Scope 1, 2 + 3]]&lt;0,"Y","N"),"NA")</f>
        <v>#ERROR!</v>
      </c>
      <c r="G43" s="62" t="str">
        <f>IF(ISNUMBER(Table1[[#This Row],[2019 Scope 3 ]]),IF(k_cost*Table1[[#This Row],[2019 Total Scope 1, 2 + 3]]/Table1[[#This Row],[Size (2019 Revenue)]]&gt;k_rev_max,"Y","N"),"NA")</f>
        <v>#ERROR!</v>
      </c>
      <c r="H43" s="62" t="str">
        <f>IF(OR(Table1[[#This Row],[Net earnings post carbon price @85/t]]="Y",Table1[[#This Row],[Carbon costs in % revenue]] = "Y"),"Y",IF(OR(Table1[[#This Row],[Net earnings post carbon price @85/t]]="NA",Table1[[#This Row],[Carbon costs in % revenue]]="NA"),"NA","N"))</f>
        <v>#ERROR!</v>
      </c>
      <c r="I43" s="230">
        <v>1.434E10</v>
      </c>
      <c r="J43" s="231">
        <v>1870.0</v>
      </c>
      <c r="K43" s="1" t="s">
        <v>1498</v>
      </c>
      <c r="L43" s="202" t="s">
        <v>1499</v>
      </c>
      <c r="M43" s="202" t="s">
        <v>1499</v>
      </c>
      <c r="N43" s="202"/>
      <c r="O43" s="202"/>
      <c r="P43" s="202" t="s">
        <v>1499</v>
      </c>
      <c r="Q43" s="202" t="s">
        <v>1499</v>
      </c>
      <c r="R43" s="202" t="s">
        <v>1499</v>
      </c>
      <c r="S43" s="202" t="s">
        <v>1499</v>
      </c>
      <c r="T43" s="218" t="str">
        <f>IFERROR((Table1[[#This Row],[2019 Total Scope 1, 2 + 3]])/Table1[[#This Row],[2018 Total Scope 1, 2 + Scope 3]]-1,"NA")</f>
        <v>#ERROR!</v>
      </c>
      <c r="U43" s="202"/>
      <c r="V43" s="233" t="s">
        <v>536</v>
      </c>
      <c r="W43" s="233" t="s">
        <v>536</v>
      </c>
      <c r="X43" s="233"/>
      <c r="Y43" s="233" t="str">
        <f t="shared" si="1"/>
        <v/>
      </c>
      <c r="Z43" s="233" t="s">
        <v>536</v>
      </c>
      <c r="AA43" s="233" t="str">
        <f t="shared" si="2"/>
        <v/>
      </c>
      <c r="AB43" s="233">
        <v>1.16E8</v>
      </c>
      <c r="AC43" s="233">
        <v>8000000.0</v>
      </c>
      <c r="AD43" s="233">
        <v>0.0</v>
      </c>
      <c r="AE43" s="233">
        <f t="shared" si="3"/>
        <v>124000000</v>
      </c>
      <c r="AF43" s="233" t="s">
        <v>536</v>
      </c>
      <c r="AG43" s="233" t="str">
        <f t="shared" si="4"/>
        <v/>
      </c>
      <c r="AH43" s="233">
        <v>1.15E8</v>
      </c>
      <c r="AI43" s="233">
        <v>8000000.0</v>
      </c>
      <c r="AJ43" s="233">
        <v>0.0</v>
      </c>
      <c r="AK43" s="233">
        <f t="shared" si="5"/>
        <v>123000000</v>
      </c>
      <c r="AL43" s="233" t="s">
        <v>536</v>
      </c>
      <c r="AM43" s="233" t="str">
        <f t="shared" si="6"/>
        <v/>
      </c>
      <c r="AN43" s="233" t="s">
        <v>536</v>
      </c>
      <c r="AO43" s="233" t="s">
        <v>536</v>
      </c>
      <c r="AP43" s="233"/>
      <c r="AQ43" s="233">
        <v>1.25E8</v>
      </c>
      <c r="AR43" s="233" t="s">
        <v>536</v>
      </c>
      <c r="AS43" s="233" t="str">
        <f t="shared" si="8"/>
        <v/>
      </c>
      <c r="AT43" s="233" t="s">
        <v>536</v>
      </c>
      <c r="AU43" s="233" t="s">
        <v>536</v>
      </c>
      <c r="AV43" s="233"/>
      <c r="AW43" s="233">
        <v>1.22E8</v>
      </c>
      <c r="AX43" s="233" t="s">
        <v>536</v>
      </c>
      <c r="AY43" s="233" t="str">
        <f t="shared" si="10"/>
        <v/>
      </c>
      <c r="AZ43" s="202" t="s">
        <v>1498</v>
      </c>
      <c r="BA43" s="234" t="s">
        <v>1569</v>
      </c>
      <c r="BD43" s="235"/>
    </row>
    <row r="44" ht="12.75" customHeight="1">
      <c r="A44" s="202" t="s">
        <v>217</v>
      </c>
      <c r="B44" s="202" t="s">
        <v>218</v>
      </c>
      <c r="C44" s="202" t="s">
        <v>1302</v>
      </c>
      <c r="D44" s="202" t="s">
        <v>1510</v>
      </c>
      <c r="E44" s="230">
        <v>7.0697E10</v>
      </c>
      <c r="F44" s="230" t="str">
        <f>IF(ISNUMBER(Table1[[#This Row],[2019 Scope 3 ]]),IF(Table1[[#This Row],[Net Earnings/Income (2019)]]-k_cost*Table1[[#This Row],[2019 Total Scope 1, 2 + 3]]&lt;0,"Y","N"),"NA")</f>
        <v>#ERROR!</v>
      </c>
      <c r="G44" s="62" t="str">
        <f>IF(ISNUMBER(Table1[[#This Row],[2019 Scope 3 ]]),IF(k_cost*Table1[[#This Row],[2019 Total Scope 1, 2 + 3]]/Table1[[#This Row],[Size (2019 Revenue)]]&gt;k_rev_max,"Y","N"),"NA")</f>
        <v>#ERROR!</v>
      </c>
      <c r="H44" s="62" t="str">
        <f>IF(OR(Table1[[#This Row],[Net earnings post carbon price @85/t]]="Y",Table1[[#This Row],[Carbon costs in % revenue]] = "Y"),"Y",IF(OR(Table1[[#This Row],[Net earnings post carbon price @85/t]]="NA",Table1[[#This Row],[Carbon costs in % revenue]]="NA"),"NA","N"))</f>
        <v>#ERROR!</v>
      </c>
      <c r="I44" s="230">
        <v>1.8485E10</v>
      </c>
      <c r="J44" s="231">
        <v>2012.0</v>
      </c>
      <c r="K44" s="230" t="s">
        <v>1498</v>
      </c>
      <c r="L44" s="202" t="s">
        <v>1498</v>
      </c>
      <c r="M44" s="202" t="s">
        <v>1498</v>
      </c>
      <c r="N44" s="1">
        <v>2030.0</v>
      </c>
      <c r="O44" s="1">
        <v>2020.0</v>
      </c>
      <c r="P44" s="202" t="s">
        <v>1499</v>
      </c>
      <c r="Q44" s="202" t="s">
        <v>1498</v>
      </c>
      <c r="R44" s="1" t="s">
        <v>1498</v>
      </c>
      <c r="S44" s="1">
        <v>2020.0</v>
      </c>
      <c r="T44" s="218" t="str">
        <f>IFERROR((Table1[[#This Row],[2019 Total Scope 1, 2 + 3]])/Table1[[#This Row],[2018 Total Scope 1, 2 + Scope 3]]-1,"NA")</f>
        <v>#ERROR!</v>
      </c>
      <c r="V44" s="233">
        <v>207000.0</v>
      </c>
      <c r="W44" s="233">
        <v>44000.0</v>
      </c>
      <c r="X44" s="233">
        <v>0.0</v>
      </c>
      <c r="Y44" s="233">
        <f t="shared" si="1"/>
        <v>251000</v>
      </c>
      <c r="Z44" s="233" t="s">
        <v>536</v>
      </c>
      <c r="AA44" s="233" t="str">
        <f t="shared" si="2"/>
        <v/>
      </c>
      <c r="AB44" s="233">
        <v>314000.0</v>
      </c>
      <c r="AC44" s="233">
        <v>42000.0</v>
      </c>
      <c r="AD44" s="233">
        <v>0.0</v>
      </c>
      <c r="AE44" s="233">
        <f t="shared" si="3"/>
        <v>356000</v>
      </c>
      <c r="AF44" s="233" t="s">
        <v>536</v>
      </c>
      <c r="AG44" s="233" t="str">
        <f t="shared" si="4"/>
        <v/>
      </c>
      <c r="AH44" s="233">
        <v>568000.0</v>
      </c>
      <c r="AI44" s="233">
        <v>48800.0</v>
      </c>
      <c r="AJ44" s="233">
        <v>0.0</v>
      </c>
      <c r="AK44" s="233">
        <f t="shared" si="5"/>
        <v>616800</v>
      </c>
      <c r="AL44" s="233" t="s">
        <v>536</v>
      </c>
      <c r="AM44" s="233" t="str">
        <f t="shared" si="6"/>
        <v/>
      </c>
      <c r="AN44" s="233">
        <v>516000.0</v>
      </c>
      <c r="AO44" s="233">
        <v>39000.0</v>
      </c>
      <c r="AP44" s="233">
        <v>0.0</v>
      </c>
      <c r="AQ44" s="233">
        <f t="shared" ref="AQ44:AQ70" si="11">IFERROR(AN44+AO44-AP44,"")</f>
        <v>555000</v>
      </c>
      <c r="AR44" s="233" t="s">
        <v>536</v>
      </c>
      <c r="AS44" s="233" t="str">
        <f t="shared" si="8"/>
        <v/>
      </c>
      <c r="AT44" s="233">
        <v>423000.0</v>
      </c>
      <c r="AU44" s="233">
        <v>28000.0</v>
      </c>
      <c r="AV44" s="233">
        <v>0.0</v>
      </c>
      <c r="AW44" s="233">
        <f t="shared" ref="AW44:AW101" si="12">IFERROR(AT44+AU44-AV44,"")</f>
        <v>451000</v>
      </c>
      <c r="AX44" s="233" t="s">
        <v>536</v>
      </c>
      <c r="AY44" s="233" t="str">
        <f t="shared" si="10"/>
        <v/>
      </c>
      <c r="AZ44" s="202" t="s">
        <v>1498</v>
      </c>
      <c r="BA44" s="234" t="s">
        <v>1570</v>
      </c>
      <c r="BD44" s="235"/>
    </row>
    <row r="45" ht="12.75" customHeight="1">
      <c r="A45" s="202" t="s">
        <v>220</v>
      </c>
      <c r="B45" s="202" t="s">
        <v>220</v>
      </c>
      <c r="C45" s="202" t="s">
        <v>1276</v>
      </c>
      <c r="D45" s="202" t="s">
        <v>1571</v>
      </c>
      <c r="E45" s="230">
        <v>6.9693E10</v>
      </c>
      <c r="F45" s="230" t="str">
        <f>IF(ISNUMBER(Table1[[#This Row],[2019 Scope 3 ]]),IF(Table1[[#This Row],[Net Earnings/Income (2019)]]-k_cost*Table1[[#This Row],[2019 Total Scope 1, 2 + 3]]&lt;0,"Y","N"),"NA")</f>
        <v>#ERROR!</v>
      </c>
      <c r="G45" s="62" t="str">
        <f>IF(ISNUMBER(Table1[[#This Row],[2019 Scope 3 ]]),IF(k_cost*Table1[[#This Row],[2019 Total Scope 1, 2 + 3]]/Table1[[#This Row],[Size (2019 Revenue)]]&gt;k_rev_max,"Y","N"),"NA")</f>
        <v>#ERROR!</v>
      </c>
      <c r="H45" s="62" t="str">
        <f>IF(OR(Table1[[#This Row],[Net earnings post carbon price @85/t]]="Y",Table1[[#This Row],[Carbon costs in % revenue]] = "Y"),"Y",IF(OR(Table1[[#This Row],[Net earnings post carbon price @85/t]]="NA",Table1[[#This Row],[Carbon costs in % revenue]]="NA"),"NA","N"))</f>
        <v>#ERROR!</v>
      </c>
      <c r="I45" s="230">
        <v>5.4E8</v>
      </c>
      <c r="J45" s="231">
        <v>1971.0</v>
      </c>
      <c r="K45" s="230" t="s">
        <v>1498</v>
      </c>
      <c r="L45" s="202" t="s">
        <v>1499</v>
      </c>
      <c r="M45" s="202" t="s">
        <v>1499</v>
      </c>
      <c r="P45" s="1" t="s">
        <v>1499</v>
      </c>
      <c r="Q45" s="1" t="s">
        <v>1499</v>
      </c>
      <c r="R45" s="1" t="s">
        <v>1499</v>
      </c>
      <c r="S45" s="1" t="s">
        <v>1499</v>
      </c>
      <c r="T45" s="218" t="str">
        <f>IFERROR((Table1[[#This Row],[2019 Total Scope 1, 2 + 3]])/Table1[[#This Row],[2018 Total Scope 1, 2 + Scope 3]]-1,"NA")</f>
        <v>#ERROR!</v>
      </c>
      <c r="V45" s="233">
        <v>1.5406173E7</v>
      </c>
      <c r="W45" s="233">
        <v>995988.0</v>
      </c>
      <c r="X45" s="233">
        <v>0.0</v>
      </c>
      <c r="Y45" s="233">
        <f t="shared" si="1"/>
        <v>16402161</v>
      </c>
      <c r="Z45" s="233">
        <v>3099293.0</v>
      </c>
      <c r="AA45" s="233">
        <f t="shared" si="2"/>
        <v>19501454</v>
      </c>
      <c r="AB45" s="233">
        <v>1.5152383E7</v>
      </c>
      <c r="AC45" s="233">
        <v>1049987.0</v>
      </c>
      <c r="AD45" s="233">
        <v>0.0</v>
      </c>
      <c r="AE45" s="233">
        <f t="shared" si="3"/>
        <v>16202370</v>
      </c>
      <c r="AF45" s="233">
        <v>2820965.0</v>
      </c>
      <c r="AG45" s="233">
        <f t="shared" si="4"/>
        <v>19023335</v>
      </c>
      <c r="AH45" s="233">
        <v>1.4053599E7</v>
      </c>
      <c r="AI45" s="233">
        <v>1094109.0</v>
      </c>
      <c r="AJ45" s="233">
        <v>0.0</v>
      </c>
      <c r="AK45" s="233">
        <f t="shared" si="5"/>
        <v>15147708</v>
      </c>
      <c r="AL45" s="233">
        <v>2642415.0</v>
      </c>
      <c r="AM45" s="233">
        <f t="shared" si="6"/>
        <v>17790123</v>
      </c>
      <c r="AN45" s="233">
        <v>1.3759865E7</v>
      </c>
      <c r="AO45" s="233">
        <v>958526.0</v>
      </c>
      <c r="AP45" s="233"/>
      <c r="AQ45" s="233">
        <f t="shared" si="11"/>
        <v>14718391</v>
      </c>
      <c r="AR45" s="233">
        <f>2150216+63944+186515</f>
        <v>2400675</v>
      </c>
      <c r="AS45" s="233">
        <f t="shared" si="8"/>
        <v>17119066</v>
      </c>
      <c r="AT45" s="233">
        <v>1.3751187E7</v>
      </c>
      <c r="AU45" s="233">
        <v>970981.0</v>
      </c>
      <c r="AV45" s="233"/>
      <c r="AW45" s="233">
        <f t="shared" si="12"/>
        <v>14722168</v>
      </c>
      <c r="AX45" s="233">
        <f>2023432+50897</f>
        <v>2074329</v>
      </c>
      <c r="AY45" s="233">
        <f t="shared" si="10"/>
        <v>16796497</v>
      </c>
      <c r="AZ45" s="202" t="s">
        <v>1498</v>
      </c>
      <c r="BA45" s="234" t="s">
        <v>1572</v>
      </c>
      <c r="BB45" s="240" t="s">
        <v>1573</v>
      </c>
      <c r="BD45" s="235"/>
    </row>
    <row r="46" ht="12.75" customHeight="1">
      <c r="A46" s="202" t="s">
        <v>225</v>
      </c>
      <c r="B46" s="202" t="s">
        <v>226</v>
      </c>
      <c r="C46" s="202" t="s">
        <v>1376</v>
      </c>
      <c r="D46" s="202" t="s">
        <v>1574</v>
      </c>
      <c r="E46" s="230">
        <v>1.559E11</v>
      </c>
      <c r="F46" s="230" t="str">
        <f>IF(ISNUMBER(Table1[[#This Row],[2019 Scope 3 ]]),IF(Table1[[#This Row],[Net Earnings/Income (2019)]]-k_cost*Table1[[#This Row],[2019 Total Scope 1, 2 + 3]]&lt;0,"Y","N"),"NA")</f>
        <v>#ERROR!</v>
      </c>
      <c r="G46" s="62" t="str">
        <f>IF(ISNUMBER(Table1[[#This Row],[2019 Scope 3 ]]),IF(k_cost*Table1[[#This Row],[2019 Total Scope 1, 2 + 3]]/Table1[[#This Row],[Size (2019 Revenue)]]&gt;k_rev_max,"Y","N"),"NA")</f>
        <v>#ERROR!</v>
      </c>
      <c r="H46" s="62" t="str">
        <f>IF(OR(Table1[[#This Row],[Net earnings post carbon price @85/t]]="Y",Table1[[#This Row],[Carbon costs in % revenue]] = "Y"),"Y",IF(OR(Table1[[#This Row],[Net earnings post carbon price @85/t]]="NA",Table1[[#This Row],[Carbon costs in % revenue]]="NA"),"NA","N"))</f>
        <v>#ERROR!</v>
      </c>
      <c r="I46" s="230">
        <v>4.7E7</v>
      </c>
      <c r="J46" s="231">
        <v>1956.0</v>
      </c>
      <c r="K46" s="230" t="s">
        <v>1498</v>
      </c>
      <c r="L46" s="1" t="s">
        <v>1498</v>
      </c>
      <c r="M46" s="202" t="s">
        <v>1499</v>
      </c>
      <c r="N46" s="1">
        <v>2050.0</v>
      </c>
      <c r="O46" s="1">
        <v>2020.0</v>
      </c>
      <c r="P46" s="1" t="s">
        <v>1499</v>
      </c>
      <c r="Q46" s="1" t="s">
        <v>1499</v>
      </c>
      <c r="R46" s="1" t="s">
        <v>1498</v>
      </c>
      <c r="S46" s="1">
        <v>2035.0</v>
      </c>
      <c r="T46" s="218" t="str">
        <f>IFERROR((Table1[[#This Row],[2019 Total Scope 1, 2 + 3]])/Table1[[#This Row],[2018 Total Scope 1, 2 + Scope 3]]-1,"NA")</f>
        <v>#ERROR!</v>
      </c>
      <c r="V46" s="233">
        <v>1451947.0</v>
      </c>
      <c r="W46" s="233">
        <v>3068182.0</v>
      </c>
      <c r="X46" s="233"/>
      <c r="Y46" s="233">
        <f t="shared" si="1"/>
        <v>4520129</v>
      </c>
      <c r="Z46" s="233">
        <f>39676648+1280384+1066000+2102900+9297+61306+803387+134760000+1360000+1957800</f>
        <v>183077722</v>
      </c>
      <c r="AA46" s="233">
        <f t="shared" si="2"/>
        <v>187597851</v>
      </c>
      <c r="AB46" s="233">
        <v>1442963.0</v>
      </c>
      <c r="AC46" s="233">
        <v>3349808.0</v>
      </c>
      <c r="AD46" s="233">
        <v>0.0</v>
      </c>
      <c r="AE46" s="233">
        <f t="shared" si="3"/>
        <v>4792771</v>
      </c>
      <c r="AF46" s="233">
        <v>1.34409771E8</v>
      </c>
      <c r="AG46" s="233">
        <f t="shared" si="4"/>
        <v>139202542</v>
      </c>
      <c r="AH46" s="233">
        <v>1389740.0</v>
      </c>
      <c r="AI46" s="233">
        <v>3482444.0</v>
      </c>
      <c r="AJ46" s="233">
        <v>0.0</v>
      </c>
      <c r="AK46" s="233">
        <f t="shared" si="5"/>
        <v>4872184</v>
      </c>
      <c r="AL46" s="233" t="s">
        <v>536</v>
      </c>
      <c r="AM46" s="233" t="str">
        <f t="shared" si="6"/>
        <v/>
      </c>
      <c r="AN46" s="233">
        <v>1304409.0</v>
      </c>
      <c r="AO46" s="233">
        <v>3312936.0</v>
      </c>
      <c r="AP46" s="233"/>
      <c r="AQ46" s="233">
        <f t="shared" si="11"/>
        <v>4617345</v>
      </c>
      <c r="AR46" s="233">
        <f>13133594+2413+1502980+22295+57192+651750+665461+131000000</f>
        <v>147035685</v>
      </c>
      <c r="AS46" s="233">
        <f t="shared" si="8"/>
        <v>151653030</v>
      </c>
      <c r="AT46" s="233" t="s">
        <v>536</v>
      </c>
      <c r="AU46" s="233" t="s">
        <v>536</v>
      </c>
      <c r="AV46" s="233"/>
      <c r="AW46" s="233" t="str">
        <f t="shared" si="12"/>
        <v/>
      </c>
      <c r="AX46" s="233" t="s">
        <v>536</v>
      </c>
      <c r="AY46" s="233" t="str">
        <f t="shared" si="10"/>
        <v/>
      </c>
      <c r="AZ46" s="240" t="s">
        <v>1575</v>
      </c>
      <c r="BA46" s="234" t="s">
        <v>1576</v>
      </c>
      <c r="BD46" s="235"/>
    </row>
    <row r="47" ht="12.75" customHeight="1">
      <c r="A47" s="202" t="s">
        <v>231</v>
      </c>
      <c r="B47" s="202" t="s">
        <v>231</v>
      </c>
      <c r="C47" s="202" t="s">
        <v>1276</v>
      </c>
      <c r="D47" s="1" t="s">
        <v>1276</v>
      </c>
      <c r="E47" s="230">
        <v>3.935E10</v>
      </c>
      <c r="F47" s="230" t="str">
        <f>IF(ISNUMBER(Table1[[#This Row],[2019 Scope 3 ]]),IF(Table1[[#This Row],[Net Earnings/Income (2019)]]-k_cost*Table1[[#This Row],[2019 Total Scope 1, 2 + 3]]&lt;0,"Y","N"),"NA")</f>
        <v>#ERROR!</v>
      </c>
      <c r="G47" s="62" t="str">
        <f>IF(ISNUMBER(Table1[[#This Row],[2019 Scope 3 ]]),IF(k_cost*Table1[[#This Row],[2019 Total Scope 1, 2 + 3]]/Table1[[#This Row],[Size (2019 Revenue)]]&gt;k_rev_max,"Y","N"),"NA")</f>
        <v>#ERROR!</v>
      </c>
      <c r="H47" s="62" t="str">
        <f>IF(OR(Table1[[#This Row],[Net earnings post carbon price @85/t]]="Y",Table1[[#This Row],[Carbon costs in % revenue]] = "Y"),"Y",IF(OR(Table1[[#This Row],[Net earnings post carbon price @85/t]]="NA",Table1[[#This Row],[Carbon costs in % revenue]]="NA"),"NA","N"))</f>
        <v>#ERROR!</v>
      </c>
      <c r="I47" s="230">
        <v>3.484E9</v>
      </c>
      <c r="J47" s="231">
        <v>1899.0</v>
      </c>
      <c r="K47" s="230" t="s">
        <v>1498</v>
      </c>
      <c r="L47" s="1" t="s">
        <v>1499</v>
      </c>
      <c r="M47" s="202" t="s">
        <v>1499</v>
      </c>
      <c r="N47" s="202"/>
      <c r="O47" s="202"/>
      <c r="P47" s="202" t="s">
        <v>1499</v>
      </c>
      <c r="Q47" s="202" t="s">
        <v>1499</v>
      </c>
      <c r="R47" s="202" t="s">
        <v>1499</v>
      </c>
      <c r="S47" s="202" t="s">
        <v>1499</v>
      </c>
      <c r="T47" s="218" t="str">
        <f>IFERROR((Table1[[#This Row],[2019 Total Scope 1, 2 + 3]])/Table1[[#This Row],[2018 Total Scope 1, 2 + Scope 3]]-1,"NA")</f>
        <v>#ERROR!</v>
      </c>
      <c r="U47" s="202"/>
      <c r="V47" s="233">
        <v>317081.0</v>
      </c>
      <c r="W47" s="233">
        <v>445119.0</v>
      </c>
      <c r="X47" s="233"/>
      <c r="Y47" s="233">
        <f t="shared" si="1"/>
        <v>762200</v>
      </c>
      <c r="Z47" s="233" t="s">
        <v>536</v>
      </c>
      <c r="AA47" s="233" t="str">
        <f t="shared" si="2"/>
        <v/>
      </c>
      <c r="AB47" s="233">
        <v>306430.0</v>
      </c>
      <c r="AC47" s="233">
        <v>487731.0</v>
      </c>
      <c r="AD47" s="233"/>
      <c r="AE47" s="233">
        <f t="shared" si="3"/>
        <v>794161</v>
      </c>
      <c r="AF47" s="233" t="s">
        <v>536</v>
      </c>
      <c r="AG47" s="233" t="str">
        <f t="shared" si="4"/>
        <v/>
      </c>
      <c r="AH47" s="233">
        <v>305836.0</v>
      </c>
      <c r="AI47" s="233">
        <v>478428.0</v>
      </c>
      <c r="AJ47" s="233"/>
      <c r="AK47" s="233">
        <f t="shared" si="5"/>
        <v>784264</v>
      </c>
      <c r="AL47" s="233" t="s">
        <v>536</v>
      </c>
      <c r="AM47" s="233" t="str">
        <f t="shared" si="6"/>
        <v/>
      </c>
      <c r="AN47" s="233">
        <v>298276.0</v>
      </c>
      <c r="AO47" s="233">
        <v>523497.0</v>
      </c>
      <c r="AP47" s="233"/>
      <c r="AQ47" s="233">
        <f t="shared" si="11"/>
        <v>821773</v>
      </c>
      <c r="AR47" s="233" t="s">
        <v>536</v>
      </c>
      <c r="AS47" s="233" t="str">
        <f t="shared" si="8"/>
        <v/>
      </c>
      <c r="AT47" s="233" t="s">
        <v>536</v>
      </c>
      <c r="AU47" s="233" t="s">
        <v>536</v>
      </c>
      <c r="AV47" s="233"/>
      <c r="AW47" s="233" t="str">
        <f t="shared" si="12"/>
        <v/>
      </c>
      <c r="AX47" s="233" t="s">
        <v>536</v>
      </c>
      <c r="AY47" s="233" t="str">
        <f t="shared" si="10"/>
        <v/>
      </c>
      <c r="AZ47" s="202" t="s">
        <v>1499</v>
      </c>
      <c r="BA47" s="234" t="s">
        <v>1577</v>
      </c>
      <c r="BD47" s="235"/>
    </row>
    <row r="48" ht="12.75" customHeight="1">
      <c r="A48" s="202" t="s">
        <v>236</v>
      </c>
      <c r="B48" s="202" t="s">
        <v>237</v>
      </c>
      <c r="C48" s="202" t="s">
        <v>1276</v>
      </c>
      <c r="D48" s="202" t="s">
        <v>1539</v>
      </c>
      <c r="E48" s="230">
        <v>9.5214E10</v>
      </c>
      <c r="F48" s="230" t="str">
        <f>IF(ISNUMBER(Table1[[#This Row],[2019 Scope 3 ]]),IF(Table1[[#This Row],[Net Earnings/Income (2019)]]-k_cost*Table1[[#This Row],[2019 Total Scope 1, 2 + 3]]&lt;0,"Y","N"),"NA")</f>
        <v>#ERROR!</v>
      </c>
      <c r="G48" s="62" t="str">
        <f>IF(ISNUMBER(Table1[[#This Row],[2019 Scope 3 ]]),IF(k_cost*Table1[[#This Row],[2019 Total Scope 1, 2 + 3]]/Table1[[#This Row],[Size (2019 Revenue)]]&gt;k_rev_max,"Y","N"),"NA")</f>
        <v>#ERROR!</v>
      </c>
      <c r="H48" s="62" t="str">
        <f>IF(OR(Table1[[#This Row],[Net earnings post carbon price @85/t]]="Y",Table1[[#This Row],[Carbon costs in % revenue]] = "Y"),"Y",IF(OR(Table1[[#This Row],[Net earnings post carbon price @85/t]]="NA",Table1[[#This Row],[Carbon costs in % revenue]]="NA"),"NA","N"))</f>
        <v>#ERROR!</v>
      </c>
      <c r="I48" s="236">
        <v>-5.439E9</v>
      </c>
      <c r="J48" s="231">
        <v>1896.0</v>
      </c>
      <c r="K48" s="230" t="s">
        <v>1498</v>
      </c>
      <c r="L48" s="1" t="s">
        <v>1499</v>
      </c>
      <c r="M48" s="202" t="s">
        <v>1499</v>
      </c>
      <c r="N48" s="202">
        <v>2030.0</v>
      </c>
      <c r="O48" s="202">
        <v>2020.0</v>
      </c>
      <c r="P48" s="202" t="s">
        <v>1499</v>
      </c>
      <c r="Q48" s="202" t="s">
        <v>1499</v>
      </c>
      <c r="R48" s="202" t="s">
        <v>1499</v>
      </c>
      <c r="S48" s="202" t="s">
        <v>1499</v>
      </c>
      <c r="T48" s="218" t="str">
        <f>IFERROR((Table1[[#This Row],[2019 Total Scope 1, 2 + 3]])/Table1[[#This Row],[2018 Total Scope 1, 2 + Scope 3]]-1,"NA")</f>
        <v>#ERROR!</v>
      </c>
      <c r="U48" s="202"/>
      <c r="V48" s="233">
        <v>1000000.0</v>
      </c>
      <c r="W48" s="233">
        <v>1390000.0</v>
      </c>
      <c r="X48" s="233"/>
      <c r="Y48" s="233">
        <f t="shared" si="1"/>
        <v>2390000</v>
      </c>
      <c r="Z48" s="233">
        <v>680000.0</v>
      </c>
      <c r="AA48" s="233">
        <f t="shared" si="2"/>
        <v>3070000</v>
      </c>
      <c r="AB48" s="233">
        <v>1290000.0</v>
      </c>
      <c r="AC48" s="233">
        <v>1510000.0</v>
      </c>
      <c r="AD48" s="233">
        <v>0.0</v>
      </c>
      <c r="AE48" s="233">
        <f t="shared" si="3"/>
        <v>2800000</v>
      </c>
      <c r="AF48" s="233">
        <v>2340000.0</v>
      </c>
      <c r="AG48" s="233">
        <f t="shared" si="4"/>
        <v>5140000</v>
      </c>
      <c r="AH48" s="233">
        <v>1670000.0</v>
      </c>
      <c r="AI48" s="233">
        <v>2110000.0</v>
      </c>
      <c r="AJ48" s="233">
        <v>0.0</v>
      </c>
      <c r="AK48" s="233">
        <f t="shared" si="5"/>
        <v>3780000</v>
      </c>
      <c r="AL48" s="233">
        <v>2790000.0</v>
      </c>
      <c r="AM48" s="233">
        <f t="shared" si="6"/>
        <v>6570000</v>
      </c>
      <c r="AN48" s="233">
        <v>1621000.0</v>
      </c>
      <c r="AO48" s="233">
        <v>2207000.0</v>
      </c>
      <c r="AP48" s="233"/>
      <c r="AQ48" s="233">
        <f t="shared" si="11"/>
        <v>3828000</v>
      </c>
      <c r="AR48" s="233">
        <f>8000000</f>
        <v>8000000</v>
      </c>
      <c r="AS48" s="233">
        <f t="shared" si="8"/>
        <v>11828000</v>
      </c>
      <c r="AT48" s="233">
        <v>1961000.0</v>
      </c>
      <c r="AU48" s="233">
        <v>2572000.0</v>
      </c>
      <c r="AV48" s="233"/>
      <c r="AW48" s="233">
        <f t="shared" si="12"/>
        <v>4533000</v>
      </c>
      <c r="AX48" s="233">
        <f>11500000</f>
        <v>11500000</v>
      </c>
      <c r="AY48" s="233">
        <f t="shared" si="10"/>
        <v>16033000</v>
      </c>
      <c r="AZ48" s="202" t="s">
        <v>1498</v>
      </c>
      <c r="BA48" s="234" t="s">
        <v>1578</v>
      </c>
      <c r="BB48" s="202" t="s">
        <v>1579</v>
      </c>
      <c r="BD48" s="235"/>
    </row>
    <row r="49" ht="12.75" customHeight="1">
      <c r="A49" s="202" t="s">
        <v>242</v>
      </c>
      <c r="B49" s="202" t="s">
        <v>243</v>
      </c>
      <c r="C49" s="202" t="s">
        <v>1376</v>
      </c>
      <c r="D49" s="202" t="s">
        <v>1574</v>
      </c>
      <c r="E49" s="230">
        <v>1.37237E11</v>
      </c>
      <c r="F49" s="230" t="str">
        <f>IF(ISNUMBER(Table1[[#This Row],[2019 Scope 3 ]]),IF(Table1[[#This Row],[Net Earnings/Income (2019)]]-k_cost*Table1[[#This Row],[2019 Total Scope 1, 2 + 3]]&lt;0,"Y","N"),"NA")</f>
        <v>#ERROR!</v>
      </c>
      <c r="G49" s="62" t="str">
        <f>IF(ISNUMBER(Table1[[#This Row],[2019 Scope 3 ]]),IF(k_cost*Table1[[#This Row],[2019 Total Scope 1, 2 + 3]]/Table1[[#This Row],[Size (2019 Revenue)]]&gt;k_rev_max,"Y","N"),"NA")</f>
        <v>#ERROR!</v>
      </c>
      <c r="H49" s="62" t="str">
        <f>IF(OR(Table1[[#This Row],[Net earnings post carbon price @85/t]]="Y",Table1[[#This Row],[Carbon costs in % revenue]] = "Y"),"Y",IF(OR(Table1[[#This Row],[Net earnings post carbon price @85/t]]="NA",Table1[[#This Row],[Carbon costs in % revenue]]="NA"),"NA","N"))</f>
        <v>#ERROR!</v>
      </c>
      <c r="I49" s="230">
        <v>6.581E9</v>
      </c>
      <c r="J49" s="231">
        <v>1908.0</v>
      </c>
      <c r="K49" s="230" t="s">
        <v>1498</v>
      </c>
      <c r="L49" s="1" t="s">
        <v>1498</v>
      </c>
      <c r="M49" s="202" t="s">
        <v>1499</v>
      </c>
      <c r="N49" s="1">
        <v>2050.0</v>
      </c>
      <c r="O49" s="1">
        <v>2020.0</v>
      </c>
      <c r="P49" s="202" t="s">
        <v>1499</v>
      </c>
      <c r="Q49" s="202" t="s">
        <v>1499</v>
      </c>
      <c r="R49" s="1" t="s">
        <v>1498</v>
      </c>
      <c r="S49" s="1">
        <v>2040.0</v>
      </c>
      <c r="T49" s="218" t="str">
        <f>IFERROR((Table1[[#This Row],[2019 Total Scope 1, 2 + 3]])/Table1[[#This Row],[2018 Total Scope 1, 2 + Scope 3]]-1,"NA")</f>
        <v>#ERROR!</v>
      </c>
      <c r="V49" s="233">
        <v>1589700.0</v>
      </c>
      <c r="W49" s="233">
        <v>3721875.0</v>
      </c>
      <c r="X49" s="233">
        <v>0.0</v>
      </c>
      <c r="Y49" s="233">
        <f t="shared" si="1"/>
        <v>5311575</v>
      </c>
      <c r="Z49" s="233">
        <v>2.49384317E8</v>
      </c>
      <c r="AA49" s="233">
        <f t="shared" si="2"/>
        <v>254695892</v>
      </c>
      <c r="AB49" s="233">
        <v>1763555.0</v>
      </c>
      <c r="AC49" s="233">
        <v>4322761.0</v>
      </c>
      <c r="AD49" s="233">
        <v>0.0</v>
      </c>
      <c r="AE49" s="233">
        <f t="shared" si="3"/>
        <v>6086316</v>
      </c>
      <c r="AF49" s="233">
        <v>2.64563698E8</v>
      </c>
      <c r="AG49" s="233">
        <f t="shared" si="4"/>
        <v>270650014</v>
      </c>
      <c r="AH49" s="233">
        <v>1848804.0</v>
      </c>
      <c r="AI49" s="233">
        <v>4302887.0</v>
      </c>
      <c r="AJ49" s="233"/>
      <c r="AK49" s="233">
        <f t="shared" si="5"/>
        <v>6151691</v>
      </c>
      <c r="AL49" s="233">
        <v>2.86310319E8</v>
      </c>
      <c r="AM49" s="233">
        <f t="shared" si="6"/>
        <v>292462010</v>
      </c>
      <c r="AN49" s="233">
        <v>1815001.0</v>
      </c>
      <c r="AO49" s="233">
        <v>5095809.0</v>
      </c>
      <c r="AP49" s="233"/>
      <c r="AQ49" s="233">
        <f t="shared" si="11"/>
        <v>6910810</v>
      </c>
      <c r="AR49" s="233">
        <v>3.20911918E8</v>
      </c>
      <c r="AS49" s="233">
        <f t="shared" si="8"/>
        <v>327822728</v>
      </c>
      <c r="AT49" s="233">
        <v>1863495.0</v>
      </c>
      <c r="AU49" s="233">
        <v>4763994.0</v>
      </c>
      <c r="AV49" s="233"/>
      <c r="AW49" s="233">
        <f t="shared" si="12"/>
        <v>6627489</v>
      </c>
      <c r="AX49" s="233" t="s">
        <v>536</v>
      </c>
      <c r="AY49" s="233" t="str">
        <f t="shared" si="10"/>
        <v/>
      </c>
      <c r="AZ49" s="202" t="s">
        <v>1498</v>
      </c>
      <c r="BD49" s="235"/>
    </row>
    <row r="50" ht="12.75" customHeight="1">
      <c r="A50" s="202" t="s">
        <v>248</v>
      </c>
      <c r="B50" s="202" t="s">
        <v>249</v>
      </c>
      <c r="C50" s="202" t="s">
        <v>1283</v>
      </c>
      <c r="D50" s="202" t="s">
        <v>1503</v>
      </c>
      <c r="E50" s="230">
        <v>2.2449E10</v>
      </c>
      <c r="F50" s="230" t="str">
        <f>IF(ISNUMBER(Table1[[#This Row],[2019 Scope 3 ]]),IF(Table1[[#This Row],[Net Earnings/Income (2019)]]-k_cost*Table1[[#This Row],[2019 Total Scope 1, 2 + 3]]&lt;0,"Y","N"),"NA")</f>
        <v>#ERROR!</v>
      </c>
      <c r="G50" s="62" t="str">
        <f>IF(ISNUMBER(Table1[[#This Row],[2019 Scope 3 ]]),IF(k_cost*Table1[[#This Row],[2019 Total Scope 1, 2 + 3]]/Table1[[#This Row],[Size (2019 Revenue)]]&gt;k_rev_max,"Y","N"),"NA")</f>
        <v>#ERROR!</v>
      </c>
      <c r="H50" s="62" t="str">
        <f>IF(OR(Table1[[#This Row],[Net earnings post carbon price @85/t]]="Y",Table1[[#This Row],[Carbon costs in % revenue]] = "Y"),"Y",IF(OR(Table1[[#This Row],[Net earnings post carbon price @85/t]]="NA",Table1[[#This Row],[Carbon costs in % revenue]]="NA"),"NA","N"))</f>
        <v>#ERROR!</v>
      </c>
      <c r="I50" s="230">
        <v>5.386E9</v>
      </c>
      <c r="J50" s="231">
        <v>1992.0</v>
      </c>
      <c r="K50" s="230" t="s">
        <v>1498</v>
      </c>
      <c r="L50" s="1" t="s">
        <v>1499</v>
      </c>
      <c r="M50" s="202" t="s">
        <v>1499</v>
      </c>
      <c r="P50" s="1">
        <v>69620.0</v>
      </c>
      <c r="Q50" s="202" t="s">
        <v>1499</v>
      </c>
      <c r="R50" s="202" t="s">
        <v>1499</v>
      </c>
      <c r="S50" s="202" t="s">
        <v>1499</v>
      </c>
      <c r="T50" s="218" t="str">
        <f>IFERROR((Table1[[#This Row],[2019 Total Scope 1, 2 + 3]])/Table1[[#This Row],[2018 Total Scope 1, 2 + Scope 3]]-1,"NA")</f>
        <v>#ERROR!</v>
      </c>
      <c r="U50" s="202"/>
      <c r="V50" s="233">
        <v>52019.0</v>
      </c>
      <c r="W50" s="233">
        <v>21716.0</v>
      </c>
      <c r="X50" s="233"/>
      <c r="Y50" s="233">
        <f t="shared" si="1"/>
        <v>73735</v>
      </c>
      <c r="Z50" s="233">
        <f>1229479+95700+25250+17003+4810+40399+23656</f>
        <v>1436297</v>
      </c>
      <c r="AA50" s="233">
        <f t="shared" si="2"/>
        <v>1510032</v>
      </c>
      <c r="AB50" s="233">
        <v>47256.0</v>
      </c>
      <c r="AC50" s="233">
        <v>26647.0</v>
      </c>
      <c r="AD50" s="233"/>
      <c r="AE50" s="233">
        <f t="shared" si="3"/>
        <v>73903</v>
      </c>
      <c r="AF50" s="233">
        <f>22519+10881+38186</f>
        <v>71586</v>
      </c>
      <c r="AG50" s="233">
        <f t="shared" si="4"/>
        <v>145489</v>
      </c>
      <c r="AH50" s="233">
        <v>46330.0</v>
      </c>
      <c r="AI50" s="233">
        <v>46217.0</v>
      </c>
      <c r="AJ50" s="233">
        <v>0.0</v>
      </c>
      <c r="AK50" s="233">
        <f t="shared" si="5"/>
        <v>92547</v>
      </c>
      <c r="AL50" s="233">
        <v>33056.0</v>
      </c>
      <c r="AM50" s="233">
        <f t="shared" si="6"/>
        <v>125603</v>
      </c>
      <c r="AN50" s="233">
        <v>44531.0</v>
      </c>
      <c r="AO50" s="233">
        <v>48296.0</v>
      </c>
      <c r="AP50" s="233">
        <v>0.0</v>
      </c>
      <c r="AQ50" s="233">
        <f t="shared" si="11"/>
        <v>92827</v>
      </c>
      <c r="AR50" s="233">
        <v>32003.0</v>
      </c>
      <c r="AS50" s="233">
        <f t="shared" si="8"/>
        <v>124830</v>
      </c>
      <c r="AT50" s="233" t="s">
        <v>536</v>
      </c>
      <c r="AU50" s="233" t="s">
        <v>536</v>
      </c>
      <c r="AV50" s="233"/>
      <c r="AW50" s="233" t="str">
        <f t="shared" si="12"/>
        <v/>
      </c>
      <c r="AX50" s="233" t="s">
        <v>536</v>
      </c>
      <c r="AY50" s="233" t="str">
        <f t="shared" si="10"/>
        <v/>
      </c>
      <c r="AZ50" s="202" t="s">
        <v>1499</v>
      </c>
      <c r="BA50" s="234" t="s">
        <v>1580</v>
      </c>
      <c r="BD50" s="235"/>
    </row>
    <row r="51" ht="12.75" customHeight="1">
      <c r="A51" s="202" t="s">
        <v>254</v>
      </c>
      <c r="B51" s="202" t="s">
        <v>255</v>
      </c>
      <c r="C51" s="202" t="s">
        <v>1298</v>
      </c>
      <c r="D51" s="202" t="s">
        <v>1530</v>
      </c>
      <c r="E51" s="230">
        <v>3.6546E10</v>
      </c>
      <c r="F51" s="230" t="str">
        <f>IF(ISNUMBER(Table1[[#This Row],[2019 Scope 3 ]]),IF(Table1[[#This Row],[Net Earnings/Income (2019)]]-k_cost*Table1[[#This Row],[2019 Total Scope 1, 2 + 3]]&lt;0,"Y","N"),"NA")</f>
        <v>#ERROR!</v>
      </c>
      <c r="G51" s="62" t="str">
        <f>IF(ISNUMBER(Table1[[#This Row],[2019 Scope 3 ]]),IF(k_cost*Table1[[#This Row],[2019 Total Scope 1, 2 + 3]]/Table1[[#This Row],[Size (2019 Revenue)]]&gt;k_rev_max,"Y","N"),"NA")</f>
        <v>#ERROR!</v>
      </c>
      <c r="H51" s="62" t="str">
        <f>IF(OR(Table1[[#This Row],[Net earnings post carbon price @85/t]]="Y",Table1[[#This Row],[Carbon costs in % revenue]] = "Y"),"Y",IF(OR(Table1[[#This Row],[Net earnings post carbon price @85/t]]="NA",Table1[[#This Row],[Carbon costs in % revenue]]="NA"),"NA","N"))</f>
        <v>#ERROR!</v>
      </c>
      <c r="I51" s="230">
        <v>8.47E9</v>
      </c>
      <c r="J51" s="231">
        <v>1999.0</v>
      </c>
      <c r="K51" s="230" t="s">
        <v>1498</v>
      </c>
      <c r="L51" s="1" t="s">
        <v>1498</v>
      </c>
      <c r="M51" s="1" t="s">
        <v>1499</v>
      </c>
      <c r="N51" s="1">
        <v>2015.0</v>
      </c>
      <c r="O51" s="1">
        <v>2009.0</v>
      </c>
      <c r="Q51" s="1" t="s">
        <v>1498</v>
      </c>
      <c r="R51" s="1" t="s">
        <v>1498</v>
      </c>
      <c r="S51" s="1">
        <v>2020.0</v>
      </c>
      <c r="T51" s="218" t="str">
        <f>IFERROR((Table1[[#This Row],[2019 Total Scope 1, 2 + 3]])/Table1[[#This Row],[2018 Total Scope 1, 2 + Scope 3]]-1,"NA")</f>
        <v>#ERROR!</v>
      </c>
      <c r="V51" s="233">
        <v>12673.0</v>
      </c>
      <c r="W51" s="233">
        <v>9109.0</v>
      </c>
      <c r="X51" s="233">
        <v>0.0</v>
      </c>
      <c r="Y51" s="233">
        <f t="shared" si="1"/>
        <v>21782</v>
      </c>
      <c r="Z51" s="233">
        <v>135473.0</v>
      </c>
      <c r="AA51" s="233">
        <f t="shared" si="2"/>
        <v>157255</v>
      </c>
      <c r="AB51" s="233">
        <v>11565.0</v>
      </c>
      <c r="AC51" s="233">
        <v>16284.0</v>
      </c>
      <c r="AD51" s="233"/>
      <c r="AE51" s="233">
        <f t="shared" si="3"/>
        <v>27849</v>
      </c>
      <c r="AF51" s="233">
        <v>139893.0</v>
      </c>
      <c r="AG51" s="233">
        <f t="shared" si="4"/>
        <v>167742</v>
      </c>
      <c r="AH51" s="233">
        <v>11231.0</v>
      </c>
      <c r="AI51" s="233">
        <v>18410.0</v>
      </c>
      <c r="AJ51" s="233"/>
      <c r="AK51" s="233">
        <f t="shared" si="5"/>
        <v>29641</v>
      </c>
      <c r="AL51" s="233">
        <v>120001.0</v>
      </c>
      <c r="AM51" s="233">
        <f t="shared" si="6"/>
        <v>149642</v>
      </c>
      <c r="AN51" s="233">
        <v>11520.0</v>
      </c>
      <c r="AO51" s="233">
        <v>34179.0</v>
      </c>
      <c r="AP51" s="233"/>
      <c r="AQ51" s="233">
        <f t="shared" si="11"/>
        <v>45699</v>
      </c>
      <c r="AR51" s="233">
        <v>102266.0</v>
      </c>
      <c r="AS51" s="233">
        <f t="shared" si="8"/>
        <v>147965</v>
      </c>
      <c r="AT51" s="233">
        <v>11900.0</v>
      </c>
      <c r="AU51" s="233">
        <v>51690.0</v>
      </c>
      <c r="AV51" s="233"/>
      <c r="AW51" s="233">
        <f t="shared" si="12"/>
        <v>63590</v>
      </c>
      <c r="AX51" s="233">
        <v>148918.0</v>
      </c>
      <c r="AY51" s="233">
        <f t="shared" si="10"/>
        <v>212508</v>
      </c>
      <c r="AZ51" s="240" t="s">
        <v>1498</v>
      </c>
      <c r="BA51" s="234" t="s">
        <v>1581</v>
      </c>
      <c r="BB51" s="202" t="s">
        <v>1579</v>
      </c>
      <c r="BC51" s="240" t="s">
        <v>1582</v>
      </c>
      <c r="BD51" s="235"/>
    </row>
    <row r="52" ht="12.75" customHeight="1">
      <c r="A52" s="202" t="s">
        <v>260</v>
      </c>
      <c r="B52" s="202" t="s">
        <v>260</v>
      </c>
      <c r="C52" s="202" t="s">
        <v>1376</v>
      </c>
      <c r="D52" s="202" t="s">
        <v>962</v>
      </c>
      <c r="E52" s="236">
        <v>1.102E11</v>
      </c>
      <c r="F52" s="230" t="str">
        <f>IF(ISNUMBER(Table1[[#This Row],[2019 Scope 3 ]]),IF(Table1[[#This Row],[Net Earnings/Income (2019)]]-k_cost*Table1[[#This Row],[2019 Total Scope 1, 2 + 3]]&lt;0,"Y","N"),"NA")</f>
        <v>#ERROR!</v>
      </c>
      <c r="G52" s="62" t="str">
        <f>IF(ISNUMBER(Table1[[#This Row],[2019 Scope 3 ]]),IF(k_cost*Table1[[#This Row],[2019 Total Scope 1, 2 + 3]]/Table1[[#This Row],[Size (2019 Revenue)]]&gt;k_rev_max,"Y","N"),"NA")</f>
        <v>#ERROR!</v>
      </c>
      <c r="H52" s="62" t="str">
        <f>IF(OR(Table1[[#This Row],[Net earnings post carbon price @85/t]]="Y",Table1[[#This Row],[Carbon costs in % revenue]] = "Y"),"Y",IF(OR(Table1[[#This Row],[Net earnings post carbon price @85/t]]="NA",Table1[[#This Row],[Carbon costs in % revenue]]="NA"),"NA","N"))</f>
        <v>#ERROR!</v>
      </c>
      <c r="I52" s="236">
        <v>1.124E10</v>
      </c>
      <c r="J52" s="231">
        <v>1981.0</v>
      </c>
      <c r="K52" s="1" t="s">
        <v>1498</v>
      </c>
      <c r="L52" s="1" t="s">
        <v>1499</v>
      </c>
      <c r="M52" s="240" t="s">
        <v>1499</v>
      </c>
      <c r="P52" s="240" t="s">
        <v>1583</v>
      </c>
      <c r="Q52" s="1" t="s">
        <v>1499</v>
      </c>
      <c r="R52" s="1" t="s">
        <v>1499</v>
      </c>
      <c r="S52" s="202" t="s">
        <v>1499</v>
      </c>
      <c r="T52" s="218" t="str">
        <f>IFERROR((Table1[[#This Row],[2019 Total Scope 1, 2 + 3]])/Table1[[#This Row],[2018 Total Scope 1, 2 + Scope 3]]-1,"NA")</f>
        <v>#ERROR!</v>
      </c>
      <c r="U52" s="202"/>
      <c r="V52" s="233">
        <v>554317.0</v>
      </c>
      <c r="W52" s="233">
        <v>1302648.0</v>
      </c>
      <c r="X52" s="233"/>
      <c r="Y52" s="233">
        <f t="shared" si="1"/>
        <v>1856965</v>
      </c>
      <c r="Z52" s="233">
        <f>44487507+420000+2665080+564400+156500611</f>
        <v>204637598</v>
      </c>
      <c r="AA52" s="233">
        <f t="shared" si="2"/>
        <v>206494563</v>
      </c>
      <c r="AB52" s="233">
        <v>516246.0</v>
      </c>
      <c r="AC52" s="233">
        <v>1549876.0</v>
      </c>
      <c r="AD52" s="233"/>
      <c r="AE52" s="233">
        <f t="shared" si="3"/>
        <v>2066122</v>
      </c>
      <c r="AF52" s="233">
        <f>54000000+440000+2865590+569500+260000000</f>
        <v>317875090</v>
      </c>
      <c r="AG52" s="233">
        <f t="shared" si="4"/>
        <v>319941212</v>
      </c>
      <c r="AH52" s="233">
        <v>433633.0</v>
      </c>
      <c r="AI52" s="233">
        <v>1681640.0</v>
      </c>
      <c r="AJ52" s="233"/>
      <c r="AK52" s="233">
        <f t="shared" si="5"/>
        <v>2115273</v>
      </c>
      <c r="AL52" s="233">
        <v>3791806.0</v>
      </c>
      <c r="AM52" s="233">
        <f t="shared" si="6"/>
        <v>5907079</v>
      </c>
      <c r="AN52" s="233">
        <v>438335.0</v>
      </c>
      <c r="AO52" s="233">
        <v>1906283.0</v>
      </c>
      <c r="AP52" s="233"/>
      <c r="AQ52" s="233">
        <f t="shared" si="11"/>
        <v>2344618</v>
      </c>
      <c r="AR52" s="233">
        <v>2293060.0</v>
      </c>
      <c r="AS52" s="233">
        <f t="shared" si="8"/>
        <v>4637678</v>
      </c>
      <c r="AT52" s="233">
        <v>388664.0</v>
      </c>
      <c r="AU52" s="233">
        <v>2249712.0</v>
      </c>
      <c r="AV52" s="233"/>
      <c r="AW52" s="233">
        <f t="shared" si="12"/>
        <v>2638376</v>
      </c>
      <c r="AX52" s="233">
        <v>2133972.0</v>
      </c>
      <c r="AY52" s="233">
        <f t="shared" si="10"/>
        <v>4772348</v>
      </c>
      <c r="AZ52" s="1" t="s">
        <v>1499</v>
      </c>
      <c r="BA52" s="234" t="s">
        <v>1584</v>
      </c>
      <c r="BC52" s="240" t="s">
        <v>1585</v>
      </c>
      <c r="BD52" s="235"/>
    </row>
    <row r="53" ht="12.75" customHeight="1">
      <c r="A53" s="202" t="s">
        <v>265</v>
      </c>
      <c r="B53" s="202" t="s">
        <v>266</v>
      </c>
      <c r="C53" s="202" t="s">
        <v>1276</v>
      </c>
      <c r="D53" s="202" t="s">
        <v>1539</v>
      </c>
      <c r="E53" s="236">
        <v>3.6709E10</v>
      </c>
      <c r="F53" s="230" t="str">
        <f>IF(ISNUMBER(Table1[[#This Row],[2019 Scope 3 ]]),IF(Table1[[#This Row],[Net Earnings/Income (2019)]]-k_cost*Table1[[#This Row],[2019 Total Scope 1, 2 + 3]]&lt;0,"Y","N"),"NA")</f>
        <v>#ERROR!</v>
      </c>
      <c r="G53" s="62" t="str">
        <f>IF(ISNUMBER(Table1[[#This Row],[2019 Scope 3 ]]),IF(k_cost*Table1[[#This Row],[2019 Total Scope 1, 2 + 3]]/Table1[[#This Row],[Size (2019 Revenue)]]&gt;k_rev_max,"Y","N"),"NA")</f>
        <v>#ERROR!</v>
      </c>
      <c r="H53" s="62" t="str">
        <f>IF(OR(Table1[[#This Row],[Net earnings post carbon price @85/t]]="Y",Table1[[#This Row],[Carbon costs in % revenue]] = "Y"),"Y",IF(OR(Table1[[#This Row],[Net earnings post carbon price @85/t]]="NA",Table1[[#This Row],[Carbon costs in % revenue]]="NA"),"NA","N"))</f>
        <v>#ERROR!</v>
      </c>
      <c r="I53" s="236">
        <v>6.143E9</v>
      </c>
      <c r="J53" s="231"/>
      <c r="K53" s="1" t="s">
        <v>1498</v>
      </c>
      <c r="L53" s="1" t="s">
        <v>1499</v>
      </c>
      <c r="M53" s="1" t="s">
        <v>1499</v>
      </c>
      <c r="P53" s="240" t="s">
        <v>1586</v>
      </c>
      <c r="Q53" s="1" t="s">
        <v>1499</v>
      </c>
      <c r="R53" s="1" t="s">
        <v>1499</v>
      </c>
      <c r="S53" s="202" t="s">
        <v>1499</v>
      </c>
      <c r="T53" s="218" t="str">
        <f>IFERROR((Table1[[#This Row],[2019 Total Scope 1, 2 + 3]])/Table1[[#This Row],[2018 Total Scope 1, 2 + Scope 3]]-1,"NA")</f>
        <v>#ERROR!</v>
      </c>
      <c r="U53" s="202"/>
      <c r="V53" s="233">
        <v>1090649.0</v>
      </c>
      <c r="W53" s="233">
        <v>933484.0</v>
      </c>
      <c r="X53" s="233"/>
      <c r="Y53" s="233">
        <f t="shared" si="1"/>
        <v>2024133</v>
      </c>
      <c r="Z53" s="233">
        <f>16976983+518408+306478+163207+104444+17530</f>
        <v>18087050</v>
      </c>
      <c r="AA53" s="233">
        <f t="shared" si="2"/>
        <v>20111183</v>
      </c>
      <c r="AB53" s="233">
        <v>1479149.0</v>
      </c>
      <c r="AC53" s="233">
        <v>1036941.0</v>
      </c>
      <c r="AD53" s="233"/>
      <c r="AE53" s="233">
        <f t="shared" si="3"/>
        <v>2516090</v>
      </c>
      <c r="AF53" s="233">
        <f>17689014+504252+336382+173925+147869+12404</f>
        <v>18863846</v>
      </c>
      <c r="AG53" s="233">
        <f t="shared" si="4"/>
        <v>21379936</v>
      </c>
      <c r="AH53" s="233">
        <v>1355420.0</v>
      </c>
      <c r="AI53" s="233">
        <v>1228457.0</v>
      </c>
      <c r="AJ53" s="233"/>
      <c r="AK53" s="233">
        <f t="shared" si="5"/>
        <v>2583877</v>
      </c>
      <c r="AL53" s="233" t="s">
        <v>536</v>
      </c>
      <c r="AM53" s="233" t="str">
        <f t="shared" si="6"/>
        <v/>
      </c>
      <c r="AN53" s="233">
        <v>2699554.0</v>
      </c>
      <c r="AO53" s="233">
        <v>1518875.0</v>
      </c>
      <c r="AP53" s="233"/>
      <c r="AQ53" s="233">
        <f t="shared" si="11"/>
        <v>4218429</v>
      </c>
      <c r="AR53" s="233" t="s">
        <v>536</v>
      </c>
      <c r="AS53" s="233" t="str">
        <f t="shared" si="8"/>
        <v/>
      </c>
      <c r="AT53" s="233">
        <v>3526031.0</v>
      </c>
      <c r="AU53" s="233">
        <v>1736106.0</v>
      </c>
      <c r="AV53" s="233"/>
      <c r="AW53" s="233">
        <f t="shared" si="12"/>
        <v>5262137</v>
      </c>
      <c r="AX53" s="233" t="s">
        <v>536</v>
      </c>
      <c r="AY53" s="233" t="str">
        <f t="shared" si="10"/>
        <v/>
      </c>
      <c r="AZ53" s="1" t="s">
        <v>1499</v>
      </c>
      <c r="BA53" s="240" t="s">
        <v>1587</v>
      </c>
      <c r="BC53" s="240" t="s">
        <v>1588</v>
      </c>
      <c r="BD53" s="235"/>
    </row>
    <row r="54" ht="12.75" customHeight="1">
      <c r="A54" s="202" t="s">
        <v>271</v>
      </c>
      <c r="B54" s="202" t="s">
        <v>272</v>
      </c>
      <c r="C54" s="202" t="s">
        <v>1291</v>
      </c>
      <c r="D54" s="202" t="s">
        <v>1505</v>
      </c>
      <c r="E54" s="236">
        <v>7.714E10</v>
      </c>
      <c r="F54" s="230" t="str">
        <f>IF(ISNUMBER(Table1[[#This Row],[2019 Scope 3 ]]),IF(Table1[[#This Row],[Net Earnings/Income (2019)]]-k_cost*Table1[[#This Row],[2019 Total Scope 1, 2 + 3]]&lt;0,"Y","N"),"NA")</f>
        <v>#ERROR!</v>
      </c>
      <c r="G54" s="62" t="str">
        <f>IF(ISNUMBER(Table1[[#This Row],[2019 Scope 3 ]]),IF(k_cost*Table1[[#This Row],[2019 Total Scope 1, 2 + 3]]/Table1[[#This Row],[Size (2019 Revenue)]]&gt;k_rev_max,"Y","N"),"NA")</f>
        <v>#ERROR!</v>
      </c>
      <c r="H54" s="62" t="str">
        <f>IF(OR(Table1[[#This Row],[Net earnings post carbon price @85/t]]="Y",Table1[[#This Row],[Carbon costs in % revenue]] = "Y"),"Y",IF(OR(Table1[[#This Row],[Net earnings post carbon price @85/t]]="NA",Table1[[#This Row],[Carbon costs in % revenue]]="NA"),"NA","N"))</f>
        <v>#ERROR!</v>
      </c>
      <c r="I54" s="236">
        <v>9.43E9</v>
      </c>
      <c r="J54" s="231">
        <v>1911.0</v>
      </c>
      <c r="K54" s="1" t="s">
        <v>1498</v>
      </c>
      <c r="L54" s="1" t="s">
        <v>1499</v>
      </c>
      <c r="M54" s="1" t="s">
        <v>1499</v>
      </c>
      <c r="P54" s="240" t="s">
        <v>1589</v>
      </c>
      <c r="R54" s="1" t="s">
        <v>1499</v>
      </c>
      <c r="S54" s="1" t="s">
        <v>1590</v>
      </c>
      <c r="T54" s="218" t="str">
        <f>IFERROR((Table1[[#This Row],[2019 Total Scope 1, 2 + 3]])/Table1[[#This Row],[2018 Total Scope 1, 2 + Scope 3]]-1,"NA")</f>
        <v>#ERROR!</v>
      </c>
      <c r="V54" s="233">
        <v>114640.0</v>
      </c>
      <c r="W54" s="233">
        <v>822616.0</v>
      </c>
      <c r="X54" s="233"/>
      <c r="Y54" s="233">
        <f t="shared" si="1"/>
        <v>937256</v>
      </c>
      <c r="Z54" s="233">
        <v>1158416.0</v>
      </c>
      <c r="AA54" s="233">
        <f t="shared" si="2"/>
        <v>2095672</v>
      </c>
      <c r="AB54" s="233">
        <v>124633.0</v>
      </c>
      <c r="AC54" s="233">
        <v>963304.0</v>
      </c>
      <c r="AD54" s="233"/>
      <c r="AE54" s="233">
        <f t="shared" si="3"/>
        <v>1087937</v>
      </c>
      <c r="AF54" s="233">
        <f>329409+39017+458090+122800+397386</f>
        <v>1346702</v>
      </c>
      <c r="AG54" s="233">
        <f t="shared" si="4"/>
        <v>2434639</v>
      </c>
      <c r="AH54" s="233">
        <f>84000+40700</f>
        <v>124700</v>
      </c>
      <c r="AI54" s="233">
        <v>1077000.0</v>
      </c>
      <c r="AJ54" s="233"/>
      <c r="AK54" s="233">
        <f t="shared" si="5"/>
        <v>1201700</v>
      </c>
      <c r="AL54" s="233" t="s">
        <v>536</v>
      </c>
      <c r="AM54" s="233" t="str">
        <f t="shared" si="6"/>
        <v/>
      </c>
      <c r="AN54" s="233">
        <f>91000+42300</f>
        <v>133300</v>
      </c>
      <c r="AO54" s="233">
        <v>1156000.0</v>
      </c>
      <c r="AP54" s="233"/>
      <c r="AQ54" s="233">
        <f t="shared" si="11"/>
        <v>1289300</v>
      </c>
      <c r="AR54" s="233" t="s">
        <v>536</v>
      </c>
      <c r="AS54" s="233" t="str">
        <f t="shared" si="8"/>
        <v/>
      </c>
      <c r="AT54" s="233">
        <v>354046.0</v>
      </c>
      <c r="AU54" s="233">
        <v>1433456.0</v>
      </c>
      <c r="AV54" s="233"/>
      <c r="AW54" s="233">
        <f t="shared" si="12"/>
        <v>1787502</v>
      </c>
      <c r="AX54" s="233" t="s">
        <v>536</v>
      </c>
      <c r="AY54" s="233" t="str">
        <f t="shared" si="10"/>
        <v/>
      </c>
      <c r="AZ54" s="1" t="s">
        <v>1499</v>
      </c>
      <c r="BA54" s="240" t="s">
        <v>1591</v>
      </c>
      <c r="BC54" s="240" t="s">
        <v>1592</v>
      </c>
      <c r="BD54" s="235"/>
    </row>
    <row r="55" ht="12.75" customHeight="1">
      <c r="A55" s="202" t="s">
        <v>277</v>
      </c>
      <c r="B55" s="202" t="s">
        <v>278</v>
      </c>
      <c r="C55" s="202" t="s">
        <v>1291</v>
      </c>
      <c r="D55" s="202" t="s">
        <v>1521</v>
      </c>
      <c r="E55" s="236">
        <v>7.19E10</v>
      </c>
      <c r="F55" s="230" t="str">
        <f>IF(ISNUMBER(Table1[[#This Row],[2019 Scope 3 ]]),IF(Table1[[#This Row],[Net Earnings/Income (2019)]]-k_cost*Table1[[#This Row],[2019 Total Scope 1, 2 + 3]]&lt;0,"Y","N"),"NA")</f>
        <v>#ERROR!</v>
      </c>
      <c r="G55" s="62" t="str">
        <f>IF(ISNUMBER(Table1[[#This Row],[2019 Scope 3 ]]),IF(k_cost*Table1[[#This Row],[2019 Total Scope 1, 2 + 3]]/Table1[[#This Row],[Size (2019 Revenue)]]&gt;k_rev_max,"Y","N"),"NA")</f>
        <v>#ERROR!</v>
      </c>
      <c r="H55" s="62" t="str">
        <f>IF(OR(Table1[[#This Row],[Net earnings post carbon price @85/t]]="Y",Table1[[#This Row],[Carbon costs in % revenue]] = "Y"),"Y",IF(OR(Table1[[#This Row],[Net earnings post carbon price @85/t]]="NA",Table1[[#This Row],[Carbon costs in % revenue]]="NA"),"NA","N"))</f>
        <v>#ERROR!</v>
      </c>
      <c r="I55" s="236">
        <v>2.1E10</v>
      </c>
      <c r="J55" s="231">
        <v>1971.0</v>
      </c>
      <c r="K55" s="1" t="s">
        <v>1498</v>
      </c>
      <c r="L55" s="1" t="s">
        <v>1499</v>
      </c>
      <c r="M55" s="1" t="s">
        <v>1499</v>
      </c>
      <c r="P55" s="240" t="s">
        <v>1593</v>
      </c>
      <c r="Q55" s="1" t="s">
        <v>1499</v>
      </c>
      <c r="R55" s="1" t="s">
        <v>1499</v>
      </c>
      <c r="S55" s="1">
        <v>2030.0</v>
      </c>
      <c r="T55" s="218" t="str">
        <f>IFERROR((Table1[[#This Row],[2019 Total Scope 1, 2 + 3]])/Table1[[#This Row],[2018 Total Scope 1, 2 + Scope 3]]-1,"NA")</f>
        <v>#ERROR!</v>
      </c>
      <c r="V55" s="233">
        <v>1489000.0</v>
      </c>
      <c r="W55" s="233">
        <v>1299000.0</v>
      </c>
      <c r="X55" s="233"/>
      <c r="Y55" s="233">
        <f t="shared" si="1"/>
        <v>2788000</v>
      </c>
      <c r="Z55" s="233">
        <v>2.0342E7</v>
      </c>
      <c r="AA55" s="233">
        <f t="shared" si="2"/>
        <v>23130000</v>
      </c>
      <c r="AB55" s="233">
        <v>1458000.0</v>
      </c>
      <c r="AC55" s="233">
        <v>1120000.0</v>
      </c>
      <c r="AD55" s="233"/>
      <c r="AE55" s="233">
        <f t="shared" si="3"/>
        <v>2578000</v>
      </c>
      <c r="AF55" s="233">
        <v>2.0979E7</v>
      </c>
      <c r="AG55" s="233">
        <f t="shared" si="4"/>
        <v>23557000</v>
      </c>
      <c r="AH55" s="233">
        <v>1490000.0</v>
      </c>
      <c r="AI55" s="233">
        <v>971000.0</v>
      </c>
      <c r="AJ55" s="233"/>
      <c r="AK55" s="233">
        <f t="shared" si="5"/>
        <v>2461000</v>
      </c>
      <c r="AL55" s="233">
        <v>1.232E7</v>
      </c>
      <c r="AM55" s="233">
        <f t="shared" si="6"/>
        <v>14781000</v>
      </c>
      <c r="AN55" s="233">
        <v>976000.0</v>
      </c>
      <c r="AO55" s="233">
        <v>647000.0</v>
      </c>
      <c r="AP55" s="233"/>
      <c r="AQ55" s="233">
        <f t="shared" si="11"/>
        <v>1623000</v>
      </c>
      <c r="AR55" s="233">
        <v>2740000.0</v>
      </c>
      <c r="AS55" s="233">
        <f t="shared" si="8"/>
        <v>4363000</v>
      </c>
      <c r="AT55" s="233">
        <v>1050000.0</v>
      </c>
      <c r="AU55" s="233">
        <v>950000.0</v>
      </c>
      <c r="AV55" s="233"/>
      <c r="AW55" s="233">
        <f t="shared" si="12"/>
        <v>2000000</v>
      </c>
      <c r="AX55" s="233">
        <v>1562000.0</v>
      </c>
      <c r="AY55" s="233">
        <f t="shared" si="10"/>
        <v>3562000</v>
      </c>
      <c r="AZ55" s="240" t="s">
        <v>1498</v>
      </c>
      <c r="BA55" s="240" t="s">
        <v>1594</v>
      </c>
      <c r="BC55" s="240" t="s">
        <v>1595</v>
      </c>
      <c r="BD55" s="235"/>
    </row>
    <row r="56" ht="12.75" customHeight="1">
      <c r="A56" s="202" t="s">
        <v>283</v>
      </c>
      <c r="B56" s="202" t="s">
        <v>284</v>
      </c>
      <c r="C56" s="202" t="s">
        <v>1283</v>
      </c>
      <c r="D56" s="202" t="s">
        <v>1503</v>
      </c>
      <c r="E56" s="230">
        <v>8.206E10</v>
      </c>
      <c r="F56" s="230" t="str">
        <f>IF(ISNUMBER(Table1[[#This Row],[2019 Scope 3 ]]),IF(Table1[[#This Row],[Net Earnings/Income (2019)]]-k_cost*Table1[[#This Row],[2019 Total Scope 1, 2 + 3]]&lt;0,"Y","N"),"NA")</f>
        <v>#ERROR!</v>
      </c>
      <c r="G56" s="62" t="str">
        <f>IF(ISNUMBER(Table1[[#This Row],[2019 Scope 3 ]]),IF(k_cost*Table1[[#This Row],[2019 Total Scope 1, 2 + 3]]/Table1[[#This Row],[Size (2019 Revenue)]]&gt;k_rev_max,"Y","N"),"NA")</f>
        <v>#ERROR!</v>
      </c>
      <c r="H56" s="62" t="str">
        <f>IF(OR(Table1[[#This Row],[Net earnings post carbon price @85/t]]="Y",Table1[[#This Row],[Carbon costs in % revenue]] = "Y"),"Y",IF(OR(Table1[[#This Row],[Net earnings post carbon price @85/t]]="NA",Table1[[#This Row],[Carbon costs in % revenue]]="NA"),"NA","N"))</f>
        <v>#ERROR!</v>
      </c>
      <c r="I56" s="230">
        <v>1.512E10</v>
      </c>
      <c r="J56" s="231">
        <v>1944.0</v>
      </c>
      <c r="K56" s="230" t="s">
        <v>1498</v>
      </c>
      <c r="L56" s="1" t="s">
        <v>1499</v>
      </c>
      <c r="M56" s="1" t="s">
        <v>1499</v>
      </c>
      <c r="P56" s="240" t="s">
        <v>1596</v>
      </c>
      <c r="Q56" s="1" t="s">
        <v>1499</v>
      </c>
      <c r="R56" s="1" t="s">
        <v>1498</v>
      </c>
      <c r="S56" s="1">
        <v>2050.0</v>
      </c>
      <c r="T56" s="218" t="str">
        <f>IFERROR((Table1[[#This Row],[2019 Total Scope 1, 2 + 3]])/Table1[[#This Row],[2018 Total Scope 1, 2 + Scope 3]]-1,"NA")</f>
        <v>#ERROR!</v>
      </c>
      <c r="V56" s="233">
        <v>415094.0</v>
      </c>
      <c r="W56" s="233">
        <v>518542.0</v>
      </c>
      <c r="X56" s="233"/>
      <c r="Y56" s="233">
        <f t="shared" si="1"/>
        <v>933636</v>
      </c>
      <c r="Z56" s="233">
        <v>2.0300054E7</v>
      </c>
      <c r="AA56" s="233">
        <f t="shared" si="2"/>
        <v>21233690</v>
      </c>
      <c r="AB56" s="233">
        <v>452407.0</v>
      </c>
      <c r="AC56" s="233">
        <v>583361.0</v>
      </c>
      <c r="AD56" s="233"/>
      <c r="AE56" s="233">
        <f t="shared" si="3"/>
        <v>1035768</v>
      </c>
      <c r="AF56" s="233">
        <v>1.9612181E7</v>
      </c>
      <c r="AG56" s="233">
        <f t="shared" si="4"/>
        <v>20647949</v>
      </c>
      <c r="AH56" s="233">
        <v>474497.0</v>
      </c>
      <c r="AI56" s="233">
        <v>639323.0</v>
      </c>
      <c r="AJ56" s="233"/>
      <c r="AK56" s="233">
        <f t="shared" si="5"/>
        <v>1113820</v>
      </c>
      <c r="AL56" s="233">
        <v>1.798849E7</v>
      </c>
      <c r="AM56" s="233">
        <f t="shared" si="6"/>
        <v>19102310</v>
      </c>
      <c r="AN56" s="233">
        <v>463622.0</v>
      </c>
      <c r="AO56" s="233">
        <v>694257.0</v>
      </c>
      <c r="AP56" s="233"/>
      <c r="AQ56" s="233">
        <f t="shared" si="11"/>
        <v>1157879</v>
      </c>
      <c r="AR56" s="233">
        <v>284901.0</v>
      </c>
      <c r="AS56" s="233">
        <f t="shared" si="8"/>
        <v>1442780</v>
      </c>
      <c r="AT56" s="233">
        <v>449078.0</v>
      </c>
      <c r="AU56" s="233">
        <v>724819.0</v>
      </c>
      <c r="AV56" s="233"/>
      <c r="AW56" s="233">
        <f t="shared" si="12"/>
        <v>1173897</v>
      </c>
      <c r="AX56" s="233">
        <v>353974.0</v>
      </c>
      <c r="AY56" s="233">
        <f t="shared" si="10"/>
        <v>1527871</v>
      </c>
      <c r="AZ56" s="1" t="s">
        <v>1498</v>
      </c>
      <c r="BA56" s="240" t="s">
        <v>1597</v>
      </c>
      <c r="BB56" s="240" t="s">
        <v>1598</v>
      </c>
      <c r="BC56" s="240" t="s">
        <v>1599</v>
      </c>
      <c r="BD56" s="235"/>
    </row>
    <row r="57" ht="12.75" customHeight="1">
      <c r="A57" s="202" t="s">
        <v>289</v>
      </c>
      <c r="B57" s="202" t="s">
        <v>290</v>
      </c>
      <c r="C57" s="202" t="s">
        <v>1298</v>
      </c>
      <c r="D57" s="202" t="s">
        <v>1312</v>
      </c>
      <c r="E57" s="230">
        <v>1.156E11</v>
      </c>
      <c r="F57" s="230" t="str">
        <f>IF(ISNUMBER(Table1[[#This Row],[2019 Scope 3 ]]),IF(Table1[[#This Row],[Net Earnings/Income (2019)]]-k_cost*Table1[[#This Row],[2019 Total Scope 1, 2 + 3]]&lt;0,"Y","N"),"NA")</f>
        <v>#ERROR!</v>
      </c>
      <c r="G57" s="62" t="str">
        <f>IF(ISNUMBER(Table1[[#This Row],[2019 Scope 3 ]]),IF(k_cost*Table1[[#This Row],[2019 Total Scope 1, 2 + 3]]/Table1[[#This Row],[Size (2019 Revenue)]]&gt;k_rev_max,"Y","N"),"NA")</f>
        <v>#ERROR!</v>
      </c>
      <c r="H57" s="62" t="str">
        <f>IF(OR(Table1[[#This Row],[Net earnings post carbon price @85/t]]="Y",Table1[[#This Row],[Carbon costs in % revenue]] = "Y"),"Y",IF(OR(Table1[[#This Row],[Net earnings post carbon price @85/t]]="NA",Table1[[#This Row],[Carbon costs in % revenue]]="NA"),"NA","N"))</f>
        <v>#ERROR!</v>
      </c>
      <c r="I57" s="230">
        <v>3.643E10</v>
      </c>
      <c r="J57" s="231">
        <v>1940.0</v>
      </c>
      <c r="K57" s="230" t="s">
        <v>1498</v>
      </c>
      <c r="L57" s="1" t="s">
        <v>1499</v>
      </c>
      <c r="M57" s="1" t="s">
        <v>1499</v>
      </c>
      <c r="Q57" s="1" t="s">
        <v>1498</v>
      </c>
      <c r="R57" s="1" t="s">
        <v>1498</v>
      </c>
      <c r="S57" s="1">
        <v>2020.0</v>
      </c>
      <c r="T57" s="218" t="str">
        <f>IFERROR((Table1[[#This Row],[2019 Total Scope 1, 2 + 3]])/Table1[[#This Row],[2018 Total Scope 1, 2 + Scope 3]]-1,"NA")</f>
        <v>#ERROR!</v>
      </c>
      <c r="V57" s="233">
        <v>81655.0</v>
      </c>
      <c r="W57" s="233">
        <v>556142.0</v>
      </c>
      <c r="X57" s="233"/>
      <c r="Y57" s="233">
        <f t="shared" si="1"/>
        <v>637797</v>
      </c>
      <c r="Z57" s="233">
        <v>181004.0</v>
      </c>
      <c r="AA57" s="233">
        <f t="shared" si="2"/>
        <v>818801</v>
      </c>
      <c r="AB57" s="233">
        <v>83101.0</v>
      </c>
      <c r="AC57" s="233">
        <v>572067.0</v>
      </c>
      <c r="AD57" s="233"/>
      <c r="AE57" s="233">
        <f t="shared" si="3"/>
        <v>655168</v>
      </c>
      <c r="AF57" s="233">
        <v>176356.0</v>
      </c>
      <c r="AG57" s="233">
        <f t="shared" si="4"/>
        <v>831524</v>
      </c>
      <c r="AH57" s="233">
        <v>78229.0</v>
      </c>
      <c r="AI57" s="233">
        <v>596843.0</v>
      </c>
      <c r="AJ57" s="233"/>
      <c r="AK57" s="233">
        <f t="shared" si="5"/>
        <v>675072</v>
      </c>
      <c r="AL57" s="233">
        <v>187020.0</v>
      </c>
      <c r="AM57" s="233">
        <f t="shared" si="6"/>
        <v>862092</v>
      </c>
      <c r="AN57" s="233">
        <v>79556.0</v>
      </c>
      <c r="AO57" s="233">
        <v>780710.0</v>
      </c>
      <c r="AP57" s="233"/>
      <c r="AQ57" s="233">
        <f t="shared" si="11"/>
        <v>860266</v>
      </c>
      <c r="AR57" s="233">
        <v>130430.0</v>
      </c>
      <c r="AS57" s="233">
        <f t="shared" si="8"/>
        <v>990696</v>
      </c>
      <c r="AT57" s="233">
        <v>82525.0</v>
      </c>
      <c r="AU57" s="233">
        <v>844403.0</v>
      </c>
      <c r="AV57" s="233"/>
      <c r="AW57" s="233">
        <f t="shared" si="12"/>
        <v>926928</v>
      </c>
      <c r="AX57" s="233">
        <v>138878.0</v>
      </c>
      <c r="AY57" s="233">
        <f t="shared" si="10"/>
        <v>1065806</v>
      </c>
      <c r="AZ57" s="240" t="s">
        <v>1498</v>
      </c>
      <c r="BA57" s="234" t="s">
        <v>1600</v>
      </c>
      <c r="BB57" s="202" t="s">
        <v>1601</v>
      </c>
      <c r="BC57" s="240" t="s">
        <v>1602</v>
      </c>
      <c r="BD57" s="235"/>
    </row>
    <row r="58" ht="12.75" customHeight="1">
      <c r="A58" s="202" t="s">
        <v>295</v>
      </c>
      <c r="B58" s="202" t="s">
        <v>296</v>
      </c>
      <c r="C58" s="202" t="s">
        <v>1350</v>
      </c>
      <c r="D58" s="202" t="s">
        <v>1542</v>
      </c>
      <c r="E58" s="230">
        <v>1.3209E10</v>
      </c>
      <c r="F58" s="230" t="str">
        <f>IF(ISNUMBER(Table1[[#This Row],[2019 Scope 3 ]]),IF(Table1[[#This Row],[Net Earnings/Income (2019)]]-k_cost*Table1[[#This Row],[2019 Total Scope 1, 2 + 3]]&lt;0,"Y","N"),"NA")</f>
        <v>#ERROR!</v>
      </c>
      <c r="G58" s="62" t="str">
        <f>IF(ISNUMBER(Table1[[#This Row],[2019 Scope 3 ]]),IF(k_cost*Table1[[#This Row],[2019 Total Scope 1, 2 + 3]]/Table1[[#This Row],[Size (2019 Revenue)]]&gt;k_rev_max,"Y","N"),"NA")</f>
        <v>#ERROR!</v>
      </c>
      <c r="H58" s="62" t="str">
        <f>IF(OR(Table1[[#This Row],[Net earnings post carbon price @85/t]]="Y",Table1[[#This Row],[Carbon costs in % revenue]] = "Y"),"Y",IF(OR(Table1[[#This Row],[Net earnings post carbon price @85/t]]="NA",Table1[[#This Row],[Carbon costs in % revenue]]="NA"),"NA","N"))</f>
        <v>#ERROR!</v>
      </c>
      <c r="I58" s="230">
        <v>2.19E9</v>
      </c>
      <c r="J58" s="231">
        <v>2011.0</v>
      </c>
      <c r="K58" s="230" t="s">
        <v>1498</v>
      </c>
      <c r="L58" s="1" t="s">
        <v>1499</v>
      </c>
      <c r="M58" s="1" t="s">
        <v>1499</v>
      </c>
      <c r="Q58" s="1" t="s">
        <v>1498</v>
      </c>
      <c r="R58" s="1" t="s">
        <v>1499</v>
      </c>
      <c r="T58" s="218" t="str">
        <f>IFERROR((Table1[[#This Row],[2019 Total Scope 1, 2 + 3]])/Table1[[#This Row],[2018 Total Scope 1, 2 + Scope 3]]-1,"NA")</f>
        <v>#ERROR!</v>
      </c>
      <c r="V58" s="233" t="s">
        <v>536</v>
      </c>
      <c r="W58" s="233" t="s">
        <v>536</v>
      </c>
      <c r="X58" s="233"/>
      <c r="Y58" s="233" t="str">
        <f t="shared" si="1"/>
        <v/>
      </c>
      <c r="Z58" s="233" t="s">
        <v>536</v>
      </c>
      <c r="AA58" s="233" t="str">
        <f t="shared" si="2"/>
        <v/>
      </c>
      <c r="AB58" s="233" t="s">
        <v>536</v>
      </c>
      <c r="AC58" s="233" t="s">
        <v>536</v>
      </c>
      <c r="AD58" s="233"/>
      <c r="AE58" s="233" t="str">
        <f t="shared" si="3"/>
        <v/>
      </c>
      <c r="AF58" s="233" t="s">
        <v>536</v>
      </c>
      <c r="AG58" s="233" t="str">
        <f t="shared" si="4"/>
        <v/>
      </c>
      <c r="AH58" s="233" t="s">
        <v>536</v>
      </c>
      <c r="AI58" s="233" t="s">
        <v>536</v>
      </c>
      <c r="AJ58" s="233"/>
      <c r="AK58" s="233" t="str">
        <f t="shared" si="5"/>
        <v/>
      </c>
      <c r="AL58" s="233" t="s">
        <v>536</v>
      </c>
      <c r="AM58" s="233" t="str">
        <f t="shared" si="6"/>
        <v/>
      </c>
      <c r="AN58" s="233" t="s">
        <v>536</v>
      </c>
      <c r="AO58" s="233" t="s">
        <v>536</v>
      </c>
      <c r="AP58" s="233"/>
      <c r="AQ58" s="233" t="str">
        <f t="shared" si="11"/>
        <v/>
      </c>
      <c r="AR58" s="233" t="s">
        <v>536</v>
      </c>
      <c r="AS58" s="233" t="str">
        <f t="shared" si="8"/>
        <v/>
      </c>
      <c r="AT58" s="233" t="s">
        <v>536</v>
      </c>
      <c r="AU58" s="233" t="s">
        <v>536</v>
      </c>
      <c r="AV58" s="233"/>
      <c r="AW58" s="233" t="str">
        <f t="shared" si="12"/>
        <v/>
      </c>
      <c r="AX58" s="233" t="s">
        <v>536</v>
      </c>
      <c r="AY58" s="233" t="str">
        <f t="shared" si="10"/>
        <v/>
      </c>
      <c r="AZ58" s="239" t="s">
        <v>1499</v>
      </c>
      <c r="BA58" s="240" t="s">
        <v>1603</v>
      </c>
      <c r="BB58" s="240" t="s">
        <v>1604</v>
      </c>
      <c r="BC58" s="240" t="s">
        <v>1605</v>
      </c>
      <c r="BD58" s="235"/>
    </row>
    <row r="59" ht="12.75" customHeight="1">
      <c r="A59" s="202" t="s">
        <v>298</v>
      </c>
      <c r="B59" s="202" t="s">
        <v>299</v>
      </c>
      <c r="C59" s="202" t="s">
        <v>1306</v>
      </c>
      <c r="D59" s="202" t="s">
        <v>1548</v>
      </c>
      <c r="E59" s="230">
        <v>2.497E10</v>
      </c>
      <c r="F59" s="230" t="str">
        <f>IF(ISNUMBER(Table1[[#This Row],[2019 Scope 3 ]]),IF(Table1[[#This Row],[Net Earnings/Income (2019)]]-k_cost*Table1[[#This Row],[2019 Total Scope 1, 2 + 3]]&lt;0,"Y","N"),"NA")</f>
        <v>#ERROR!</v>
      </c>
      <c r="G59" s="62" t="str">
        <f>IF(ISNUMBER(Table1[[#This Row],[2019 Scope 3 ]]),IF(k_cost*Table1[[#This Row],[2019 Total Scope 1, 2 + 3]]/Table1[[#This Row],[Size (2019 Revenue)]]&gt;k_rev_max,"Y","N"),"NA")</f>
        <v>#ERROR!</v>
      </c>
      <c r="H59" s="62" t="str">
        <f>IF(OR(Table1[[#This Row],[Net earnings post carbon price @85/t]]="Y",Table1[[#This Row],[Carbon costs in % revenue]] = "Y"),"Y",IF(OR(Table1[[#This Row],[Net earnings post carbon price @85/t]]="NA",Table1[[#This Row],[Carbon costs in % revenue]]="NA"),"NA","N"))</f>
        <v>#ERROR!</v>
      </c>
      <c r="I59" s="230">
        <v>1.935E9</v>
      </c>
      <c r="J59" s="231">
        <v>2001.0</v>
      </c>
      <c r="K59" s="230" t="s">
        <v>1498</v>
      </c>
      <c r="L59" s="1" t="s">
        <v>1499</v>
      </c>
      <c r="M59" s="1" t="s">
        <v>1498</v>
      </c>
      <c r="R59" s="241" t="s">
        <v>1499</v>
      </c>
      <c r="T59" s="218" t="str">
        <f>IFERROR((Table1[[#This Row],[2019 Total Scope 1, 2 + 3]])/Table1[[#This Row],[2018 Total Scope 1, 2 + Scope 3]]-1,"NA")</f>
        <v>#ERROR!</v>
      </c>
      <c r="V59" s="233">
        <v>649256.0</v>
      </c>
      <c r="W59" s="233">
        <v>773066.0</v>
      </c>
      <c r="X59" s="233"/>
      <c r="Y59" s="233">
        <f t="shared" si="1"/>
        <v>1422322</v>
      </c>
      <c r="Z59" s="233">
        <f>18282750.168+397603.648+717228.775+1366415.404+52106.122+18988.075+105896.625+1307392.304+1029151.785</f>
        <v>23277532.91</v>
      </c>
      <c r="AA59" s="233">
        <f t="shared" si="2"/>
        <v>24699854.91</v>
      </c>
      <c r="AB59" s="233">
        <v>649256.0</v>
      </c>
      <c r="AC59" s="233">
        <v>773066.0</v>
      </c>
      <c r="AD59" s="233"/>
      <c r="AE59" s="233">
        <f t="shared" si="3"/>
        <v>1422322</v>
      </c>
      <c r="AF59" s="233">
        <f>18010670.91+436667.62+685766.14+1444101+50550.66+19031.77+108758.7+1150017.93+1017158.52</f>
        <v>22922723.25</v>
      </c>
      <c r="AG59" s="233">
        <f t="shared" si="4"/>
        <v>24345045.25</v>
      </c>
      <c r="AH59" s="233">
        <v>709692.0</v>
      </c>
      <c r="AI59" s="233">
        <v>765557.0</v>
      </c>
      <c r="AJ59" s="233"/>
      <c r="AK59" s="233">
        <f t="shared" si="5"/>
        <v>1475249</v>
      </c>
      <c r="AL59" s="233">
        <f>16751871.94+739999.79+1352970.13+191539.38+49063.7+18587.51+189896.51+1203705.71+970000+51440.68</f>
        <v>21519075.35</v>
      </c>
      <c r="AM59" s="233">
        <f t="shared" si="6"/>
        <v>22994324.35</v>
      </c>
      <c r="AN59" s="233">
        <v>742200.0</v>
      </c>
      <c r="AO59" s="233">
        <v>800400.0</v>
      </c>
      <c r="AP59" s="233"/>
      <c r="AQ59" s="233">
        <f t="shared" si="11"/>
        <v>1542600</v>
      </c>
      <c r="AR59" s="233">
        <f>21674146+732601+1402638+855051+392623+19182+188691+1236974+63352</f>
        <v>26565258</v>
      </c>
      <c r="AS59" s="233">
        <f t="shared" si="8"/>
        <v>28107858</v>
      </c>
      <c r="AT59" s="233">
        <v>769761.0</v>
      </c>
      <c r="AU59" s="233">
        <v>804156.0</v>
      </c>
      <c r="AV59" s="233"/>
      <c r="AW59" s="233">
        <f t="shared" si="12"/>
        <v>1573917</v>
      </c>
      <c r="AX59" s="233"/>
      <c r="AY59" s="233">
        <f t="shared" si="10"/>
        <v>1573917</v>
      </c>
      <c r="BA59" s="240" t="s">
        <v>1606</v>
      </c>
      <c r="BB59" s="240" t="s">
        <v>1607</v>
      </c>
      <c r="BC59" s="240" t="s">
        <v>1608</v>
      </c>
      <c r="BD59" s="235" t="s">
        <v>1529</v>
      </c>
    </row>
    <row r="60" ht="12.75" customHeight="1">
      <c r="A60" s="202" t="s">
        <v>304</v>
      </c>
      <c r="B60" s="202" t="s">
        <v>305</v>
      </c>
      <c r="C60" s="202" t="s">
        <v>1276</v>
      </c>
      <c r="D60" s="202" t="s">
        <v>1532</v>
      </c>
      <c r="E60" s="236">
        <v>5.981E10</v>
      </c>
      <c r="F60" s="230" t="str">
        <f>IF(ISNUMBER(Table1[[#This Row],[2019 Scope 3 ]]),IF(Table1[[#This Row],[Net Earnings/Income (2019)]]-k_cost*Table1[[#This Row],[2019 Total Scope 1, 2 + 3]]&lt;0,"Y","N"),"NA")</f>
        <v>#ERROR!</v>
      </c>
      <c r="G60" s="62" t="str">
        <f>IF(ISNUMBER(Table1[[#This Row],[2019 Scope 3 ]]),IF(k_cost*Table1[[#This Row],[2019 Total Scope 1, 2 + 3]]/Table1[[#This Row],[Size (2019 Revenue)]]&gt;k_rev_max,"Y","N"),"NA")</f>
        <v>#ERROR!</v>
      </c>
      <c r="H60" s="62" t="str">
        <f>IF(OR(Table1[[#This Row],[Net earnings post carbon price @85/t]]="Y",Table1[[#This Row],[Carbon costs in % revenue]] = "Y"),"Y",IF(OR(Table1[[#This Row],[Net earnings post carbon price @85/t]]="NA",Table1[[#This Row],[Carbon costs in % revenue]]="NA"),"NA","N"))</f>
        <v>#ERROR!</v>
      </c>
      <c r="I60" s="236">
        <v>6.23E9</v>
      </c>
      <c r="J60" s="231" t="s">
        <v>1609</v>
      </c>
      <c r="K60" s="1" t="s">
        <v>1498</v>
      </c>
      <c r="L60" s="1" t="s">
        <v>1499</v>
      </c>
      <c r="M60" s="1" t="s">
        <v>1499</v>
      </c>
      <c r="P60" s="240" t="s">
        <v>1610</v>
      </c>
      <c r="R60" s="1" t="s">
        <v>1499</v>
      </c>
      <c r="T60" s="218" t="str">
        <f>IFERROR((Table1[[#This Row],[2019 Total Scope 1, 2 + 3]])/Table1[[#This Row],[2018 Total Scope 1, 2 + Scope 3]]-1,"NA")</f>
        <v>#ERROR!</v>
      </c>
      <c r="V60" s="233">
        <v>305362.0</v>
      </c>
      <c r="W60" s="233">
        <v>466073.0</v>
      </c>
      <c r="X60" s="233"/>
      <c r="Y60" s="233">
        <f t="shared" si="1"/>
        <v>771435</v>
      </c>
      <c r="Z60" s="233">
        <v>3.05845E7</v>
      </c>
      <c r="AA60" s="233">
        <f t="shared" si="2"/>
        <v>31355935</v>
      </c>
      <c r="AB60" s="233">
        <v>291782.0</v>
      </c>
      <c r="AC60" s="233">
        <v>527766.0</v>
      </c>
      <c r="AD60" s="233"/>
      <c r="AE60" s="233">
        <f t="shared" si="3"/>
        <v>819548</v>
      </c>
      <c r="AF60" s="233">
        <v>3.0551E7</v>
      </c>
      <c r="AG60" s="233">
        <f t="shared" si="4"/>
        <v>31370548</v>
      </c>
      <c r="AH60" s="233">
        <v>291523.0</v>
      </c>
      <c r="AI60" s="233">
        <v>552851.0</v>
      </c>
      <c r="AJ60" s="233"/>
      <c r="AK60" s="233">
        <f t="shared" si="5"/>
        <v>844374</v>
      </c>
      <c r="AL60" s="233">
        <v>3.0605E7</v>
      </c>
      <c r="AM60" s="233">
        <f t="shared" si="6"/>
        <v>31449374</v>
      </c>
      <c r="AN60" s="233">
        <v>302679.0</v>
      </c>
      <c r="AO60" s="233">
        <f>804245-302679</f>
        <v>501566</v>
      </c>
      <c r="AP60" s="233"/>
      <c r="AQ60" s="233">
        <f t="shared" si="11"/>
        <v>804245</v>
      </c>
      <c r="AR60" s="233"/>
      <c r="AS60" s="233">
        <f t="shared" si="8"/>
        <v>804245</v>
      </c>
      <c r="AT60" s="233" t="s">
        <v>1499</v>
      </c>
      <c r="AU60" s="233" t="s">
        <v>1499</v>
      </c>
      <c r="AV60" s="233" t="s">
        <v>1499</v>
      </c>
      <c r="AW60" s="233" t="str">
        <f t="shared" si="12"/>
        <v/>
      </c>
      <c r="AX60" s="233" t="s">
        <v>1499</v>
      </c>
      <c r="AY60" s="233" t="str">
        <f t="shared" si="10"/>
        <v/>
      </c>
      <c r="AZ60" s="1" t="s">
        <v>1499</v>
      </c>
      <c r="BA60" s="234" t="s">
        <v>1611</v>
      </c>
      <c r="BB60" s="240" t="s">
        <v>1612</v>
      </c>
      <c r="BC60" s="240" t="s">
        <v>1613</v>
      </c>
      <c r="BD60" s="235"/>
    </row>
    <row r="61" ht="12.75" customHeight="1">
      <c r="A61" s="202" t="s">
        <v>310</v>
      </c>
      <c r="B61" s="202" t="s">
        <v>311</v>
      </c>
      <c r="C61" s="202" t="s">
        <v>1376</v>
      </c>
      <c r="D61" s="202" t="s">
        <v>962</v>
      </c>
      <c r="E61" s="236">
        <v>7.13E10</v>
      </c>
      <c r="F61" s="230" t="str">
        <f>IF(ISNUMBER(Table1[[#This Row],[2019 Scope 3 ]]),IF(Table1[[#This Row],[Net Earnings/Income (2019)]]-k_cost*Table1[[#This Row],[2019 Total Scope 1, 2 + 3]]&lt;0,"Y","N"),"NA")</f>
        <v>#ERROR!</v>
      </c>
      <c r="G61" s="62" t="str">
        <f>IF(ISNUMBER(Table1[[#This Row],[2019 Scope 3 ]]),IF(k_cost*Table1[[#This Row],[2019 Total Scope 1, 2 + 3]]/Table1[[#This Row],[Size (2019 Revenue)]]&gt;k_rev_max,"Y","N"),"NA")</f>
        <v>#ERROR!</v>
      </c>
      <c r="H61" s="62" t="str">
        <f>IF(OR(Table1[[#This Row],[Net earnings post carbon price @85/t]]="Y",Table1[[#This Row],[Carbon costs in % revenue]] = "Y"),"Y",IF(OR(Table1[[#This Row],[Net earnings post carbon price @85/t]]="NA",Table1[[#This Row],[Carbon costs in % revenue]]="NA"),"NA","N"))</f>
        <v>#ERROR!</v>
      </c>
      <c r="I61" s="236">
        <v>2.307E9</v>
      </c>
      <c r="J61" s="231">
        <v>1961.0</v>
      </c>
      <c r="K61" s="1" t="s">
        <v>1498</v>
      </c>
      <c r="L61" s="1" t="s">
        <v>1499</v>
      </c>
      <c r="M61" s="1" t="s">
        <v>1499</v>
      </c>
      <c r="P61" s="240" t="s">
        <v>1614</v>
      </c>
      <c r="R61" s="1" t="s">
        <v>1499</v>
      </c>
      <c r="T61" s="218" t="str">
        <f>IFERROR((Table1[[#This Row],[2019 Total Scope 1, 2 + 3]])/Table1[[#This Row],[2018 Total Scope 1, 2 + Scope 3]]-1,"NA")</f>
        <v>#ERROR!</v>
      </c>
      <c r="V61" s="233">
        <v>484737.0</v>
      </c>
      <c r="W61" s="233">
        <v>1623768.0</v>
      </c>
      <c r="X61" s="233"/>
      <c r="Y61" s="233">
        <f t="shared" si="1"/>
        <v>2108505</v>
      </c>
      <c r="Z61" s="233">
        <f>426134+10700+123208225.78</f>
        <v>123645059.8</v>
      </c>
      <c r="AA61" s="233">
        <f t="shared" si="2"/>
        <v>125753564.8</v>
      </c>
      <c r="AB61" s="233">
        <v>473689.0</v>
      </c>
      <c r="AC61" s="233">
        <v>1932514.0</v>
      </c>
      <c r="AD61" s="233"/>
      <c r="AE61" s="233">
        <f t="shared" si="3"/>
        <v>2406203</v>
      </c>
      <c r="AF61" s="233">
        <f>463300+342179673</f>
        <v>342642973</v>
      </c>
      <c r="AG61" s="233">
        <f t="shared" si="4"/>
        <v>345049176</v>
      </c>
      <c r="AH61" s="233">
        <v>400000.0</v>
      </c>
      <c r="AI61" s="233">
        <v>2022000.0</v>
      </c>
      <c r="AJ61" s="233"/>
      <c r="AK61" s="233">
        <f t="shared" si="5"/>
        <v>2422000</v>
      </c>
      <c r="AL61" s="233" t="s">
        <v>536</v>
      </c>
      <c r="AM61" s="233" t="str">
        <f t="shared" si="6"/>
        <v/>
      </c>
      <c r="AN61" s="233">
        <v>354000.0</v>
      </c>
      <c r="AO61" s="233">
        <v>2054000.0</v>
      </c>
      <c r="AP61" s="233"/>
      <c r="AQ61" s="233">
        <f t="shared" si="11"/>
        <v>2408000</v>
      </c>
      <c r="AR61" s="233" t="s">
        <v>536</v>
      </c>
      <c r="AS61" s="233" t="str">
        <f t="shared" si="8"/>
        <v/>
      </c>
      <c r="AT61" s="233">
        <v>368000.0</v>
      </c>
      <c r="AU61" s="233">
        <v>2322000.0</v>
      </c>
      <c r="AV61" s="233"/>
      <c r="AW61" s="233">
        <f t="shared" si="12"/>
        <v>2690000</v>
      </c>
      <c r="AX61" s="233" t="s">
        <v>536</v>
      </c>
      <c r="AY61" s="233" t="str">
        <f t="shared" si="10"/>
        <v/>
      </c>
      <c r="BA61" s="240" t="s">
        <v>1615</v>
      </c>
      <c r="BC61" s="240" t="s">
        <v>1616</v>
      </c>
      <c r="BD61" s="235"/>
    </row>
    <row r="62" ht="12.75" customHeight="1">
      <c r="A62" s="202" t="s">
        <v>316</v>
      </c>
      <c r="B62" s="202" t="s">
        <v>317</v>
      </c>
      <c r="C62" s="202" t="s">
        <v>1298</v>
      </c>
      <c r="D62" s="202" t="s">
        <v>1515</v>
      </c>
      <c r="E62" s="230">
        <v>1.6883E10</v>
      </c>
      <c r="F62" s="230" t="str">
        <f>IF(ISNUMBER(Table1[[#This Row],[2019 Scope 3 ]]),IF(Table1[[#This Row],[Net Earnings/Income (2019)]]-k_cost*Table1[[#This Row],[2019 Total Scope 1, 2 + 3]]&lt;0,"Y","N"),"NA")</f>
        <v>#ERROR!</v>
      </c>
      <c r="G62" s="62" t="str">
        <f>IF(ISNUMBER(Table1[[#This Row],[2019 Scope 3 ]]),IF(k_cost*Table1[[#This Row],[2019 Total Scope 1, 2 + 3]]/Table1[[#This Row],[Size (2019 Revenue)]]&gt;k_rev_max,"Y","N"),"NA")</f>
        <v>#ERROR!</v>
      </c>
      <c r="H62" s="62" t="str">
        <f>IF(OR(Table1[[#This Row],[Net earnings post carbon price @85/t]]="Y",Table1[[#This Row],[Carbon costs in % revenue]] = "Y"),"Y",IF(OR(Table1[[#This Row],[Net earnings post carbon price @85/t]]="NA",Table1[[#This Row],[Carbon costs in % revenue]]="NA"),"NA","N"))</f>
        <v>#ERROR!</v>
      </c>
      <c r="I62" s="230">
        <v>8.12E9</v>
      </c>
      <c r="J62" s="231">
        <v>2006.0</v>
      </c>
      <c r="K62" s="230" t="s">
        <v>1498</v>
      </c>
      <c r="L62" s="1" t="s">
        <v>1499</v>
      </c>
      <c r="M62" s="1" t="s">
        <v>1498</v>
      </c>
      <c r="P62" s="240" t="s">
        <v>1617</v>
      </c>
      <c r="R62" s="1" t="s">
        <v>1498</v>
      </c>
      <c r="S62" s="1">
        <v>2020.0</v>
      </c>
      <c r="T62" s="218" t="str">
        <f>IFERROR((Table1[[#This Row],[2019 Total Scope 1, 2 + 3]])/Table1[[#This Row],[2018 Total Scope 1, 2 + Scope 3]]-1,"NA")</f>
        <v>#ERROR!</v>
      </c>
      <c r="V62" s="233">
        <v>4758.4</v>
      </c>
      <c r="W62" s="233">
        <v>162.0</v>
      </c>
      <c r="X62" s="233"/>
      <c r="Y62" s="233">
        <f t="shared" si="1"/>
        <v>4920.4</v>
      </c>
      <c r="Z62" s="233">
        <f>396269.96+8451.87+1288.49+53738+43263.87</f>
        <v>503012.19</v>
      </c>
      <c r="AA62" s="233">
        <f t="shared" si="2"/>
        <v>507932.59</v>
      </c>
      <c r="AB62" s="233">
        <f>57687-AC62</f>
        <v>4828</v>
      </c>
      <c r="AC62" s="233">
        <v>52859.0</v>
      </c>
      <c r="AD62" s="233"/>
      <c r="AE62" s="233">
        <f t="shared" si="3"/>
        <v>57687</v>
      </c>
      <c r="AF62" s="233">
        <v>495962.0</v>
      </c>
      <c r="AG62" s="233">
        <f t="shared" si="4"/>
        <v>553649</v>
      </c>
      <c r="AH62" s="233">
        <f>71504-AI62</f>
        <v>6587</v>
      </c>
      <c r="AI62" s="233">
        <v>64917.0</v>
      </c>
      <c r="AJ62" s="233"/>
      <c r="AK62" s="233">
        <f t="shared" si="5"/>
        <v>71504</v>
      </c>
      <c r="AL62" s="233">
        <v>471614.0</v>
      </c>
      <c r="AM62" s="233">
        <f t="shared" si="6"/>
        <v>543118</v>
      </c>
      <c r="AN62" s="233">
        <f>99214-AO62</f>
        <v>4486</v>
      </c>
      <c r="AO62" s="233">
        <v>94728.0</v>
      </c>
      <c r="AP62" s="233"/>
      <c r="AQ62" s="233">
        <f t="shared" si="11"/>
        <v>99214</v>
      </c>
      <c r="AR62" s="233">
        <v>849277.0</v>
      </c>
      <c r="AS62" s="233">
        <f t="shared" si="8"/>
        <v>948491</v>
      </c>
      <c r="AT62" s="233" t="s">
        <v>536</v>
      </c>
      <c r="AU62" s="233" t="s">
        <v>536</v>
      </c>
      <c r="AV62" s="233"/>
      <c r="AW62" s="233" t="str">
        <f t="shared" si="12"/>
        <v/>
      </c>
      <c r="AX62" s="233" t="s">
        <v>536</v>
      </c>
      <c r="AY62" s="233" t="str">
        <f t="shared" si="10"/>
        <v/>
      </c>
      <c r="BA62" s="240" t="s">
        <v>1618</v>
      </c>
      <c r="BB62" s="240" t="s">
        <v>1619</v>
      </c>
      <c r="BC62" s="240" t="s">
        <v>1620</v>
      </c>
      <c r="BD62" s="235"/>
    </row>
    <row r="63" ht="12.75" customHeight="1">
      <c r="A63" s="202" t="s">
        <v>322</v>
      </c>
      <c r="B63" s="202" t="s">
        <v>323</v>
      </c>
      <c r="C63" s="202" t="s">
        <v>1376</v>
      </c>
      <c r="D63" s="202" t="s">
        <v>1548</v>
      </c>
      <c r="E63" s="236">
        <v>2.1076E10</v>
      </c>
      <c r="F63" s="230" t="str">
        <f>IF(ISNUMBER(Table1[[#This Row],[2019 Scope 3 ]]),IF(Table1[[#This Row],[Net Earnings/Income (2019)]]-k_cost*Table1[[#This Row],[2019 Total Scope 1, 2 + 3]]&lt;0,"Y","N"),"NA")</f>
        <v>#ERROR!</v>
      </c>
      <c r="G63" s="62" t="str">
        <f>IF(ISNUMBER(Table1[[#This Row],[2019 Scope 3 ]]),IF(k_cost*Table1[[#This Row],[2019 Total Scope 1, 2 + 3]]/Table1[[#This Row],[Size (2019 Revenue)]]&gt;k_rev_max,"Y","N"),"NA")</f>
        <v>#ERROR!</v>
      </c>
      <c r="H63" s="62" t="str">
        <f>IF(OR(Table1[[#This Row],[Net earnings post carbon price @85/t]]="Y",Table1[[#This Row],[Carbon costs in % revenue]] = "Y"),"Y",IF(OR(Table1[[#This Row],[Net earnings post carbon price @85/t]]="NA",Table1[[#This Row],[Carbon costs in % revenue]]="NA"),"NA","N"))</f>
        <v>#ERROR!</v>
      </c>
      <c r="I63" s="236">
        <v>6.025E9</v>
      </c>
      <c r="J63" s="231">
        <v>1965.0</v>
      </c>
      <c r="K63" s="1" t="s">
        <v>1498</v>
      </c>
      <c r="L63" s="1" t="s">
        <v>1499</v>
      </c>
      <c r="M63" s="1" t="s">
        <v>1498</v>
      </c>
      <c r="P63" s="240" t="s">
        <v>1621</v>
      </c>
      <c r="R63" s="1" t="s">
        <v>1499</v>
      </c>
      <c r="T63" s="218" t="str">
        <f>IFERROR((Table1[[#This Row],[2019 Total Scope 1, 2 + 3]])/Table1[[#This Row],[2018 Total Scope 1, 2 + Scope 3]]-1,"NA")</f>
        <v>#ERROR!</v>
      </c>
      <c r="V63" s="233">
        <v>107034.65</v>
      </c>
      <c r="W63" s="233">
        <v>492114.18</v>
      </c>
      <c r="X63" s="233"/>
      <c r="Y63" s="233">
        <f t="shared" si="1"/>
        <v>599148.83</v>
      </c>
      <c r="Z63" s="233">
        <f>41115851.55+2358793.15+1947637.85+1535857.79+5997501.76</f>
        <v>52955642.1</v>
      </c>
      <c r="AA63" s="233">
        <f t="shared" si="2"/>
        <v>53554790.93</v>
      </c>
      <c r="AB63" s="233">
        <v>111499.18</v>
      </c>
      <c r="AC63" s="233">
        <v>491052.97</v>
      </c>
      <c r="AD63" s="233"/>
      <c r="AE63" s="233">
        <f t="shared" si="3"/>
        <v>602552.15</v>
      </c>
      <c r="AF63" s="233">
        <f>31745364+1422677+745592+1487635+17507+115459+756660</f>
        <v>36290894</v>
      </c>
      <c r="AG63" s="233">
        <f t="shared" si="4"/>
        <v>36893446.15</v>
      </c>
      <c r="AH63" s="233">
        <f>0.151*1000000</f>
        <v>151000</v>
      </c>
      <c r="AI63" s="233">
        <f>0.764*1000000</f>
        <v>764000</v>
      </c>
      <c r="AJ63" s="233"/>
      <c r="AK63" s="233">
        <f t="shared" si="5"/>
        <v>915000</v>
      </c>
      <c r="AL63" s="233"/>
      <c r="AM63" s="233">
        <f t="shared" si="6"/>
        <v>915000</v>
      </c>
      <c r="AN63" s="233">
        <f>0.182*1000000</f>
        <v>182000</v>
      </c>
      <c r="AO63" s="233">
        <f>1.78*1000000</f>
        <v>1780000</v>
      </c>
      <c r="AP63" s="233"/>
      <c r="AQ63" s="233">
        <f t="shared" si="11"/>
        <v>1962000</v>
      </c>
      <c r="AR63" s="233">
        <f>28983578+850284+6843336</f>
        <v>36677198</v>
      </c>
      <c r="AS63" s="233">
        <f t="shared" si="8"/>
        <v>38639198</v>
      </c>
      <c r="AT63" s="233">
        <f>0.178*1000000</f>
        <v>178000</v>
      </c>
      <c r="AU63" s="233">
        <f>2.03*1000000</f>
        <v>2030000</v>
      </c>
      <c r="AV63" s="233"/>
      <c r="AW63" s="233">
        <f t="shared" si="12"/>
        <v>2208000</v>
      </c>
      <c r="AX63" s="233" t="s">
        <v>536</v>
      </c>
      <c r="AY63" s="233" t="str">
        <f t="shared" si="10"/>
        <v/>
      </c>
      <c r="BA63" s="240" t="s">
        <v>1622</v>
      </c>
      <c r="BB63" s="240" t="s">
        <v>1623</v>
      </c>
      <c r="BC63" s="240" t="s">
        <v>1624</v>
      </c>
      <c r="BD63" s="235"/>
    </row>
    <row r="64" ht="12.75" customHeight="1">
      <c r="A64" s="202" t="s">
        <v>328</v>
      </c>
      <c r="B64" s="202" t="s">
        <v>328</v>
      </c>
      <c r="C64" s="202" t="s">
        <v>1283</v>
      </c>
      <c r="D64" s="202" t="s">
        <v>1501</v>
      </c>
      <c r="E64" s="236">
        <v>3.0557E10</v>
      </c>
      <c r="F64" s="230" t="str">
        <f>IF(ISNUMBER(Table1[[#This Row],[2019 Scope 3 ]]),IF(Table1[[#This Row],[Net Earnings/Income (2019)]]-k_cost*Table1[[#This Row],[2019 Total Scope 1, 2 + 3]]&lt;0,"Y","N"),"NA")</f>
        <v>#ERROR!</v>
      </c>
      <c r="G64" s="62" t="str">
        <f>IF(ISNUMBER(Table1[[#This Row],[2019 Scope 3 ]]),IF(k_cost*Table1[[#This Row],[2019 Total Scope 1, 2 + 3]]/Table1[[#This Row],[Size (2019 Revenue)]]&gt;k_rev_max,"Y","N"),"NA")</f>
        <v>#ERROR!</v>
      </c>
      <c r="H64" s="62" t="str">
        <f>IF(OR(Table1[[#This Row],[Net earnings post carbon price @85/t]]="Y",Table1[[#This Row],[Carbon costs in % revenue]] = "Y"),"Y",IF(OR(Table1[[#This Row],[Net earnings post carbon price @85/t]]="NA",Table1[[#This Row],[Carbon costs in % revenue]]="NA"),"NA","N"))</f>
        <v>#ERROR!</v>
      </c>
      <c r="I64" s="236">
        <v>4.631E9</v>
      </c>
      <c r="J64" s="231">
        <v>1982.0</v>
      </c>
      <c r="K64" s="1" t="s">
        <v>1498</v>
      </c>
      <c r="L64" s="1" t="s">
        <v>1499</v>
      </c>
      <c r="M64" s="1" t="s">
        <v>1499</v>
      </c>
      <c r="P64" s="240" t="s">
        <v>1625</v>
      </c>
      <c r="R64" s="1" t="s">
        <v>1499</v>
      </c>
      <c r="T64" s="218" t="str">
        <f>IFERROR((Table1[[#This Row],[2019 Total Scope 1, 2 + 3]])/Table1[[#This Row],[2018 Total Scope 1, 2 + Scope 3]]-1,"NA")</f>
        <v>#ERROR!</v>
      </c>
      <c r="V64" s="233">
        <v>62931.0</v>
      </c>
      <c r="W64" s="233">
        <v>225841.0</v>
      </c>
      <c r="X64" s="233"/>
      <c r="Y64" s="233">
        <f t="shared" si="1"/>
        <v>288772</v>
      </c>
      <c r="Z64" s="233">
        <f>235863+42619</f>
        <v>278482</v>
      </c>
      <c r="AA64" s="233">
        <f t="shared" si="2"/>
        <v>567254</v>
      </c>
      <c r="AB64" s="233">
        <v>65312.0</v>
      </c>
      <c r="AC64" s="233">
        <v>233364.0</v>
      </c>
      <c r="AD64" s="233"/>
      <c r="AE64" s="233">
        <f t="shared" si="3"/>
        <v>298676</v>
      </c>
      <c r="AF64" s="233">
        <f>203421+35371</f>
        <v>238792</v>
      </c>
      <c r="AG64" s="233">
        <f t="shared" si="4"/>
        <v>537468</v>
      </c>
      <c r="AH64" s="233">
        <v>74992.0</v>
      </c>
      <c r="AI64" s="233">
        <v>269008.0</v>
      </c>
      <c r="AJ64" s="233"/>
      <c r="AK64" s="233">
        <f t="shared" si="5"/>
        <v>344000</v>
      </c>
      <c r="AL64" s="233"/>
      <c r="AM64" s="233">
        <f t="shared" si="6"/>
        <v>344000</v>
      </c>
      <c r="AN64" s="233" t="s">
        <v>1499</v>
      </c>
      <c r="AO64" s="233" t="s">
        <v>1499</v>
      </c>
      <c r="AP64" s="233" t="s">
        <v>1499</v>
      </c>
      <c r="AQ64" s="233" t="str">
        <f t="shared" si="11"/>
        <v/>
      </c>
      <c r="AR64" s="233" t="s">
        <v>1499</v>
      </c>
      <c r="AS64" s="233" t="str">
        <f t="shared" si="8"/>
        <v/>
      </c>
      <c r="AT64" s="233" t="s">
        <v>1499</v>
      </c>
      <c r="AU64" s="233" t="s">
        <v>1499</v>
      </c>
      <c r="AV64" s="233" t="s">
        <v>1499</v>
      </c>
      <c r="AW64" s="233" t="str">
        <f t="shared" si="12"/>
        <v/>
      </c>
      <c r="AX64" s="233" t="s">
        <v>1499</v>
      </c>
      <c r="AY64" s="233" t="str">
        <f t="shared" si="10"/>
        <v/>
      </c>
      <c r="BA64" s="240" t="s">
        <v>1626</v>
      </c>
      <c r="BB64" s="202" t="s">
        <v>1601</v>
      </c>
      <c r="BC64" s="240" t="s">
        <v>1627</v>
      </c>
      <c r="BD64" s="235"/>
    </row>
    <row r="65" ht="12.75" customHeight="1">
      <c r="A65" s="202" t="s">
        <v>333</v>
      </c>
      <c r="B65" s="202" t="s">
        <v>334</v>
      </c>
      <c r="C65" s="202" t="s">
        <v>1283</v>
      </c>
      <c r="D65" s="202" t="s">
        <v>1503</v>
      </c>
      <c r="E65" s="230">
        <v>4.229E10</v>
      </c>
      <c r="F65" s="230" t="str">
        <f>IF(ISNUMBER(Table1[[#This Row],[2019 Scope 3 ]]),IF(Table1[[#This Row],[Net Earnings/Income (2019)]]-k_cost*Table1[[#This Row],[2019 Total Scope 1, 2 + 3]]&lt;0,"Y","N"),"NA")</f>
        <v>#ERROR!</v>
      </c>
      <c r="G65" s="62" t="str">
        <f>IF(ISNUMBER(Table1[[#This Row],[2019 Scope 3 ]]),IF(k_cost*Table1[[#This Row],[2019 Total Scope 1, 2 + 3]]/Table1[[#This Row],[Size (2019 Revenue)]]&gt;k_rev_max,"Y","N"),"NA")</f>
        <v>#ERROR!</v>
      </c>
      <c r="H65" s="62" t="str">
        <f>IF(OR(Table1[[#This Row],[Net earnings post carbon price @85/t]]="Y",Table1[[#This Row],[Carbon costs in % revenue]] = "Y"),"Y",IF(OR(Table1[[#This Row],[Net earnings post carbon price @85/t]]="NA",Table1[[#This Row],[Carbon costs in % revenue]]="NA"),"NA","N"))</f>
        <v>#ERROR!</v>
      </c>
      <c r="I65" s="230">
        <v>6.22E9</v>
      </c>
      <c r="J65" s="231"/>
      <c r="K65" s="230" t="s">
        <v>1498</v>
      </c>
      <c r="L65" s="1" t="s">
        <v>1499</v>
      </c>
      <c r="M65" s="1" t="s">
        <v>1499</v>
      </c>
      <c r="P65" s="240" t="s">
        <v>1628</v>
      </c>
      <c r="R65" s="1" t="s">
        <v>1499</v>
      </c>
      <c r="S65" s="240" t="s">
        <v>1629</v>
      </c>
      <c r="T65" s="244" t="str">
        <f>IFERROR((Table1[[#This Row],[2019 Total Scope 1, 2 + 3]])/Table1[[#This Row],[2018 Total Scope 1, 2 + Scope 3]]-1,"NA")</f>
        <v>#ERROR!</v>
      </c>
      <c r="U65" s="240"/>
      <c r="V65" s="233">
        <v>755340.0</v>
      </c>
      <c r="W65" s="233">
        <v>316630.0</v>
      </c>
      <c r="X65" s="233"/>
      <c r="Y65" s="233">
        <f t="shared" si="1"/>
        <v>1071970</v>
      </c>
      <c r="Z65" s="233">
        <f>5155100+339900+240700+271200+19500+340400+272000+133200+142100+51500</f>
        <v>6965600</v>
      </c>
      <c r="AA65" s="233">
        <f t="shared" si="2"/>
        <v>8037570</v>
      </c>
      <c r="AB65" s="233">
        <v>783500.0</v>
      </c>
      <c r="AC65" s="233">
        <v>389700.0</v>
      </c>
      <c r="AD65" s="233"/>
      <c r="AE65" s="233">
        <f t="shared" si="3"/>
        <v>1173200</v>
      </c>
      <c r="AF65" s="233">
        <v>6231700.0</v>
      </c>
      <c r="AG65" s="233">
        <f t="shared" si="4"/>
        <v>7404900</v>
      </c>
      <c r="AH65" s="233">
        <v>801600.0</v>
      </c>
      <c r="AI65" s="233">
        <v>462500.0</v>
      </c>
      <c r="AJ65" s="233"/>
      <c r="AK65" s="233">
        <f t="shared" si="5"/>
        <v>1264100</v>
      </c>
      <c r="AL65" s="233">
        <f>4997600+192900+262100+267100+16000+218200+262200+121900+205800+42200</f>
        <v>6586000</v>
      </c>
      <c r="AM65" s="233">
        <f t="shared" si="6"/>
        <v>7850100</v>
      </c>
      <c r="AN65" s="233">
        <v>847400.0</v>
      </c>
      <c r="AO65" s="233">
        <v>562200.0</v>
      </c>
      <c r="AP65" s="233"/>
      <c r="AQ65" s="233">
        <f t="shared" si="11"/>
        <v>1409600</v>
      </c>
      <c r="AR65" s="233">
        <f>6204000+224000+304500+255500+16800+265400+301500+118000+248400+37000</f>
        <v>7975100</v>
      </c>
      <c r="AS65" s="233">
        <f t="shared" si="8"/>
        <v>9384700</v>
      </c>
      <c r="AT65" s="233">
        <v>865100.0</v>
      </c>
      <c r="AU65" s="233">
        <v>635900.0</v>
      </c>
      <c r="AV65" s="233"/>
      <c r="AW65" s="233">
        <f t="shared" si="12"/>
        <v>1501000</v>
      </c>
      <c r="AX65" s="233" t="s">
        <v>536</v>
      </c>
      <c r="AY65" s="233" t="str">
        <f t="shared" si="10"/>
        <v/>
      </c>
      <c r="BA65" s="240" t="s">
        <v>1630</v>
      </c>
      <c r="BC65" s="240" t="s">
        <v>1631</v>
      </c>
      <c r="BD65" s="235"/>
    </row>
    <row r="66" ht="12.75" customHeight="1">
      <c r="A66" s="202" t="s">
        <v>339</v>
      </c>
      <c r="B66" s="202" t="s">
        <v>340</v>
      </c>
      <c r="C66" s="202" t="s">
        <v>1298</v>
      </c>
      <c r="D66" s="202" t="s">
        <v>1301</v>
      </c>
      <c r="E66" s="230">
        <v>6.7941E10</v>
      </c>
      <c r="F66" s="230" t="str">
        <f>IF(ISNUMBER(Table1[[#This Row],[2019 Scope 3 ]]),IF(Table1[[#This Row],[Net Earnings/Income (2019)]]-k_cost*Table1[[#This Row],[2019 Total Scope 1, 2 + 3]]&lt;0,"Y","N"),"NA")</f>
        <v>#ERROR!</v>
      </c>
      <c r="G66" s="62" t="str">
        <f>IF(ISNUMBER(Table1[[#This Row],[2019 Scope 3 ]]),IF(k_cost*Table1[[#This Row],[2019 Total Scope 1, 2 + 3]]/Table1[[#This Row],[Size (2019 Revenue)]]&gt;k_rev_max,"Y","N"),"NA")</f>
        <v>#ERROR!</v>
      </c>
      <c r="H66" s="62" t="str">
        <f>IF(OR(Table1[[#This Row],[Net earnings post carbon price @85/t]]="Y",Table1[[#This Row],[Carbon costs in % revenue]] = "Y"),"Y",IF(OR(Table1[[#This Row],[Net earnings post carbon price @85/t]]="NA",Table1[[#This Row],[Carbon costs in % revenue]]="NA"),"NA","N"))</f>
        <v>#ERROR!</v>
      </c>
      <c r="I66" s="230">
        <v>5.07E9</v>
      </c>
      <c r="J66" s="231">
        <v>2000.0</v>
      </c>
      <c r="K66" s="230" t="s">
        <v>1498</v>
      </c>
      <c r="L66" s="1" t="s">
        <v>1498</v>
      </c>
      <c r="M66" s="1" t="s">
        <v>1499</v>
      </c>
      <c r="N66" s="1">
        <v>2016.0</v>
      </c>
      <c r="O66" s="1">
        <v>2015.0</v>
      </c>
      <c r="Q66" s="1" t="s">
        <v>1498</v>
      </c>
      <c r="R66" s="1" t="s">
        <v>1499</v>
      </c>
      <c r="T66" s="218" t="str">
        <f>IFERROR((Table1[[#This Row],[2019 Total Scope 1, 2 + 3]])/Table1[[#This Row],[2018 Total Scope 1, 2 + Scope 3]]-1,"NA")</f>
        <v>#ERROR!</v>
      </c>
      <c r="V66" s="233">
        <v>13613.0</v>
      </c>
      <c r="W66" s="233">
        <v>0.0</v>
      </c>
      <c r="X66" s="233"/>
      <c r="Y66" s="233">
        <f t="shared" si="1"/>
        <v>13613</v>
      </c>
      <c r="Z66" s="233">
        <v>25959.0</v>
      </c>
      <c r="AA66" s="233">
        <f t="shared" si="2"/>
        <v>39572</v>
      </c>
      <c r="AB66" s="233">
        <v>16016.0</v>
      </c>
      <c r="AC66" s="233">
        <v>0.0</v>
      </c>
      <c r="AD66" s="233"/>
      <c r="AE66" s="233">
        <f t="shared" si="3"/>
        <v>16016</v>
      </c>
      <c r="AF66" s="233">
        <v>26381.0</v>
      </c>
      <c r="AG66" s="233">
        <f t="shared" si="4"/>
        <v>42397</v>
      </c>
      <c r="AH66" s="233">
        <v>15722.0</v>
      </c>
      <c r="AI66" s="233">
        <v>0.0</v>
      </c>
      <c r="AJ66" s="233"/>
      <c r="AK66" s="233">
        <f t="shared" si="5"/>
        <v>15722</v>
      </c>
      <c r="AL66" s="233">
        <v>34019.0</v>
      </c>
      <c r="AM66" s="233">
        <f t="shared" si="6"/>
        <v>49741</v>
      </c>
      <c r="AN66" s="233">
        <v>17555.0</v>
      </c>
      <c r="AO66" s="233">
        <v>0.0</v>
      </c>
      <c r="AP66" s="233"/>
      <c r="AQ66" s="233">
        <f t="shared" si="11"/>
        <v>17555</v>
      </c>
      <c r="AR66" s="233">
        <v>34019.0</v>
      </c>
      <c r="AS66" s="233">
        <f t="shared" si="8"/>
        <v>51574</v>
      </c>
      <c r="AT66" s="233">
        <v>19780.0</v>
      </c>
      <c r="AU66" s="233">
        <v>67962.0</v>
      </c>
      <c r="AV66" s="233"/>
      <c r="AW66" s="233">
        <f t="shared" si="12"/>
        <v>87742</v>
      </c>
      <c r="AX66" s="233">
        <v>36166.0</v>
      </c>
      <c r="AY66" s="233">
        <f t="shared" si="10"/>
        <v>123908</v>
      </c>
      <c r="AZ66" s="240" t="s">
        <v>1499</v>
      </c>
      <c r="BA66" s="234" t="s">
        <v>1632</v>
      </c>
      <c r="BB66" s="1" t="s">
        <v>1633</v>
      </c>
      <c r="BC66" s="240" t="s">
        <v>1634</v>
      </c>
      <c r="BD66" s="235"/>
    </row>
    <row r="67" ht="12.75" customHeight="1">
      <c r="A67" s="202" t="s">
        <v>345</v>
      </c>
      <c r="B67" s="202" t="s">
        <v>346</v>
      </c>
      <c r="C67" s="202" t="s">
        <v>1291</v>
      </c>
      <c r="D67" s="202" t="s">
        <v>1297</v>
      </c>
      <c r="E67" s="230">
        <v>1.258E11</v>
      </c>
      <c r="F67" s="230" t="str">
        <f>IF(ISNUMBER(Table1[[#This Row],[2019 Scope 3 ]]),IF(Table1[[#This Row],[Net Earnings/Income (2019)]]-k_cost*Table1[[#This Row],[2019 Total Scope 1, 2 + 3]]&lt;0,"Y","N"),"NA")</f>
        <v>#ERROR!</v>
      </c>
      <c r="G67" s="62" t="str">
        <f>IF(ISNUMBER(Table1[[#This Row],[2019 Scope 3 ]]),IF(k_cost*Table1[[#This Row],[2019 Total Scope 1, 2 + 3]]/Table1[[#This Row],[Size (2019 Revenue)]]&gt;k_rev_max,"Y","N"),"NA")</f>
        <v>#ERROR!</v>
      </c>
      <c r="H67" s="62" t="str">
        <f>IF(OR(Table1[[#This Row],[Net earnings post carbon price @85/t]]="Y",Table1[[#This Row],[Carbon costs in % revenue]] = "Y"),"Y",IF(OR(Table1[[#This Row],[Net earnings post carbon price @85/t]]="NA",Table1[[#This Row],[Carbon costs in % revenue]]="NA"),"NA","N"))</f>
        <v>#ERROR!</v>
      </c>
      <c r="I67" s="230">
        <v>3.924E10</v>
      </c>
      <c r="J67" s="231">
        <v>1986.0</v>
      </c>
      <c r="K67" s="230" t="s">
        <v>1498</v>
      </c>
      <c r="L67" s="1" t="s">
        <v>1498</v>
      </c>
      <c r="M67" s="240" t="s">
        <v>1498</v>
      </c>
      <c r="N67" s="1">
        <v>2030.0</v>
      </c>
      <c r="O67" s="1">
        <v>2020.0</v>
      </c>
      <c r="Q67" s="1" t="s">
        <v>1498</v>
      </c>
      <c r="R67" s="1" t="s">
        <v>1498</v>
      </c>
      <c r="S67" s="1">
        <v>2014.0</v>
      </c>
      <c r="T67" s="218" t="str">
        <f>IFERROR((Table1[[#This Row],[2019 Total Scope 1, 2 + 3]])/Table1[[#This Row],[2018 Total Scope 1, 2 + Scope 3]]-1,"NA")</f>
        <v>#ERROR!</v>
      </c>
      <c r="V67" s="233">
        <v>113412.0</v>
      </c>
      <c r="W67" s="233">
        <v>275375.0</v>
      </c>
      <c r="X67" s="233"/>
      <c r="Y67" s="233">
        <f t="shared" si="1"/>
        <v>388787</v>
      </c>
      <c r="Z67" s="233">
        <v>1.1322213E7</v>
      </c>
      <c r="AA67" s="233">
        <f t="shared" si="2"/>
        <v>11711000</v>
      </c>
      <c r="AB67" s="233">
        <v>90723.0</v>
      </c>
      <c r="AC67" s="233">
        <v>183329.0</v>
      </c>
      <c r="AD67" s="233"/>
      <c r="AE67" s="233">
        <f t="shared" si="3"/>
        <v>274052</v>
      </c>
      <c r="AF67" s="233">
        <v>1.1820948E7</v>
      </c>
      <c r="AG67" s="233">
        <f t="shared" si="4"/>
        <v>12095000</v>
      </c>
      <c r="AH67" s="233">
        <v>97639.0</v>
      </c>
      <c r="AI67" s="233">
        <v>139110.0</v>
      </c>
      <c r="AJ67" s="233"/>
      <c r="AK67" s="233">
        <f t="shared" si="5"/>
        <v>236749</v>
      </c>
      <c r="AL67" s="233">
        <v>1.0963251E7</v>
      </c>
      <c r="AM67" s="233">
        <f t="shared" si="6"/>
        <v>11200000</v>
      </c>
      <c r="AN67" s="233">
        <v>94651.0</v>
      </c>
      <c r="AO67" s="233">
        <v>37087.0</v>
      </c>
      <c r="AP67" s="233"/>
      <c r="AQ67" s="233">
        <f t="shared" si="11"/>
        <v>131738</v>
      </c>
      <c r="AR67" s="233">
        <v>1.1155883E7</v>
      </c>
      <c r="AS67" s="233">
        <f t="shared" si="8"/>
        <v>11287621</v>
      </c>
      <c r="AT67" s="233">
        <v>94548.0</v>
      </c>
      <c r="AU67" s="233">
        <v>1697297.0</v>
      </c>
      <c r="AV67" s="233"/>
      <c r="AW67" s="233">
        <f t="shared" si="12"/>
        <v>1791845</v>
      </c>
      <c r="AX67" s="233">
        <v>9050676.0</v>
      </c>
      <c r="AY67" s="233">
        <f t="shared" si="10"/>
        <v>10842521</v>
      </c>
      <c r="AZ67" s="240" t="s">
        <v>1498</v>
      </c>
      <c r="BA67" s="234" t="s">
        <v>1635</v>
      </c>
      <c r="BC67" s="240" t="s">
        <v>1636</v>
      </c>
      <c r="BD67" s="235"/>
    </row>
    <row r="68" ht="12.75" customHeight="1">
      <c r="A68" s="202" t="s">
        <v>351</v>
      </c>
      <c r="B68" s="202" t="s">
        <v>352</v>
      </c>
      <c r="C68" s="202" t="s">
        <v>1306</v>
      </c>
      <c r="D68" s="202" t="s">
        <v>1548</v>
      </c>
      <c r="E68" s="236">
        <v>2.587E10</v>
      </c>
      <c r="F68" s="230" t="str">
        <f>IF(ISNUMBER(Table1[[#This Row],[2019 Scope 3 ]]),IF(Table1[[#This Row],[Net Earnings/Income (2019)]]-k_cost*Table1[[#This Row],[2019 Total Scope 1, 2 + 3]]&lt;0,"Y","N"),"NA")</f>
        <v>#ERROR!</v>
      </c>
      <c r="G68" s="62" t="str">
        <f>IF(ISNUMBER(Table1[[#This Row],[2019 Scope 3 ]]),IF(k_cost*Table1[[#This Row],[2019 Total Scope 1, 2 + 3]]/Table1[[#This Row],[Size (2019 Revenue)]]&gt;k_rev_max,"Y","N"),"NA")</f>
        <v>#ERROR!</v>
      </c>
      <c r="H68" s="62" t="str">
        <f>IF(OR(Table1[[#This Row],[Net earnings post carbon price @85/t]]="Y",Table1[[#This Row],[Carbon costs in % revenue]] = "Y"),"Y",IF(OR(Table1[[#This Row],[Net earnings post carbon price @85/t]]="NA",Table1[[#This Row],[Carbon costs in % revenue]]="NA"),"NA","N"))</f>
        <v>#ERROR!</v>
      </c>
      <c r="I68" s="236">
        <v>3.87E9</v>
      </c>
      <c r="J68" s="231">
        <v>2012.0</v>
      </c>
      <c r="K68" s="1" t="s">
        <v>1498</v>
      </c>
      <c r="L68" s="1" t="s">
        <v>1499</v>
      </c>
      <c r="M68" s="1" t="s">
        <v>1498</v>
      </c>
      <c r="P68" s="240" t="s">
        <v>1637</v>
      </c>
      <c r="R68" s="1" t="s">
        <v>1499</v>
      </c>
      <c r="T68" s="218" t="str">
        <f>IFERROR((Table1[[#This Row],[2019 Total Scope 1, 2 + 3]])/Table1[[#This Row],[2018 Total Scope 1, 2 + Scope 3]]-1,"NA")</f>
        <v>#ERROR!</v>
      </c>
      <c r="V68" s="233">
        <v>856590.0</v>
      </c>
      <c r="W68" s="233">
        <v>906349.0</v>
      </c>
      <c r="X68" s="233"/>
      <c r="Y68" s="233">
        <f t="shared" si="1"/>
        <v>1762939</v>
      </c>
      <c r="Z68" s="233">
        <f>15034298+1164761+2311217+84072+41446+190306+89945+52986+883179</f>
        <v>19852210</v>
      </c>
      <c r="AA68" s="233">
        <f t="shared" si="2"/>
        <v>21615149</v>
      </c>
      <c r="AB68" s="233">
        <v>819933.0</v>
      </c>
      <c r="AC68" s="233">
        <v>958647.0</v>
      </c>
      <c r="AD68" s="233"/>
      <c r="AE68" s="233">
        <f t="shared" si="3"/>
        <v>1778580</v>
      </c>
      <c r="AF68" s="233">
        <f>16999803+1043010+1261233+124957+47729+208314+1047969+207837+789072</f>
        <v>21729924</v>
      </c>
      <c r="AG68" s="233">
        <f t="shared" si="4"/>
        <v>23508504</v>
      </c>
      <c r="AH68" s="233">
        <v>778304.0</v>
      </c>
      <c r="AI68" s="233">
        <v>907536.0</v>
      </c>
      <c r="AJ68" s="233"/>
      <c r="AK68" s="233">
        <f t="shared" si="5"/>
        <v>1685840</v>
      </c>
      <c r="AL68" s="233">
        <f>8964770+457311+1005369+74429+80431+210026+641840+90737+692102</f>
        <v>12217015</v>
      </c>
      <c r="AM68" s="233">
        <f t="shared" si="6"/>
        <v>13902855</v>
      </c>
      <c r="AN68" s="233">
        <v>812564.0</v>
      </c>
      <c r="AO68" s="233">
        <v>987618.0</v>
      </c>
      <c r="AP68" s="233"/>
      <c r="AQ68" s="233">
        <f t="shared" si="11"/>
        <v>1800182</v>
      </c>
      <c r="AR68" s="233">
        <f>9288253+462304+1049737+74019+74623+215465+629249+93432+691352</f>
        <v>12578434</v>
      </c>
      <c r="AS68" s="233">
        <f t="shared" si="8"/>
        <v>14378616</v>
      </c>
      <c r="AT68" s="233">
        <v>757010.0</v>
      </c>
      <c r="AU68" s="233">
        <v>772308.0</v>
      </c>
      <c r="AV68" s="233"/>
      <c r="AW68" s="233">
        <f t="shared" si="12"/>
        <v>1529318</v>
      </c>
      <c r="AX68" s="233">
        <f>11056117+352033+1062374+109729+122282+204317+1174506+773746+499727+101190</f>
        <v>15456021</v>
      </c>
      <c r="AY68" s="233">
        <f t="shared" si="10"/>
        <v>16985339</v>
      </c>
      <c r="BA68" s="234" t="s">
        <v>1638</v>
      </c>
      <c r="BB68" s="240" t="s">
        <v>1639</v>
      </c>
      <c r="BC68" s="240" t="s">
        <v>1640</v>
      </c>
      <c r="BD68" s="235"/>
    </row>
    <row r="69" ht="12.75" customHeight="1">
      <c r="A69" s="202" t="s">
        <v>357</v>
      </c>
      <c r="B69" s="202" t="s">
        <v>357</v>
      </c>
      <c r="C69" s="202" t="s">
        <v>1298</v>
      </c>
      <c r="D69" s="202" t="s">
        <v>1530</v>
      </c>
      <c r="E69" s="230">
        <v>4.1419E10</v>
      </c>
      <c r="F69" s="230" t="str">
        <f>IF(ISNUMBER(Table1[[#This Row],[2019 Scope 3 ]]),IF(Table1[[#This Row],[Net Earnings/Income (2019)]]-k_cost*Table1[[#This Row],[2019 Total Scope 1, 2 + 3]]&lt;0,"Y","N"),"NA")</f>
        <v>#ERROR!</v>
      </c>
      <c r="G69" s="62" t="str">
        <f>IF(ISNUMBER(Table1[[#This Row],[2019 Scope 3 ]]),IF(k_cost*Table1[[#This Row],[2019 Total Scope 1, 2 + 3]]/Table1[[#This Row],[Size (2019 Revenue)]]&gt;k_rev_max,"Y","N"),"NA")</f>
        <v>#ERROR!</v>
      </c>
      <c r="H69" s="62" t="str">
        <f>IF(OR(Table1[[#This Row],[Net earnings post carbon price @85/t]]="Y",Table1[[#This Row],[Carbon costs in % revenue]] = "Y"),"Y",IF(OR(Table1[[#This Row],[Net earnings post carbon price @85/t]]="NA",Table1[[#This Row],[Carbon costs in % revenue]]="NA"),"NA","N"))</f>
        <v>#ERROR!</v>
      </c>
      <c r="I69" s="230">
        <v>8.512E9</v>
      </c>
      <c r="J69" s="231">
        <v>1935.0</v>
      </c>
      <c r="K69" s="230" t="s">
        <v>1498</v>
      </c>
      <c r="L69" s="1" t="s">
        <v>1498</v>
      </c>
      <c r="M69" s="1" t="s">
        <v>1499</v>
      </c>
      <c r="N69" s="1">
        <v>2022.0</v>
      </c>
      <c r="O69" s="1">
        <v>2017.0</v>
      </c>
      <c r="R69" s="1" t="s">
        <v>1498</v>
      </c>
      <c r="S69" s="1">
        <v>2022.0</v>
      </c>
      <c r="T69" s="218" t="str">
        <f>IFERROR((Table1[[#This Row],[2019 Total Scope 1, 2 + 3]])/Table1[[#This Row],[2018 Total Scope 1, 2 + Scope 3]]-1,"NA")</f>
        <v>#ERROR!</v>
      </c>
      <c r="V69" s="233">
        <v>28300.0</v>
      </c>
      <c r="W69" s="233">
        <v>176200.0</v>
      </c>
      <c r="X69" s="233"/>
      <c r="Y69" s="233">
        <f t="shared" si="1"/>
        <v>204500</v>
      </c>
      <c r="Z69" s="233">
        <f>911000+192000+46600+6490+99700+112550+6000+200</f>
        <v>1374540</v>
      </c>
      <c r="AA69" s="233">
        <f t="shared" si="2"/>
        <v>1579040</v>
      </c>
      <c r="AB69" s="233">
        <v>29800.0</v>
      </c>
      <c r="AC69" s="233">
        <v>183900.0</v>
      </c>
      <c r="AD69" s="233"/>
      <c r="AE69" s="233">
        <f t="shared" si="3"/>
        <v>213700</v>
      </c>
      <c r="AF69" s="233">
        <v>1227000.0</v>
      </c>
      <c r="AG69" s="233">
        <f t="shared" si="4"/>
        <v>1440700</v>
      </c>
      <c r="AH69" s="233">
        <v>29450.0</v>
      </c>
      <c r="AI69" s="233">
        <v>178350.0</v>
      </c>
      <c r="AJ69" s="233"/>
      <c r="AK69" s="233">
        <f t="shared" si="5"/>
        <v>207800</v>
      </c>
      <c r="AL69" s="233">
        <v>1357000.0</v>
      </c>
      <c r="AM69" s="233">
        <f t="shared" si="6"/>
        <v>1564800</v>
      </c>
      <c r="AN69" s="233">
        <v>27610.0</v>
      </c>
      <c r="AO69" s="233">
        <v>237080.0</v>
      </c>
      <c r="AP69" s="233"/>
      <c r="AQ69" s="233">
        <f t="shared" si="11"/>
        <v>264690</v>
      </c>
      <c r="AR69" s="233">
        <f>1600000+190000+54941+3110+93950+110000+6000+260</f>
        <v>2058261</v>
      </c>
      <c r="AS69" s="233">
        <f t="shared" si="8"/>
        <v>2322951</v>
      </c>
      <c r="AT69" s="233">
        <v>33870.0</v>
      </c>
      <c r="AU69" s="233">
        <v>272720.0</v>
      </c>
      <c r="AV69" s="233"/>
      <c r="AW69" s="233">
        <f t="shared" si="12"/>
        <v>306590</v>
      </c>
      <c r="AX69" s="233">
        <f>1100000+190000+59920+4480+118650+112000+6000+250</f>
        <v>1591300</v>
      </c>
      <c r="AY69" s="233">
        <f t="shared" si="10"/>
        <v>1897890</v>
      </c>
      <c r="BB69" s="1" t="s">
        <v>1641</v>
      </c>
      <c r="BC69" s="240" t="s">
        <v>1642</v>
      </c>
      <c r="BD69" s="235"/>
    </row>
    <row r="70" ht="12.75" customHeight="1">
      <c r="A70" s="202" t="s">
        <v>362</v>
      </c>
      <c r="B70" s="202" t="s">
        <v>363</v>
      </c>
      <c r="C70" s="202" t="s">
        <v>1302</v>
      </c>
      <c r="D70" s="202" t="s">
        <v>1541</v>
      </c>
      <c r="E70" s="236">
        <v>2.016E10</v>
      </c>
      <c r="F70" s="230" t="str">
        <f>IF(ISNUMBER(Table1[[#This Row],[2019 Scope 3 ]]),IF(Table1[[#This Row],[Net Earnings/Income (2019)]]-k_cost*Table1[[#This Row],[2019 Total Scope 1, 2 + 3]]&lt;0,"Y","N"),"NA")</f>
        <v>#ERROR!</v>
      </c>
      <c r="G70" s="62" t="str">
        <f>IF(ISNUMBER(Table1[[#This Row],[2019 Scope 3 ]]),IF(k_cost*Table1[[#This Row],[2019 Total Scope 1, 2 + 3]]/Table1[[#This Row],[Size (2019 Revenue)]]&gt;k_rev_max,"Y","N"),"NA")</f>
        <v>#ERROR!</v>
      </c>
      <c r="H70" s="62" t="str">
        <f>IF(OR(Table1[[#This Row],[Net earnings post carbon price @85/t]]="Y",Table1[[#This Row],[Carbon costs in % revenue]] = "Y"),"Y",IF(OR(Table1[[#This Row],[Net earnings post carbon price @85/t]]="NA",Table1[[#This Row],[Carbon costs in % revenue]]="NA"),"NA","N"))</f>
        <v>#ERROR!</v>
      </c>
      <c r="I70" s="236">
        <v>1.866E9</v>
      </c>
      <c r="J70" s="231">
        <v>2002.0</v>
      </c>
      <c r="K70" s="1" t="s">
        <v>1498</v>
      </c>
      <c r="L70" s="1" t="s">
        <v>1499</v>
      </c>
      <c r="M70" s="1" t="s">
        <v>1499</v>
      </c>
      <c r="P70" s="1" t="s">
        <v>1499</v>
      </c>
      <c r="Q70" s="1" t="s">
        <v>1498</v>
      </c>
      <c r="R70" s="1" t="s">
        <v>1499</v>
      </c>
      <c r="S70" s="1" t="s">
        <v>1499</v>
      </c>
      <c r="T70" s="218" t="str">
        <f>IFERROR((Table1[[#This Row],[2019 Total Scope 1, 2 + 3]])/Table1[[#This Row],[2018 Total Scope 1, 2 + Scope 3]]-1,"NA")</f>
        <v>#ERROR!</v>
      </c>
      <c r="V70" s="233" t="s">
        <v>536</v>
      </c>
      <c r="W70" s="233" t="s">
        <v>536</v>
      </c>
      <c r="X70" s="233"/>
      <c r="Y70" s="233" t="str">
        <f t="shared" si="1"/>
        <v/>
      </c>
      <c r="Z70" s="233" t="s">
        <v>536</v>
      </c>
      <c r="AA70" s="233" t="str">
        <f t="shared" si="2"/>
        <v/>
      </c>
      <c r="AB70" s="233" t="s">
        <v>536</v>
      </c>
      <c r="AC70" s="233" t="s">
        <v>536</v>
      </c>
      <c r="AD70" s="233"/>
      <c r="AE70" s="233" t="str">
        <f t="shared" si="3"/>
        <v/>
      </c>
      <c r="AF70" s="233" t="s">
        <v>536</v>
      </c>
      <c r="AG70" s="233" t="str">
        <f t="shared" si="4"/>
        <v/>
      </c>
      <c r="AH70" s="233" t="s">
        <v>536</v>
      </c>
      <c r="AI70" s="233" t="s">
        <v>536</v>
      </c>
      <c r="AJ70" s="233"/>
      <c r="AK70" s="233" t="str">
        <f t="shared" si="5"/>
        <v/>
      </c>
      <c r="AL70" s="233" t="s">
        <v>536</v>
      </c>
      <c r="AM70" s="233" t="str">
        <f t="shared" si="6"/>
        <v/>
      </c>
      <c r="AN70" s="233" t="s">
        <v>536</v>
      </c>
      <c r="AO70" s="233" t="s">
        <v>536</v>
      </c>
      <c r="AP70" s="233"/>
      <c r="AQ70" s="233" t="str">
        <f t="shared" si="11"/>
        <v/>
      </c>
      <c r="AR70" s="233" t="s">
        <v>536</v>
      </c>
      <c r="AS70" s="233" t="str">
        <f t="shared" si="8"/>
        <v/>
      </c>
      <c r="AT70" s="233" t="s">
        <v>536</v>
      </c>
      <c r="AU70" s="233" t="s">
        <v>536</v>
      </c>
      <c r="AV70" s="233"/>
      <c r="AW70" s="233" t="str">
        <f t="shared" si="12"/>
        <v/>
      </c>
      <c r="AX70" s="233" t="s">
        <v>536</v>
      </c>
      <c r="AY70" s="233" t="str">
        <f t="shared" si="10"/>
        <v/>
      </c>
      <c r="AZ70" s="1" t="s">
        <v>1499</v>
      </c>
      <c r="BB70" s="240" t="s">
        <v>1643</v>
      </c>
      <c r="BC70" s="240" t="s">
        <v>1644</v>
      </c>
      <c r="BD70" s="235"/>
    </row>
    <row r="71" ht="12.75" customHeight="1">
      <c r="A71" s="202" t="s">
        <v>365</v>
      </c>
      <c r="B71" s="202" t="s">
        <v>366</v>
      </c>
      <c r="C71" s="202" t="s">
        <v>1364</v>
      </c>
      <c r="D71" s="1" t="s">
        <v>1364</v>
      </c>
      <c r="E71" s="236">
        <v>1.9204E10</v>
      </c>
      <c r="F71" s="230" t="str">
        <f>IF(ISNUMBER(Table1[[#This Row],[2019 Scope 3 ]]),IF(Table1[[#This Row],[Net Earnings/Income (2019)]]-k_cost*Table1[[#This Row],[2019 Total Scope 1, 2 + 3]]&lt;0,"Y","N"),"NA")</f>
        <v>#ERROR!</v>
      </c>
      <c r="G71" s="62" t="str">
        <f>IF(ISNUMBER(Table1[[#This Row],[2019 Scope 3 ]]),IF(k_cost*Table1[[#This Row],[2019 Total Scope 1, 2 + 3]]/Table1[[#This Row],[Size (2019 Revenue)]]&gt;k_rev_max,"Y","N"),"NA")</f>
        <v>#ERROR!</v>
      </c>
      <c r="H71" s="62" t="str">
        <f>IF(OR(Table1[[#This Row],[Net earnings post carbon price @85/t]]="Y",Table1[[#This Row],[Carbon costs in % revenue]] = "Y"),"Y",IF(OR(Table1[[#This Row],[Net earnings post carbon price @85/t]]="NA",Table1[[#This Row],[Carbon costs in % revenue]]="NA"),"NA","N"))</f>
        <v>#ERROR!</v>
      </c>
      <c r="I71" s="236">
        <v>3.769E9</v>
      </c>
      <c r="J71" s="231">
        <v>2014.0</v>
      </c>
      <c r="K71" s="1" t="s">
        <v>1498</v>
      </c>
      <c r="L71" s="1" t="s">
        <v>1499</v>
      </c>
      <c r="M71" s="1" t="s">
        <v>1499</v>
      </c>
      <c r="P71" s="1" t="s">
        <v>1499</v>
      </c>
      <c r="Q71" s="1" t="s">
        <v>1499</v>
      </c>
      <c r="R71" s="1" t="s">
        <v>1499</v>
      </c>
      <c r="S71" s="1" t="s">
        <v>1499</v>
      </c>
      <c r="T71" s="218" t="str">
        <f>IFERROR((Table1[[#This Row],[2019 Total Scope 1, 2 + 3]])/Table1[[#This Row],[2018 Total Scope 1, 2 + Scope 3]]-1,"NA")</f>
        <v>#ERROR!</v>
      </c>
      <c r="V71" s="233" t="s">
        <v>536</v>
      </c>
      <c r="W71" s="233" t="s">
        <v>536</v>
      </c>
      <c r="X71" s="233"/>
      <c r="Y71" s="233">
        <v>1.07082396E8</v>
      </c>
      <c r="Z71" s="233" t="s">
        <v>536</v>
      </c>
      <c r="AA71" s="233" t="str">
        <f t="shared" si="2"/>
        <v/>
      </c>
      <c r="AB71" s="233" t="s">
        <v>536</v>
      </c>
      <c r="AC71" s="233" t="s">
        <v>536</v>
      </c>
      <c r="AD71" s="233"/>
      <c r="AE71" s="233">
        <v>9.0006931E7</v>
      </c>
      <c r="AF71" s="233" t="s">
        <v>536</v>
      </c>
      <c r="AG71" s="233" t="str">
        <f t="shared" si="4"/>
        <v/>
      </c>
      <c r="AH71" s="233" t="s">
        <v>536</v>
      </c>
      <c r="AI71" s="233" t="s">
        <v>536</v>
      </c>
      <c r="AJ71" s="233"/>
      <c r="AK71" s="233">
        <v>9.3387385E7</v>
      </c>
      <c r="AL71" s="233" t="s">
        <v>536</v>
      </c>
      <c r="AM71" s="233" t="str">
        <f t="shared" si="6"/>
        <v/>
      </c>
      <c r="AN71" s="233" t="s">
        <v>536</v>
      </c>
      <c r="AO71" s="233" t="s">
        <v>536</v>
      </c>
      <c r="AP71" s="233"/>
      <c r="AQ71" s="233">
        <v>1.00072736E8</v>
      </c>
      <c r="AR71" s="233" t="s">
        <v>536</v>
      </c>
      <c r="AS71" s="233" t="str">
        <f t="shared" si="8"/>
        <v/>
      </c>
      <c r="AT71" s="233" t="s">
        <v>536</v>
      </c>
      <c r="AU71" s="233" t="s">
        <v>536</v>
      </c>
      <c r="AV71" s="233"/>
      <c r="AW71" s="233" t="str">
        <f t="shared" si="12"/>
        <v/>
      </c>
      <c r="AX71" s="233" t="s">
        <v>536</v>
      </c>
      <c r="AY71" s="233" t="str">
        <f t="shared" si="10"/>
        <v/>
      </c>
      <c r="AZ71" s="1" t="s">
        <v>1498</v>
      </c>
      <c r="BA71" s="234" t="s">
        <v>1645</v>
      </c>
      <c r="BB71" s="240" t="s">
        <v>1646</v>
      </c>
      <c r="BC71" s="234" t="s">
        <v>1647</v>
      </c>
      <c r="BD71" s="235"/>
    </row>
    <row r="72" ht="12.75" customHeight="1">
      <c r="A72" s="202" t="s">
        <v>368</v>
      </c>
      <c r="B72" s="202" t="s">
        <v>369</v>
      </c>
      <c r="C72" s="202" t="s">
        <v>1376</v>
      </c>
      <c r="D72" s="202" t="s">
        <v>1648</v>
      </c>
      <c r="E72" s="230">
        <v>3.91E10</v>
      </c>
      <c r="F72" s="230" t="str">
        <f>IF(ISNUMBER(Table1[[#This Row],[2019 Scope 3 ]]),IF(Table1[[#This Row],[Net Earnings/Income (2019)]]-k_cost*Table1[[#This Row],[2019 Total Scope 1, 2 + 3]]&lt;0,"Y","N"),"NA")</f>
        <v>#ERROR!</v>
      </c>
      <c r="G72" s="62" t="str">
        <f>IF(ISNUMBER(Table1[[#This Row],[2019 Scope 3 ]]),IF(k_cost*Table1[[#This Row],[2019 Total Scope 1, 2 + 3]]/Table1[[#This Row],[Size (2019 Revenue)]]&gt;k_rev_max,"Y","N"),"NA")</f>
        <v>#ERROR!</v>
      </c>
      <c r="H72" s="62" t="str">
        <f>IF(OR(Table1[[#This Row],[Net earnings post carbon price @85/t]]="Y",Table1[[#This Row],[Carbon costs in % revenue]] = "Y"),"Y",IF(OR(Table1[[#This Row],[Net earnings post carbon price @85/t]]="NA",Table1[[#This Row],[Carbon costs in % revenue]]="NA"),"NA","N"))</f>
        <v>#ERROR!</v>
      </c>
      <c r="I72" s="230">
        <v>4.0E9</v>
      </c>
      <c r="J72" s="231">
        <v>1980.0</v>
      </c>
      <c r="K72" s="230" t="s">
        <v>1498</v>
      </c>
      <c r="L72" s="1" t="s">
        <v>1498</v>
      </c>
      <c r="M72" s="1" t="s">
        <v>1498</v>
      </c>
      <c r="N72" s="1">
        <v>2050.0</v>
      </c>
      <c r="O72" s="1">
        <v>2020.0</v>
      </c>
      <c r="P72" s="240" t="s">
        <v>1649</v>
      </c>
      <c r="Q72" s="1" t="s">
        <v>1499</v>
      </c>
      <c r="R72" s="1" t="s">
        <v>1498</v>
      </c>
      <c r="S72" s="1">
        <v>2025.0</v>
      </c>
      <c r="T72" s="218" t="str">
        <f>IFERROR((Table1[[#This Row],[2019 Total Scope 1, 2 + 3]])/Table1[[#This Row],[2018 Total Scope 1, 2 + Scope 3]]-1,"NA")</f>
        <v>#ERROR!</v>
      </c>
      <c r="V72" s="233">
        <v>46714.0</v>
      </c>
      <c r="W72" s="233">
        <v>209065.0</v>
      </c>
      <c r="X72" s="233"/>
      <c r="Y72" s="233">
        <f t="shared" ref="Y72:Y101" si="13">IFERROR(V72+W72-X72,"")</f>
        <v>255779</v>
      </c>
      <c r="Z72" s="233">
        <v>3250744.0</v>
      </c>
      <c r="AA72" s="233">
        <f t="shared" si="2"/>
        <v>3506523</v>
      </c>
      <c r="AB72" s="233">
        <v>41942.0</v>
      </c>
      <c r="AC72" s="233">
        <v>218240.0</v>
      </c>
      <c r="AD72" s="233"/>
      <c r="AE72" s="233">
        <f t="shared" ref="AE72:AE101" si="14">IFERROR(AB72+AC72-AD72,"")</f>
        <v>260182</v>
      </c>
      <c r="AF72" s="233">
        <v>2787707.0</v>
      </c>
      <c r="AG72" s="233">
        <f t="shared" si="4"/>
        <v>3047889</v>
      </c>
      <c r="AH72" s="233">
        <v>40139.0</v>
      </c>
      <c r="AI72" s="233">
        <v>224489.0</v>
      </c>
      <c r="AJ72" s="233"/>
      <c r="AK72" s="233">
        <f t="shared" ref="AK72:AK101" si="15">IFERROR(AH72+AI72-AJ72,"")</f>
        <v>264628</v>
      </c>
      <c r="AL72" s="233">
        <v>2751744.0</v>
      </c>
      <c r="AM72" s="233">
        <f t="shared" si="6"/>
        <v>3016372</v>
      </c>
      <c r="AN72" s="233">
        <v>37325.0</v>
      </c>
      <c r="AO72" s="233">
        <v>225772.0</v>
      </c>
      <c r="AP72" s="233"/>
      <c r="AQ72" s="233">
        <f t="shared" ref="AQ72:AQ101" si="16">IFERROR(AN72+AO72-AP72,"")</f>
        <v>263097</v>
      </c>
      <c r="AR72" s="233">
        <v>2468365.0</v>
      </c>
      <c r="AS72" s="233">
        <f t="shared" si="8"/>
        <v>2731462</v>
      </c>
      <c r="AT72" s="233">
        <v>35623.0</v>
      </c>
      <c r="AU72" s="233">
        <v>228680.0</v>
      </c>
      <c r="AV72" s="233"/>
      <c r="AW72" s="233">
        <f t="shared" si="12"/>
        <v>264303</v>
      </c>
      <c r="AX72" s="233">
        <v>2460556.0</v>
      </c>
      <c r="AY72" s="233">
        <f t="shared" si="10"/>
        <v>2724859</v>
      </c>
      <c r="AZ72" s="240" t="s">
        <v>1650</v>
      </c>
      <c r="BA72" s="234" t="s">
        <v>1651</v>
      </c>
      <c r="BC72" s="240" t="s">
        <v>1652</v>
      </c>
      <c r="BD72" s="235"/>
    </row>
    <row r="73" ht="12.75" customHeight="1">
      <c r="A73" s="202" t="s">
        <v>374</v>
      </c>
      <c r="B73" s="202" t="s">
        <v>374</v>
      </c>
      <c r="C73" s="202" t="s">
        <v>1291</v>
      </c>
      <c r="D73" s="202" t="s">
        <v>1521</v>
      </c>
      <c r="E73" s="230">
        <v>1.172E10</v>
      </c>
      <c r="F73" s="230" t="str">
        <f>IF(ISNUMBER(Table1[[#This Row],[2019 Scope 3 ]]),IF(Table1[[#This Row],[Net Earnings/Income (2019)]]-k_cost*Table1[[#This Row],[2019 Total Scope 1, 2 + 3]]&lt;0,"Y","N"),"NA")</f>
        <v>#ERROR!</v>
      </c>
      <c r="G73" s="62" t="str">
        <f>IF(ISNUMBER(Table1[[#This Row],[2019 Scope 3 ]]),IF(k_cost*Table1[[#This Row],[2019 Total Scope 1, 2 + 3]]/Table1[[#This Row],[Size (2019 Revenue)]]&gt;k_rev_max,"Y","N"),"NA")</f>
        <v>#ERROR!</v>
      </c>
      <c r="H73" s="62" t="str">
        <f>IF(OR(Table1[[#This Row],[Net earnings post carbon price @85/t]]="Y",Table1[[#This Row],[Carbon costs in % revenue]] = "Y"),"Y",IF(OR(Table1[[#This Row],[Net earnings post carbon price @85/t]]="NA",Table1[[#This Row],[Carbon costs in % revenue]]="NA"),"NA","N"))</f>
        <v>#ERROR!</v>
      </c>
      <c r="I73" s="230">
        <v>4.141E9</v>
      </c>
      <c r="J73" s="231">
        <v>1999.0</v>
      </c>
      <c r="K73" s="230" t="s">
        <v>1498</v>
      </c>
      <c r="L73" s="202" t="s">
        <v>1499</v>
      </c>
      <c r="M73" s="1" t="s">
        <v>1499</v>
      </c>
      <c r="P73" s="240" t="s">
        <v>1653</v>
      </c>
      <c r="R73" s="241" t="s">
        <v>1499</v>
      </c>
      <c r="S73" s="240" t="s">
        <v>1654</v>
      </c>
      <c r="T73" s="244" t="str">
        <f>IFERROR((Table1[[#This Row],[2019 Total Scope 1, 2 + 3]])/Table1[[#This Row],[2018 Total Scope 1, 2 + Scope 3]]-1,"NA")</f>
        <v>#ERROR!</v>
      </c>
      <c r="U73" s="240"/>
      <c r="V73" s="233">
        <v>2695.0</v>
      </c>
      <c r="W73" s="233">
        <v>60093.0</v>
      </c>
      <c r="X73" s="233"/>
      <c r="Y73" s="233">
        <f t="shared" si="13"/>
        <v>62788</v>
      </c>
      <c r="Z73" s="233">
        <v>427730.0</v>
      </c>
      <c r="AA73" s="233">
        <f t="shared" si="2"/>
        <v>490518</v>
      </c>
      <c r="AB73" s="233">
        <v>2370.0</v>
      </c>
      <c r="AC73" s="233">
        <v>56903.0</v>
      </c>
      <c r="AD73" s="233"/>
      <c r="AE73" s="233">
        <f t="shared" si="14"/>
        <v>59273</v>
      </c>
      <c r="AF73" s="233">
        <v>326648.0</v>
      </c>
      <c r="AG73" s="233">
        <f t="shared" si="4"/>
        <v>385921</v>
      </c>
      <c r="AH73" s="233">
        <v>2571.0</v>
      </c>
      <c r="AI73" s="233">
        <v>47142.0</v>
      </c>
      <c r="AJ73" s="233"/>
      <c r="AK73" s="233">
        <f t="shared" si="15"/>
        <v>49713</v>
      </c>
      <c r="AL73" s="233">
        <v>277014.0</v>
      </c>
      <c r="AM73" s="233">
        <f t="shared" si="6"/>
        <v>326727</v>
      </c>
      <c r="AN73" s="233">
        <v>2419.0</v>
      </c>
      <c r="AO73" s="233">
        <v>43889.0</v>
      </c>
      <c r="AP73" s="233"/>
      <c r="AQ73" s="233">
        <f t="shared" si="16"/>
        <v>46308</v>
      </c>
      <c r="AR73" s="233">
        <v>237579.0</v>
      </c>
      <c r="AS73" s="233">
        <f t="shared" si="8"/>
        <v>283887</v>
      </c>
      <c r="AT73" s="233">
        <v>3339.0</v>
      </c>
      <c r="AU73" s="233">
        <v>51482.0</v>
      </c>
      <c r="AV73" s="233"/>
      <c r="AW73" s="233">
        <f t="shared" si="12"/>
        <v>54821</v>
      </c>
      <c r="AX73" s="233">
        <v>114259.0</v>
      </c>
      <c r="AY73" s="233">
        <f t="shared" si="10"/>
        <v>169080</v>
      </c>
      <c r="AZ73" s="240"/>
      <c r="BA73" s="234" t="s">
        <v>1655</v>
      </c>
      <c r="BC73" s="240" t="s">
        <v>1656</v>
      </c>
      <c r="BD73" s="235" t="s">
        <v>1529</v>
      </c>
    </row>
    <row r="74" ht="12.75" customHeight="1">
      <c r="A74" s="202" t="s">
        <v>379</v>
      </c>
      <c r="B74" s="202" t="s">
        <v>379</v>
      </c>
      <c r="C74" s="202" t="s">
        <v>1350</v>
      </c>
      <c r="D74" s="202" t="s">
        <v>1542</v>
      </c>
      <c r="E74" s="236">
        <v>2.123E10</v>
      </c>
      <c r="F74" s="230" t="str">
        <f>IF(ISNUMBER(Table1[[#This Row],[2019 Scope 3 ]]),IF(Table1[[#This Row],[Net Earnings/Income (2019)]]-k_cost*Table1[[#This Row],[2019 Total Scope 1, 2 + 3]]&lt;0,"Y","N"),"NA")</f>
        <v>#ERROR!</v>
      </c>
      <c r="G74" s="62" t="str">
        <f>IF(ISNUMBER(Table1[[#This Row],[2019 Scope 3 ]]),IF(k_cost*Table1[[#This Row],[2019 Total Scope 1, 2 + 3]]/Table1[[#This Row],[Size (2019 Revenue)]]&gt;k_rev_max,"Y","N"),"NA")</f>
        <v>#ERROR!</v>
      </c>
      <c r="H74" s="62" t="str">
        <f>IF(OR(Table1[[#This Row],[Net earnings post carbon price @85/t]]="Y",Table1[[#This Row],[Carbon costs in % revenue]] = "Y"),"Y",IF(OR(Table1[[#This Row],[Net earnings post carbon price @85/t]]="NA",Table1[[#This Row],[Carbon costs in % revenue]]="NA"),"NA","N"))</f>
        <v>#ERROR!</v>
      </c>
      <c r="I74" s="236">
        <v>-6.52E8</v>
      </c>
      <c r="J74" s="231">
        <v>1986.0</v>
      </c>
      <c r="K74" s="1" t="s">
        <v>1498</v>
      </c>
      <c r="L74" s="1" t="s">
        <v>1499</v>
      </c>
      <c r="M74" s="1" t="s">
        <v>1499</v>
      </c>
      <c r="P74" s="240" t="s">
        <v>1657</v>
      </c>
      <c r="Q74" s="240" t="s">
        <v>1658</v>
      </c>
      <c r="R74" s="1" t="s">
        <v>1499</v>
      </c>
      <c r="T74" s="218" t="str">
        <f>IFERROR((Table1[[#This Row],[2019 Total Scope 1, 2 + 3]])/Table1[[#This Row],[2018 Total Scope 1, 2 + Scope 3]]-1,"NA")</f>
        <v>#ERROR!</v>
      </c>
      <c r="V74" s="233">
        <v>2.2430197E7</v>
      </c>
      <c r="W74" s="233">
        <v>6420000.0</v>
      </c>
      <c r="X74" s="233"/>
      <c r="Y74" s="233">
        <f t="shared" si="13"/>
        <v>28850197</v>
      </c>
      <c r="Z74" s="233">
        <f>103000000</f>
        <v>103000000</v>
      </c>
      <c r="AA74" s="233">
        <f t="shared" si="2"/>
        <v>131850197</v>
      </c>
      <c r="AB74" s="233">
        <v>1.037E7</v>
      </c>
      <c r="AC74" s="233">
        <v>4100000.0</v>
      </c>
      <c r="AD74" s="233"/>
      <c r="AE74" s="233">
        <f t="shared" si="14"/>
        <v>14470000</v>
      </c>
      <c r="AF74" s="233">
        <v>7.1E7</v>
      </c>
      <c r="AG74" s="233">
        <f t="shared" si="4"/>
        <v>85470000</v>
      </c>
      <c r="AH74" s="233">
        <v>1.13E7</v>
      </c>
      <c r="AI74" s="233">
        <v>4200000.0</v>
      </c>
      <c r="AJ74" s="233"/>
      <c r="AK74" s="233">
        <f t="shared" si="15"/>
        <v>15500000</v>
      </c>
      <c r="AL74" s="233">
        <v>6.3E7</v>
      </c>
      <c r="AM74" s="233">
        <f t="shared" si="6"/>
        <v>78500000</v>
      </c>
      <c r="AN74" s="233">
        <v>1.049E7</v>
      </c>
      <c r="AO74" s="233">
        <v>5380000.0</v>
      </c>
      <c r="AP74" s="233"/>
      <c r="AQ74" s="233">
        <f t="shared" si="16"/>
        <v>15870000</v>
      </c>
      <c r="AR74" s="233"/>
      <c r="AS74" s="233">
        <f t="shared" si="8"/>
        <v>15870000</v>
      </c>
      <c r="AT74" s="233">
        <v>9300000.0</v>
      </c>
      <c r="AU74" s="233">
        <v>4800000.0</v>
      </c>
      <c r="AV74" s="233"/>
      <c r="AW74" s="233">
        <f t="shared" si="12"/>
        <v>14100000</v>
      </c>
      <c r="AX74" s="233"/>
      <c r="AY74" s="233">
        <f t="shared" si="10"/>
        <v>14100000</v>
      </c>
      <c r="BA74" s="234" t="s">
        <v>1659</v>
      </c>
      <c r="BC74" s="240" t="s">
        <v>1660</v>
      </c>
      <c r="BD74" s="235"/>
    </row>
    <row r="75" ht="12.75" customHeight="1">
      <c r="A75" s="202" t="s">
        <v>384</v>
      </c>
      <c r="B75" s="202" t="s">
        <v>384</v>
      </c>
      <c r="C75" s="202" t="s">
        <v>1291</v>
      </c>
      <c r="D75" s="202" t="s">
        <v>1297</v>
      </c>
      <c r="E75" s="236">
        <v>3.95E10</v>
      </c>
      <c r="F75" s="230" t="str">
        <f>IF(ISNUMBER(Table1[[#This Row],[2019 Scope 3 ]]),IF(Table1[[#This Row],[Net Earnings/Income (2019)]]-k_cost*Table1[[#This Row],[2019 Total Scope 1, 2 + 3]]&lt;0,"Y","N"),"NA")</f>
        <v>#ERROR!</v>
      </c>
      <c r="G75" s="62" t="str">
        <f>IF(ISNUMBER(Table1[[#This Row],[2019 Scope 3 ]]),IF(k_cost*Table1[[#This Row],[2019 Total Scope 1, 2 + 3]]/Table1[[#This Row],[Size (2019 Revenue)]]&gt;k_rev_max,"Y","N"),"NA")</f>
        <v>#ERROR!</v>
      </c>
      <c r="H75" s="62" t="str">
        <f>IF(OR(Table1[[#This Row],[Net earnings post carbon price @85/t]]="Y",Table1[[#This Row],[Carbon costs in % revenue]] = "Y"),"Y",IF(OR(Table1[[#This Row],[Net earnings post carbon price @85/t]]="NA",Table1[[#This Row],[Carbon costs in % revenue]]="NA"),"NA","N"))</f>
        <v>#ERROR!</v>
      </c>
      <c r="I75" s="236">
        <v>1.108E10</v>
      </c>
      <c r="J75" s="231">
        <v>1986.0</v>
      </c>
      <c r="K75" s="1" t="s">
        <v>1498</v>
      </c>
      <c r="L75" s="202" t="s">
        <v>1499</v>
      </c>
      <c r="M75" s="1" t="s">
        <v>1499</v>
      </c>
      <c r="P75" s="240" t="s">
        <v>1661</v>
      </c>
      <c r="R75" s="1" t="s">
        <v>1499</v>
      </c>
      <c r="T75" s="218" t="str">
        <f>IFERROR((Table1[[#This Row],[2019 Total Scope 1, 2 + 3]])/Table1[[#This Row],[2018 Total Scope 1, 2 + Scope 3]]-1,"NA")</f>
        <v>#ERROR!</v>
      </c>
      <c r="V75" s="233">
        <v>16520.0</v>
      </c>
      <c r="W75" s="233">
        <v>349022.0</v>
      </c>
      <c r="X75" s="233"/>
      <c r="Y75" s="233">
        <f t="shared" si="13"/>
        <v>365542</v>
      </c>
      <c r="Z75" s="233">
        <f>1139792+151888+21233+8956+1055+173807+70+35824+10915</f>
        <v>1543540</v>
      </c>
      <c r="AA75" s="233">
        <f t="shared" si="2"/>
        <v>1909082</v>
      </c>
      <c r="AB75" s="233">
        <v>17084.0</v>
      </c>
      <c r="AC75" s="233">
        <v>362448.0</v>
      </c>
      <c r="AD75" s="233"/>
      <c r="AE75" s="233">
        <f t="shared" si="14"/>
        <v>379532</v>
      </c>
      <c r="AF75" s="233">
        <f>1355224+136405+21747+9468+762+192845+70+37874+11653</f>
        <v>1766048</v>
      </c>
      <c r="AG75" s="233">
        <f t="shared" si="4"/>
        <v>2145580</v>
      </c>
      <c r="AH75" s="233">
        <v>14763.0</v>
      </c>
      <c r="AI75" s="233">
        <v>403160.0</v>
      </c>
      <c r="AJ75" s="233"/>
      <c r="AK75" s="233">
        <f t="shared" si="15"/>
        <v>417923</v>
      </c>
      <c r="AL75" s="233">
        <f>77507+588157+24190+33270+769+184168+82.95+33270+40576+9716.17</f>
        <v>991706.12</v>
      </c>
      <c r="AM75" s="233">
        <f t="shared" si="6"/>
        <v>1409629.12</v>
      </c>
      <c r="AN75" s="233">
        <v>11293.0</v>
      </c>
      <c r="AO75" s="233">
        <v>354428.0</v>
      </c>
      <c r="AP75" s="233"/>
      <c r="AQ75" s="233">
        <f t="shared" si="16"/>
        <v>365721</v>
      </c>
      <c r="AR75" s="233">
        <f>40644+296193+23999+35103+812+188451+81.85+35103+17552+11604</f>
        <v>649542.85</v>
      </c>
      <c r="AS75" s="233">
        <f t="shared" si="8"/>
        <v>1015263.85</v>
      </c>
      <c r="AT75" s="233">
        <v>11741.0</v>
      </c>
      <c r="AU75" s="233">
        <v>358673.0</v>
      </c>
      <c r="AV75" s="233"/>
      <c r="AW75" s="233">
        <f t="shared" si="12"/>
        <v>370414</v>
      </c>
      <c r="AX75" s="233"/>
      <c r="AY75" s="233">
        <f t="shared" si="10"/>
        <v>370414</v>
      </c>
      <c r="BA75" s="234" t="s">
        <v>1662</v>
      </c>
      <c r="BC75" s="240" t="s">
        <v>1663</v>
      </c>
      <c r="BD75" s="235"/>
    </row>
    <row r="76" ht="12.75" customHeight="1">
      <c r="A76" s="202" t="s">
        <v>389</v>
      </c>
      <c r="B76" s="202" t="s">
        <v>389</v>
      </c>
      <c r="C76" s="202" t="s">
        <v>1298</v>
      </c>
      <c r="D76" s="202" t="s">
        <v>1515</v>
      </c>
      <c r="E76" s="236">
        <v>1.777E10</v>
      </c>
      <c r="F76" s="230" t="str">
        <f>IF(ISNUMBER(Table1[[#This Row],[2019 Scope 3 ]]),IF(Table1[[#This Row],[Net Earnings/Income (2019)]]-k_cost*Table1[[#This Row],[2019 Total Scope 1, 2 + 3]]&lt;0,"Y","N"),"NA")</f>
        <v>#ERROR!</v>
      </c>
      <c r="G76" s="62" t="str">
        <f>IF(ISNUMBER(Table1[[#This Row],[2019 Scope 3 ]]),IF(k_cost*Table1[[#This Row],[2019 Total Scope 1, 2 + 3]]/Table1[[#This Row],[Size (2019 Revenue)]]&gt;k_rev_max,"Y","N"),"NA")</f>
        <v>#ERROR!</v>
      </c>
      <c r="H76" s="62" t="str">
        <f>IF(OR(Table1[[#This Row],[Net earnings post carbon price @85/t]]="Y",Table1[[#This Row],[Carbon costs in % revenue]] = "Y"),"Y",IF(OR(Table1[[#This Row],[Net earnings post carbon price @85/t]]="NA",Table1[[#This Row],[Carbon costs in % revenue]]="NA"),"NA","N"))</f>
        <v>#ERROR!</v>
      </c>
      <c r="I76" s="236">
        <v>2.459E9</v>
      </c>
      <c r="J76" s="231">
        <v>2002.0</v>
      </c>
      <c r="K76" s="1" t="s">
        <v>1498</v>
      </c>
      <c r="L76" s="1" t="s">
        <v>1499</v>
      </c>
      <c r="M76" s="240" t="s">
        <v>1498</v>
      </c>
      <c r="P76" s="240"/>
      <c r="R76" s="1" t="s">
        <v>1499</v>
      </c>
      <c r="T76" s="218" t="str">
        <f>IFERROR((Table1[[#This Row],[2019 Total Scope 1, 2 + 3]])/Table1[[#This Row],[2018 Total Scope 1, 2 + Scope 3]]-1,"NA")</f>
        <v>#ERROR!</v>
      </c>
      <c r="V76" s="233">
        <v>9900.0</v>
      </c>
      <c r="W76" s="233">
        <v>47000.0</v>
      </c>
      <c r="X76" s="233"/>
      <c r="Y76" s="233">
        <f t="shared" si="13"/>
        <v>56900</v>
      </c>
      <c r="Z76" s="233">
        <v>32100.0</v>
      </c>
      <c r="AA76" s="233">
        <f t="shared" si="2"/>
        <v>89000</v>
      </c>
      <c r="AB76" s="233">
        <v>10600.0</v>
      </c>
      <c r="AC76" s="233">
        <v>57900.0</v>
      </c>
      <c r="AD76" s="233"/>
      <c r="AE76" s="233">
        <f t="shared" si="14"/>
        <v>68500</v>
      </c>
      <c r="AF76" s="233">
        <v>31100.0</v>
      </c>
      <c r="AG76" s="233">
        <f t="shared" si="4"/>
        <v>99600</v>
      </c>
      <c r="AH76" s="233">
        <v>9600.0</v>
      </c>
      <c r="AI76" s="233">
        <v>57800.0</v>
      </c>
      <c r="AJ76" s="233"/>
      <c r="AK76" s="233">
        <f t="shared" si="15"/>
        <v>67400</v>
      </c>
      <c r="AL76" s="233">
        <v>24500.0</v>
      </c>
      <c r="AM76" s="233">
        <f t="shared" si="6"/>
        <v>91900</v>
      </c>
      <c r="AN76" s="233" t="s">
        <v>536</v>
      </c>
      <c r="AO76" s="233" t="s">
        <v>536</v>
      </c>
      <c r="AP76" s="233"/>
      <c r="AQ76" s="233" t="str">
        <f t="shared" si="16"/>
        <v/>
      </c>
      <c r="AR76" s="233" t="s">
        <v>536</v>
      </c>
      <c r="AS76" s="233" t="str">
        <f t="shared" si="8"/>
        <v/>
      </c>
      <c r="AT76" s="233" t="s">
        <v>536</v>
      </c>
      <c r="AU76" s="233" t="s">
        <v>536</v>
      </c>
      <c r="AV76" s="233"/>
      <c r="AW76" s="233" t="str">
        <f t="shared" si="12"/>
        <v/>
      </c>
      <c r="AX76" s="233" t="s">
        <v>536</v>
      </c>
      <c r="AY76" s="233" t="str">
        <f t="shared" si="10"/>
        <v/>
      </c>
      <c r="AZ76" s="1" t="s">
        <v>1664</v>
      </c>
      <c r="BA76" s="234" t="s">
        <v>1665</v>
      </c>
      <c r="BB76" s="240" t="s">
        <v>1666</v>
      </c>
      <c r="BC76" s="240" t="s">
        <v>1667</v>
      </c>
      <c r="BD76" s="235"/>
    </row>
    <row r="77" ht="12.75" customHeight="1">
      <c r="A77" s="202" t="s">
        <v>394</v>
      </c>
      <c r="B77" s="202" t="s">
        <v>395</v>
      </c>
      <c r="C77" s="202" t="s">
        <v>1306</v>
      </c>
      <c r="D77" s="202" t="s">
        <v>1548</v>
      </c>
      <c r="E77" s="230">
        <v>6.716E10</v>
      </c>
      <c r="F77" s="230" t="str">
        <f>IF(ISNUMBER(Table1[[#This Row],[2019 Scope 3 ]]),IF(Table1[[#This Row],[Net Earnings/Income (2019)]]-k_cost*Table1[[#This Row],[2019 Total Scope 1, 2 + 3]]&lt;0,"Y","N"),"NA")</f>
        <v>#ERROR!</v>
      </c>
      <c r="G77" s="62" t="str">
        <f>IF(ISNUMBER(Table1[[#This Row],[2019 Scope 3 ]]),IF(k_cost*Table1[[#This Row],[2019 Total Scope 1, 2 + 3]]/Table1[[#This Row],[Size (2019 Revenue)]]&gt;k_rev_max,"Y","N"),"NA")</f>
        <v>#ERROR!</v>
      </c>
      <c r="H77" s="62" t="str">
        <f>IF(OR(Table1[[#This Row],[Net earnings post carbon price @85/t]]="Y",Table1[[#This Row],[Carbon costs in % revenue]] = "Y"),"Y",IF(OR(Table1[[#This Row],[Net earnings post carbon price @85/t]]="NA",Table1[[#This Row],[Carbon costs in % revenue]]="NA"),"NA","N"))</f>
        <v>#ERROR!</v>
      </c>
      <c r="I77" s="230">
        <v>7.353E9</v>
      </c>
      <c r="J77" s="231">
        <v>1999.0</v>
      </c>
      <c r="K77" s="230" t="s">
        <v>1498</v>
      </c>
      <c r="L77" s="202" t="s">
        <v>1499</v>
      </c>
      <c r="M77" s="1" t="s">
        <v>1498</v>
      </c>
      <c r="P77" s="240" t="s">
        <v>1668</v>
      </c>
      <c r="R77" s="1" t="s">
        <v>1499</v>
      </c>
      <c r="S77" s="1">
        <v>2020.0</v>
      </c>
      <c r="T77" s="218" t="str">
        <f>IFERROR((Table1[[#This Row],[2019 Total Scope 1, 2 + 3]])/Table1[[#This Row],[2018 Total Scope 1, 2 + Scope 3]]-1,"NA")</f>
        <v>#ERROR!</v>
      </c>
      <c r="V77" s="233">
        <v>3552415.0</v>
      </c>
      <c r="W77" s="233">
        <v>1425255.0</v>
      </c>
      <c r="X77" s="233"/>
      <c r="Y77" s="233">
        <f t="shared" si="13"/>
        <v>4977670</v>
      </c>
      <c r="Z77" s="233">
        <f>33599797+600278+946616+720951+25353+140452+201663+11088559+231426+811130+1843424+255417</f>
        <v>50465066</v>
      </c>
      <c r="AA77" s="233">
        <f t="shared" si="2"/>
        <v>55442736</v>
      </c>
      <c r="AB77" s="233">
        <v>3577266.0</v>
      </c>
      <c r="AC77" s="233">
        <v>1558167.0</v>
      </c>
      <c r="AD77" s="233"/>
      <c r="AE77" s="233">
        <f t="shared" si="14"/>
        <v>5135433</v>
      </c>
      <c r="AF77" s="233">
        <f>39026490+1698930+603560+1161810+60360+121070+506710+9964010+3046900+1195840+1418720+2730730+1282850</f>
        <v>62817980</v>
      </c>
      <c r="AG77" s="233">
        <f t="shared" si="4"/>
        <v>67953413</v>
      </c>
      <c r="AH77" s="233">
        <v>3734520.0</v>
      </c>
      <c r="AI77" s="233">
        <v>1713950.0</v>
      </c>
      <c r="AJ77" s="233"/>
      <c r="AK77" s="233">
        <f t="shared" si="15"/>
        <v>5448470</v>
      </c>
      <c r="AL77" s="233">
        <f>39026490+1698930+603560+1161810+60360+121070+506710+9964010+3046900+1195840+1418720+2730730+1282850</f>
        <v>62817980</v>
      </c>
      <c r="AM77" s="233">
        <f t="shared" si="6"/>
        <v>68266450</v>
      </c>
      <c r="AN77" s="233">
        <v>3798343.0</v>
      </c>
      <c r="AO77" s="233">
        <v>1912298.0</v>
      </c>
      <c r="AP77" s="233"/>
      <c r="AQ77" s="233">
        <f t="shared" si="16"/>
        <v>5710641</v>
      </c>
      <c r="AR77" s="233">
        <f>39026487+1698928+603559+1161808+60356+121072+506714+9964009+3046899+1195843+1418715+2730728+1282853</f>
        <v>62817971</v>
      </c>
      <c r="AS77" s="233">
        <f t="shared" si="8"/>
        <v>68528612</v>
      </c>
      <c r="AT77" s="233">
        <v>3766456.0</v>
      </c>
      <c r="AU77" s="233">
        <v>1985249.0</v>
      </c>
      <c r="AV77" s="233"/>
      <c r="AW77" s="233">
        <f t="shared" si="12"/>
        <v>5751705</v>
      </c>
      <c r="AX77" s="233">
        <v>6.3E7</v>
      </c>
      <c r="AY77" s="233">
        <f t="shared" si="10"/>
        <v>68751705</v>
      </c>
      <c r="BA77" s="240" t="s">
        <v>1669</v>
      </c>
      <c r="BC77" s="240" t="s">
        <v>1670</v>
      </c>
      <c r="BD77" s="235"/>
    </row>
    <row r="78" ht="12.75" customHeight="1">
      <c r="A78" s="202" t="s">
        <v>400</v>
      </c>
      <c r="B78" s="202" t="s">
        <v>401</v>
      </c>
      <c r="C78" s="202" t="s">
        <v>1283</v>
      </c>
      <c r="D78" s="202" t="s">
        <v>1503</v>
      </c>
      <c r="E78" s="230">
        <v>5.175E10</v>
      </c>
      <c r="F78" s="230" t="str">
        <f>IF(ISNUMBER(Table1[[#This Row],[2019 Scope 3 ]]),IF(Table1[[#This Row],[Net Earnings/Income (2019)]]-k_cost*Table1[[#This Row],[2019 Total Scope 1, 2 + 3]]&lt;0,"Y","N"),"NA")</f>
        <v>#ERROR!</v>
      </c>
      <c r="G78" s="62" t="str">
        <f>IF(ISNUMBER(Table1[[#This Row],[2019 Scope 3 ]]),IF(k_cost*Table1[[#This Row],[2019 Total Scope 1, 2 + 3]]/Table1[[#This Row],[Size (2019 Revenue)]]&gt;k_rev_max,"Y","N"),"NA")</f>
        <v>#ERROR!</v>
      </c>
      <c r="H78" s="62" t="str">
        <f>IF(OR(Table1[[#This Row],[Net earnings post carbon price @85/t]]="Y",Table1[[#This Row],[Carbon costs in % revenue]] = "Y"),"Y",IF(OR(Table1[[#This Row],[Net earnings post carbon price @85/t]]="NA",Table1[[#This Row],[Carbon costs in % revenue]]="NA"),"NA","N"))</f>
        <v>#ERROR!</v>
      </c>
      <c r="I78" s="230">
        <v>1.627E10</v>
      </c>
      <c r="J78" s="231">
        <v>1942.0</v>
      </c>
      <c r="K78" s="230" t="s">
        <v>1498</v>
      </c>
      <c r="L78" s="1" t="s">
        <v>1499</v>
      </c>
      <c r="M78" s="1" t="s">
        <v>1498</v>
      </c>
      <c r="P78" s="240" t="s">
        <v>1671</v>
      </c>
      <c r="R78" s="1" t="s">
        <v>1499</v>
      </c>
      <c r="T78" s="218" t="str">
        <f>IFERROR((Table1[[#This Row],[2019 Total Scope 1, 2 + 3]])/Table1[[#This Row],[2018 Total Scope 1, 2 + Scope 3]]-1,"NA")</f>
        <v>#ERROR!</v>
      </c>
      <c r="V78" s="233">
        <v>734638.0</v>
      </c>
      <c r="W78" s="233">
        <v>634205.0</v>
      </c>
      <c r="X78" s="233"/>
      <c r="Y78" s="233">
        <f t="shared" si="13"/>
        <v>1368843</v>
      </c>
      <c r="Z78" s="233">
        <f>3794093+345953+252909+873030+16420+195718+60645+36273+99576</f>
        <v>5674617</v>
      </c>
      <c r="AA78" s="233">
        <f t="shared" si="2"/>
        <v>7043460</v>
      </c>
      <c r="AB78" s="233">
        <v>756964.0</v>
      </c>
      <c r="AC78" s="233">
        <v>905002.0</v>
      </c>
      <c r="AD78" s="233"/>
      <c r="AE78" s="233">
        <f t="shared" si="14"/>
        <v>1661966</v>
      </c>
      <c r="AF78" s="233">
        <f>1562024+855794+265780+416416+11667+347533+92869+35444+85059+7969</f>
        <v>3680555</v>
      </c>
      <c r="AG78" s="233">
        <f t="shared" si="4"/>
        <v>5342521</v>
      </c>
      <c r="AH78" s="233">
        <v>788838.0</v>
      </c>
      <c r="AI78" s="233">
        <v>812923.0</v>
      </c>
      <c r="AJ78" s="233"/>
      <c r="AK78" s="233">
        <f t="shared" si="15"/>
        <v>1601761</v>
      </c>
      <c r="AL78" s="233" t="s">
        <v>536</v>
      </c>
      <c r="AM78" s="233" t="str">
        <f t="shared" si="6"/>
        <v/>
      </c>
      <c r="AN78" s="233">
        <v>940953.0</v>
      </c>
      <c r="AO78" s="233">
        <v>1106924.0</v>
      </c>
      <c r="AP78" s="233"/>
      <c r="AQ78" s="233">
        <f t="shared" si="16"/>
        <v>2047877</v>
      </c>
      <c r="AR78" s="233">
        <f>1239543+1316763+456623+200983+7363+439313+123060+36243</f>
        <v>3819891</v>
      </c>
      <c r="AS78" s="233">
        <f t="shared" si="8"/>
        <v>5867768</v>
      </c>
      <c r="AT78" s="233">
        <v>875274.0</v>
      </c>
      <c r="AU78" s="233">
        <v>625591.0</v>
      </c>
      <c r="AV78" s="233"/>
      <c r="AW78" s="233">
        <f t="shared" si="12"/>
        <v>1500865</v>
      </c>
      <c r="AX78" s="233">
        <f>2135509+956001+342259+126424+6508+147598+134086+89710</f>
        <v>3938095</v>
      </c>
      <c r="AY78" s="233">
        <f t="shared" si="10"/>
        <v>5438960</v>
      </c>
      <c r="AZ78" s="232" t="s">
        <v>1499</v>
      </c>
      <c r="BA78" s="240" t="s">
        <v>1672</v>
      </c>
      <c r="BC78" s="240" t="s">
        <v>1673</v>
      </c>
      <c r="BD78" s="235"/>
    </row>
    <row r="79" ht="12.75" customHeight="1">
      <c r="A79" s="202" t="s">
        <v>406</v>
      </c>
      <c r="B79" s="202" t="s">
        <v>407</v>
      </c>
      <c r="C79" s="202" t="s">
        <v>1306</v>
      </c>
      <c r="D79" s="202" t="s">
        <v>951</v>
      </c>
      <c r="E79" s="230">
        <v>7.982E10</v>
      </c>
      <c r="F79" s="230" t="str">
        <f>IF(ISNUMBER(Table1[[#This Row],[2019 Scope 3 ]]),IF(Table1[[#This Row],[Net Earnings/Income (2019)]]-k_cost*Table1[[#This Row],[2019 Total Scope 1, 2 + 3]]&lt;0,"Y","N"),"NA")</f>
        <v>#ERROR!</v>
      </c>
      <c r="G79" s="62" t="str">
        <f>IF(ISNUMBER(Table1[[#This Row],[2019 Scope 3 ]]),IF(k_cost*Table1[[#This Row],[2019 Total Scope 1, 2 + 3]]/Table1[[#This Row],[Size (2019 Revenue)]]&gt;k_rev_max,"Y","N"),"NA")</f>
        <v>#ERROR!</v>
      </c>
      <c r="H79" s="62" t="str">
        <f>IF(OR(Table1[[#This Row],[Net earnings post carbon price @85/t]]="Y",Table1[[#This Row],[Carbon costs in % revenue]] = "Y"),"Y",IF(OR(Table1[[#This Row],[Net earnings post carbon price @85/t]]="NA",Table1[[#This Row],[Carbon costs in % revenue]]="NA"),"NA","N"))</f>
        <v>#ERROR!</v>
      </c>
      <c r="I79" s="230">
        <v>7.91E9</v>
      </c>
      <c r="J79" s="231">
        <v>2008.0</v>
      </c>
      <c r="K79" s="230" t="s">
        <v>1498</v>
      </c>
      <c r="L79" s="1" t="s">
        <v>1498</v>
      </c>
      <c r="M79" s="1" t="s">
        <v>1498</v>
      </c>
      <c r="N79" s="1">
        <v>2030.0</v>
      </c>
      <c r="O79" s="1">
        <v>2019.0</v>
      </c>
      <c r="P79" s="240" t="s">
        <v>1674</v>
      </c>
      <c r="Q79" s="1" t="s">
        <v>1498</v>
      </c>
      <c r="R79" s="1" t="s">
        <v>1499</v>
      </c>
      <c r="S79" s="1">
        <v>2030.0</v>
      </c>
      <c r="T79" s="218" t="str">
        <f>IFERROR((Table1[[#This Row],[2019 Total Scope 1, 2 + 3]])/Table1[[#This Row],[2018 Total Scope 1, 2 + Scope 3]]-1,"NA")</f>
        <v>#ERROR!</v>
      </c>
      <c r="V79" s="233">
        <f>4682000*0.085</f>
        <v>397970</v>
      </c>
      <c r="W79" s="233">
        <f>4682000*0.034</f>
        <v>159188</v>
      </c>
      <c r="X79" s="233"/>
      <c r="Y79" s="233">
        <f t="shared" si="13"/>
        <v>557158</v>
      </c>
      <c r="Z79" s="233">
        <f>4682000*0.881</f>
        <v>4124842</v>
      </c>
      <c r="AA79" s="233">
        <f t="shared" si="2"/>
        <v>4682000</v>
      </c>
      <c r="AB79" s="233">
        <v>408162.0</v>
      </c>
      <c r="AC79" s="233">
        <v>175785.0</v>
      </c>
      <c r="AD79" s="233"/>
      <c r="AE79" s="233">
        <f t="shared" si="14"/>
        <v>583947</v>
      </c>
      <c r="AF79" s="233">
        <v>4920000.0</v>
      </c>
      <c r="AG79" s="233">
        <f t="shared" si="4"/>
        <v>5503947</v>
      </c>
      <c r="AH79" s="233">
        <v>388384.0</v>
      </c>
      <c r="AI79" s="233">
        <v>241355.0</v>
      </c>
      <c r="AJ79" s="233"/>
      <c r="AK79" s="233">
        <f t="shared" si="15"/>
        <v>629739</v>
      </c>
      <c r="AL79" s="233">
        <v>5137000.0</v>
      </c>
      <c r="AM79" s="233">
        <f t="shared" si="6"/>
        <v>5766739</v>
      </c>
      <c r="AN79" s="233">
        <v>351990.0</v>
      </c>
      <c r="AO79" s="233">
        <v>314049.0</v>
      </c>
      <c r="AP79" s="233"/>
      <c r="AQ79" s="233">
        <f t="shared" si="16"/>
        <v>666039</v>
      </c>
      <c r="AR79" s="233">
        <v>5649000.0</v>
      </c>
      <c r="AS79" s="233">
        <f t="shared" si="8"/>
        <v>6315039</v>
      </c>
      <c r="AT79" s="233">
        <v>361720.0</v>
      </c>
      <c r="AU79" s="233">
        <v>329323.0</v>
      </c>
      <c r="AV79" s="233"/>
      <c r="AW79" s="233">
        <f t="shared" si="12"/>
        <v>691043</v>
      </c>
      <c r="AX79" s="233">
        <v>5690000.0</v>
      </c>
      <c r="AY79" s="233">
        <f t="shared" si="10"/>
        <v>6381043</v>
      </c>
      <c r="BA79" s="240" t="s">
        <v>1675</v>
      </c>
      <c r="BC79" s="240" t="s">
        <v>1676</v>
      </c>
      <c r="BD79" s="235"/>
    </row>
    <row r="80" ht="12.75" customHeight="1">
      <c r="A80" s="202" t="s">
        <v>412</v>
      </c>
      <c r="B80" s="202" t="s">
        <v>413</v>
      </c>
      <c r="C80" s="202" t="s">
        <v>1306</v>
      </c>
      <c r="D80" s="202" t="s">
        <v>1550</v>
      </c>
      <c r="E80" s="230">
        <v>6.768E10</v>
      </c>
      <c r="F80" s="230" t="str">
        <f>IF(ISNUMBER(Table1[[#This Row],[2019 Scope 3 ]]),IF(Table1[[#This Row],[Net Earnings/Income (2019)]]-k_cost*Table1[[#This Row],[2019 Total Scope 1, 2 + 3]]&lt;0,"Y","N"),"NA")</f>
        <v>#ERROR!</v>
      </c>
      <c r="G80" s="62" t="str">
        <f>IF(ISNUMBER(Table1[[#This Row],[2019 Scope 3 ]]),IF(k_cost*Table1[[#This Row],[2019 Total Scope 1, 2 + 3]]/Table1[[#This Row],[Size (2019 Revenue)]]&gt;k_rev_max,"Y","N"),"NA")</f>
        <v>#ERROR!</v>
      </c>
      <c r="H80" s="62" t="str">
        <f>IF(OR(Table1[[#This Row],[Net earnings post carbon price @85/t]]="Y",Table1[[#This Row],[Carbon costs in % revenue]] = "Y"),"Y",IF(OR(Table1[[#This Row],[Net earnings post carbon price @85/t]]="NA",Table1[[#This Row],[Carbon costs in % revenue]]="NA"),"NA","N"))</f>
        <v>#ERROR!</v>
      </c>
      <c r="I80" s="230">
        <v>3.89E9</v>
      </c>
      <c r="J80" s="231">
        <v>1978.0</v>
      </c>
      <c r="K80" s="230" t="s">
        <v>1498</v>
      </c>
      <c r="L80" s="202" t="s">
        <v>1499</v>
      </c>
      <c r="M80" s="1" t="s">
        <v>1498</v>
      </c>
      <c r="P80" s="240" t="s">
        <v>1677</v>
      </c>
      <c r="Q80" s="1" t="s">
        <v>1499</v>
      </c>
      <c r="R80" s="1" t="s">
        <v>1499</v>
      </c>
      <c r="S80" s="1">
        <v>2030.0</v>
      </c>
      <c r="T80" s="218" t="str">
        <f>IFERROR((Table1[[#This Row],[2019 Total Scope 1, 2 + 3]])/Table1[[#This Row],[2018 Total Scope 1, 2 + Scope 3]]-1,"NA")</f>
        <v>#ERROR!</v>
      </c>
      <c r="V80" s="233">
        <v>2210000.0</v>
      </c>
      <c r="W80" s="233">
        <v>1840000.0</v>
      </c>
      <c r="X80" s="233"/>
      <c r="Y80" s="233">
        <f t="shared" si="13"/>
        <v>4050000</v>
      </c>
      <c r="Z80" s="233">
        <f>164210001+247000+495000+9000+151042+117000+3700000+199133000+13251000</f>
        <v>381313043</v>
      </c>
      <c r="AA80" s="233">
        <f t="shared" si="2"/>
        <v>385363043</v>
      </c>
      <c r="AB80" s="233">
        <v>2143000.0</v>
      </c>
      <c r="AC80" s="233">
        <v>1910000.0</v>
      </c>
      <c r="AD80" s="233"/>
      <c r="AE80" s="233">
        <f t="shared" si="14"/>
        <v>4053000</v>
      </c>
      <c r="AF80" s="233">
        <v>2.35218042E8</v>
      </c>
      <c r="AG80" s="233">
        <f t="shared" si="4"/>
        <v>239271042</v>
      </c>
      <c r="AH80" s="233">
        <v>2122000.0</v>
      </c>
      <c r="AI80" s="233">
        <v>2437000.0</v>
      </c>
      <c r="AJ80" s="233"/>
      <c r="AK80" s="233">
        <f t="shared" si="15"/>
        <v>4559000</v>
      </c>
      <c r="AL80" s="233">
        <v>2.35218042E8</v>
      </c>
      <c r="AM80" s="233">
        <f t="shared" si="6"/>
        <v>239777042</v>
      </c>
      <c r="AN80" s="233">
        <v>2099000.0</v>
      </c>
      <c r="AO80" s="233">
        <v>2742000.0</v>
      </c>
      <c r="AP80" s="233"/>
      <c r="AQ80" s="233">
        <f t="shared" si="16"/>
        <v>4841000</v>
      </c>
      <c r="AR80" s="233">
        <v>2.10173353E8</v>
      </c>
      <c r="AS80" s="233">
        <f t="shared" si="8"/>
        <v>215014353</v>
      </c>
      <c r="AT80" s="233">
        <v>2268000.0</v>
      </c>
      <c r="AU80" s="233">
        <v>2881000.0</v>
      </c>
      <c r="AV80" s="233"/>
      <c r="AW80" s="233">
        <f t="shared" si="12"/>
        <v>5149000</v>
      </c>
      <c r="AX80" s="233">
        <v>2.10173353E8</v>
      </c>
      <c r="AY80" s="233">
        <f t="shared" si="10"/>
        <v>215322353</v>
      </c>
      <c r="AZ80" s="240" t="s">
        <v>1678</v>
      </c>
      <c r="BA80" s="240" t="s">
        <v>1679</v>
      </c>
      <c r="BC80" s="240" t="s">
        <v>1680</v>
      </c>
      <c r="BD80" s="235"/>
    </row>
    <row r="81" ht="12.75" customHeight="1">
      <c r="A81" s="202" t="s">
        <v>418</v>
      </c>
      <c r="B81" s="202" t="s">
        <v>419</v>
      </c>
      <c r="C81" s="202" t="s">
        <v>1291</v>
      </c>
      <c r="D81" s="202" t="s">
        <v>1521</v>
      </c>
      <c r="E81" s="236">
        <v>2.427E10</v>
      </c>
      <c r="F81" s="230" t="str">
        <f>IF(ISNUMBER(Table1[[#This Row],[2019 Scope 3 ]]),IF(Table1[[#This Row],[Net Earnings/Income (2019)]]-k_cost*Table1[[#This Row],[2019 Total Scope 1, 2 + 3]]&lt;0,"Y","N"),"NA")</f>
        <v>#ERROR!</v>
      </c>
      <c r="G81" s="62" t="str">
        <f>IF(ISNUMBER(Table1[[#This Row],[2019 Scope 3 ]]),IF(k_cost*Table1[[#This Row],[2019 Total Scope 1, 2 + 3]]/Table1[[#This Row],[Size (2019 Revenue)]]&gt;k_rev_max,"Y","N"),"NA")</f>
        <v>#ERROR!</v>
      </c>
      <c r="H81" s="62" t="str">
        <f>IF(OR(Table1[[#This Row],[Net earnings post carbon price @85/t]]="Y",Table1[[#This Row],[Carbon costs in % revenue]] = "Y"),"Y",IF(OR(Table1[[#This Row],[Net earnings post carbon price @85/t]]="NA",Table1[[#This Row],[Carbon costs in % revenue]]="NA"),"NA","N"))</f>
        <v>#ERROR!</v>
      </c>
      <c r="I81" s="236">
        <v>4.39E9</v>
      </c>
      <c r="J81" s="231">
        <v>1991.0</v>
      </c>
      <c r="K81" s="1" t="s">
        <v>1498</v>
      </c>
      <c r="L81" s="1" t="s">
        <v>1499</v>
      </c>
      <c r="M81" s="1" t="s">
        <v>1499</v>
      </c>
      <c r="P81" s="240" t="s">
        <v>1681</v>
      </c>
      <c r="Q81" s="1" t="s">
        <v>1498</v>
      </c>
      <c r="R81" s="1" t="s">
        <v>1499</v>
      </c>
      <c r="T81" s="218" t="str">
        <f>IFERROR((Table1[[#This Row],[2019 Total Scope 1, 2 + 3]])/Table1[[#This Row],[2018 Total Scope 1, 2 + Scope 3]]-1,"NA")</f>
        <v>#ERROR!</v>
      </c>
      <c r="V81" s="233">
        <v>75290.0</v>
      </c>
      <c r="W81" s="233">
        <v>114060.0</v>
      </c>
      <c r="X81" s="233"/>
      <c r="Y81" s="233">
        <f t="shared" si="13"/>
        <v>189350</v>
      </c>
      <c r="Z81" s="233">
        <v>112252.0</v>
      </c>
      <c r="AA81" s="233">
        <f t="shared" si="2"/>
        <v>301602</v>
      </c>
      <c r="AB81" s="233">
        <v>73832.0</v>
      </c>
      <c r="AC81" s="233">
        <v>120771.0</v>
      </c>
      <c r="AD81" s="233"/>
      <c r="AE81" s="233">
        <f t="shared" si="14"/>
        <v>194603</v>
      </c>
      <c r="AF81" s="233">
        <v>112252.0</v>
      </c>
      <c r="AG81" s="233">
        <f t="shared" si="4"/>
        <v>306855</v>
      </c>
      <c r="AH81" s="233">
        <v>80179.0</v>
      </c>
      <c r="AI81" s="233">
        <v>128298.0</v>
      </c>
      <c r="AJ81" s="233"/>
      <c r="AK81" s="233">
        <f t="shared" si="15"/>
        <v>208477</v>
      </c>
      <c r="AL81" s="233">
        <v>112252.0</v>
      </c>
      <c r="AM81" s="233">
        <f t="shared" si="6"/>
        <v>320729</v>
      </c>
      <c r="AN81" s="233">
        <v>75205.0</v>
      </c>
      <c r="AO81" s="233">
        <v>147681.0</v>
      </c>
      <c r="AP81" s="233"/>
      <c r="AQ81" s="233">
        <f t="shared" si="16"/>
        <v>222886</v>
      </c>
      <c r="AR81" s="233">
        <v>112252.0</v>
      </c>
      <c r="AS81" s="233">
        <f t="shared" si="8"/>
        <v>335138</v>
      </c>
      <c r="AT81" s="233">
        <v>75349.0</v>
      </c>
      <c r="AU81" s="233">
        <v>155288.0</v>
      </c>
      <c r="AV81" s="233"/>
      <c r="AW81" s="233">
        <f t="shared" si="12"/>
        <v>230637</v>
      </c>
      <c r="AX81" s="233">
        <v>38845.0</v>
      </c>
      <c r="AY81" s="233">
        <f t="shared" si="10"/>
        <v>269482</v>
      </c>
      <c r="BA81" s="234" t="s">
        <v>1682</v>
      </c>
      <c r="BC81" s="240" t="s">
        <v>1683</v>
      </c>
      <c r="BD81" s="235"/>
    </row>
    <row r="82" ht="12.75" customHeight="1">
      <c r="A82" s="202" t="s">
        <v>424</v>
      </c>
      <c r="B82" s="202" t="s">
        <v>425</v>
      </c>
      <c r="C82" s="202" t="s">
        <v>1276</v>
      </c>
      <c r="D82" s="202" t="s">
        <v>1532</v>
      </c>
      <c r="E82" s="236">
        <v>2.9176E10</v>
      </c>
      <c r="F82" s="230" t="str">
        <f>IF(ISNUMBER(Table1[[#This Row],[2019 Scope 3 ]]),IF(Table1[[#This Row],[Net Earnings/Income (2019)]]-k_cost*Table1[[#This Row],[2019 Total Scope 1, 2 + 3]]&lt;0,"Y","N"),"NA")</f>
        <v>#ERROR!</v>
      </c>
      <c r="G82" s="62" t="str">
        <f>IF(ISNUMBER(Table1[[#This Row],[2019 Scope 3 ]]),IF(k_cost*Table1[[#This Row],[2019 Total Scope 1, 2 + 3]]/Table1[[#This Row],[Size (2019 Revenue)]]&gt;k_rev_max,"Y","N"),"NA")</f>
        <v>#ERROR!</v>
      </c>
      <c r="H82" s="62" t="str">
        <f>IF(OR(Table1[[#This Row],[Net earnings post carbon price @85/t]]="Y",Table1[[#This Row],[Carbon costs in % revenue]] = "Y"),"Y",IF(OR(Table1[[#This Row],[Net earnings post carbon price @85/t]]="NA",Table1[[#This Row],[Carbon costs in % revenue]]="NA"),"NA","N"))</f>
        <v>#ERROR!</v>
      </c>
      <c r="I82" s="236">
        <v>3.343E9</v>
      </c>
      <c r="J82" s="231">
        <v>1952.0</v>
      </c>
      <c r="K82" s="1" t="s">
        <v>1498</v>
      </c>
      <c r="L82" s="1" t="s">
        <v>1499</v>
      </c>
      <c r="M82" s="1" t="s">
        <v>1499</v>
      </c>
      <c r="P82" s="240" t="s">
        <v>1684</v>
      </c>
      <c r="R82" s="1" t="s">
        <v>1499</v>
      </c>
      <c r="T82" s="218" t="str">
        <f>IFERROR((Table1[[#This Row],[2019 Total Scope 1, 2 + 3]])/Table1[[#This Row],[2018 Total Scope 1, 2 + Scope 3]]-1,"NA")</f>
        <v>#ERROR!</v>
      </c>
      <c r="V82" s="233">
        <v>612307.0</v>
      </c>
      <c r="W82" s="233">
        <v>1114227.0</v>
      </c>
      <c r="X82" s="233"/>
      <c r="Y82" s="233">
        <f t="shared" si="13"/>
        <v>1726534</v>
      </c>
      <c r="Z82" s="233">
        <f>10865507+1263+194470</f>
        <v>11061240</v>
      </c>
      <c r="AA82" s="233">
        <f t="shared" si="2"/>
        <v>12787774</v>
      </c>
      <c r="AB82" s="233" t="s">
        <v>536</v>
      </c>
      <c r="AC82" s="233" t="s">
        <v>536</v>
      </c>
      <c r="AD82" s="233"/>
      <c r="AE82" s="233" t="str">
        <f t="shared" si="14"/>
        <v/>
      </c>
      <c r="AF82" s="233" t="s">
        <v>536</v>
      </c>
      <c r="AG82" s="233" t="str">
        <f t="shared" si="4"/>
        <v/>
      </c>
      <c r="AH82" s="233" t="s">
        <v>536</v>
      </c>
      <c r="AI82" s="233" t="s">
        <v>536</v>
      </c>
      <c r="AJ82" s="233"/>
      <c r="AK82" s="233" t="str">
        <f t="shared" si="15"/>
        <v/>
      </c>
      <c r="AL82" s="233" t="s">
        <v>536</v>
      </c>
      <c r="AM82" s="233" t="str">
        <f t="shared" si="6"/>
        <v/>
      </c>
      <c r="AN82" s="233" t="s">
        <v>536</v>
      </c>
      <c r="AO82" s="233" t="s">
        <v>536</v>
      </c>
      <c r="AP82" s="233"/>
      <c r="AQ82" s="233" t="str">
        <f t="shared" si="16"/>
        <v/>
      </c>
      <c r="AR82" s="233" t="s">
        <v>536</v>
      </c>
      <c r="AS82" s="233" t="str">
        <f t="shared" si="8"/>
        <v/>
      </c>
      <c r="AT82" s="233" t="s">
        <v>536</v>
      </c>
      <c r="AU82" s="233" t="s">
        <v>536</v>
      </c>
      <c r="AV82" s="233"/>
      <c r="AW82" s="233" t="str">
        <f t="shared" si="12"/>
        <v/>
      </c>
      <c r="AX82" s="233" t="s">
        <v>536</v>
      </c>
      <c r="AY82" s="233" t="str">
        <f t="shared" si="10"/>
        <v/>
      </c>
      <c r="BA82" s="234" t="s">
        <v>1685</v>
      </c>
      <c r="BB82" s="240" t="s">
        <v>1686</v>
      </c>
      <c r="BC82" s="240" t="s">
        <v>1687</v>
      </c>
      <c r="BD82" s="235"/>
    </row>
    <row r="83" ht="12.75" customHeight="1">
      <c r="A83" s="202" t="s">
        <v>427</v>
      </c>
      <c r="B83" s="202" t="s">
        <v>427</v>
      </c>
      <c r="C83" s="202" t="s">
        <v>1291</v>
      </c>
      <c r="D83" s="202" t="s">
        <v>1297</v>
      </c>
      <c r="E83" s="230">
        <v>1.328E10</v>
      </c>
      <c r="F83" s="230" t="str">
        <f>IF(ISNUMBER(Table1[[#This Row],[2019 Scope 3 ]]),IF(Table1[[#This Row],[Net Earnings/Income (2019)]]-k_cost*Table1[[#This Row],[2019 Total Scope 1, 2 + 3]]&lt;0,"Y","N"),"NA")</f>
        <v>#ERROR!</v>
      </c>
      <c r="G83" s="62" t="str">
        <f>IF(ISNUMBER(Table1[[#This Row],[2019 Scope 3 ]]),IF(k_cost*Table1[[#This Row],[2019 Total Scope 1, 2 + 3]]/Table1[[#This Row],[Size (2019 Revenue)]]&gt;k_rev_max,"Y","N"),"NA")</f>
        <v>#ERROR!</v>
      </c>
      <c r="H83" s="62" t="str">
        <f>IF(OR(Table1[[#This Row],[Net earnings post carbon price @85/t]]="Y",Table1[[#This Row],[Carbon costs in % revenue]] = "Y"),"Y",IF(OR(Table1[[#This Row],[Net earnings post carbon price @85/t]]="NA",Table1[[#This Row],[Carbon costs in % revenue]]="NA"),"NA","N"))</f>
        <v>#ERROR!</v>
      </c>
      <c r="I83" s="230">
        <v>1.11E9</v>
      </c>
      <c r="J83" s="231">
        <v>2004.0</v>
      </c>
      <c r="K83" s="230" t="s">
        <v>1498</v>
      </c>
      <c r="L83" s="202" t="s">
        <v>1498</v>
      </c>
      <c r="M83" s="240" t="s">
        <v>1498</v>
      </c>
      <c r="N83" s="1">
        <v>2017.0</v>
      </c>
      <c r="P83" s="240" t="s">
        <v>1688</v>
      </c>
      <c r="Q83" s="1" t="s">
        <v>1498</v>
      </c>
      <c r="R83" s="1" t="s">
        <v>1498</v>
      </c>
      <c r="S83" s="1">
        <v>2022.0</v>
      </c>
      <c r="T83" s="218" t="str">
        <f>IFERROR((Table1[[#This Row],[2019 Total Scope 1, 2 + 3]])/Table1[[#This Row],[2018 Total Scope 1, 2 + Scope 3]]-1,"NA")</f>
        <v>#ERROR!</v>
      </c>
      <c r="V83" s="233">
        <v>5000.0</v>
      </c>
      <c r="W83" s="233">
        <v>291000.0</v>
      </c>
      <c r="X83" s="233">
        <f>V83+W83</f>
        <v>296000</v>
      </c>
      <c r="Y83" s="233">
        <f t="shared" si="13"/>
        <v>0</v>
      </c>
      <c r="Z83" s="233">
        <v>181000.0</v>
      </c>
      <c r="AA83" s="233">
        <f t="shared" si="2"/>
        <v>181000</v>
      </c>
      <c r="AB83" s="233">
        <v>4000.0</v>
      </c>
      <c r="AC83" s="233">
        <v>236000.0</v>
      </c>
      <c r="AD83" s="233">
        <f>AB83+AC83</f>
        <v>240000</v>
      </c>
      <c r="AE83" s="233">
        <f t="shared" si="14"/>
        <v>0</v>
      </c>
      <c r="AF83" s="233">
        <v>134000.0</v>
      </c>
      <c r="AG83" s="233">
        <f t="shared" si="4"/>
        <v>134000</v>
      </c>
      <c r="AH83" s="233">
        <v>4000.0</v>
      </c>
      <c r="AI83" s="233">
        <v>174000.0</v>
      </c>
      <c r="AJ83" s="233">
        <f>0.23*(AH83+AI83)</f>
        <v>40940</v>
      </c>
      <c r="AK83" s="233">
        <f t="shared" si="15"/>
        <v>137060</v>
      </c>
      <c r="AL83" s="233">
        <v>99000.0</v>
      </c>
      <c r="AM83" s="233">
        <f t="shared" si="6"/>
        <v>236060</v>
      </c>
      <c r="AN83" s="233">
        <v>3000.0</v>
      </c>
      <c r="AO83" s="233">
        <v>132000.0</v>
      </c>
      <c r="AP83" s="233">
        <f>0.23*(AN83+AO83)</f>
        <v>31050</v>
      </c>
      <c r="AQ83" s="233">
        <f t="shared" si="16"/>
        <v>103950</v>
      </c>
      <c r="AR83" s="233">
        <v>84000.0</v>
      </c>
      <c r="AS83" s="233">
        <f t="shared" si="8"/>
        <v>187950</v>
      </c>
      <c r="AT83" s="233">
        <v>5000.0</v>
      </c>
      <c r="AU83" s="233">
        <v>71000.0</v>
      </c>
      <c r="AV83" s="233"/>
      <c r="AW83" s="233">
        <f t="shared" si="12"/>
        <v>76000</v>
      </c>
      <c r="AX83" s="233">
        <v>56000.0</v>
      </c>
      <c r="AY83" s="233">
        <f t="shared" si="10"/>
        <v>132000</v>
      </c>
      <c r="BA83" s="234" t="s">
        <v>1689</v>
      </c>
      <c r="BB83" s="240" t="s">
        <v>1690</v>
      </c>
      <c r="BC83" s="240" t="s">
        <v>1691</v>
      </c>
      <c r="BD83" s="235"/>
    </row>
    <row r="84" ht="12.75" customHeight="1">
      <c r="A84" s="202" t="s">
        <v>432</v>
      </c>
      <c r="B84" s="202" t="s">
        <v>433</v>
      </c>
      <c r="C84" s="202" t="s">
        <v>1350</v>
      </c>
      <c r="D84" s="202" t="s">
        <v>1542</v>
      </c>
      <c r="E84" s="236">
        <v>3.29E10</v>
      </c>
      <c r="F84" s="230" t="str">
        <f>IF(ISNUMBER(Table1[[#This Row],[2019 Scope 3 ]]),IF(Table1[[#This Row],[Net Earnings/Income (2019)]]-k_cost*Table1[[#This Row],[2019 Total Scope 1, 2 + 3]]&lt;0,"Y","N"),"NA")</f>
        <v>#ERROR!</v>
      </c>
      <c r="G84" s="62" t="str">
        <f>IF(ISNUMBER(Table1[[#This Row],[2019 Scope 3 ]]),IF(k_cost*Table1[[#This Row],[2019 Total Scope 1, 2 + 3]]/Table1[[#This Row],[Size (2019 Revenue)]]&gt;k_rev_max,"Y","N"),"NA")</f>
        <v>#ERROR!</v>
      </c>
      <c r="H84" s="62" t="str">
        <f>IF(OR(Table1[[#This Row],[Net earnings post carbon price @85/t]]="Y",Table1[[#This Row],[Carbon costs in % revenue]] = "Y"),"Y",IF(OR(Table1[[#This Row],[Net earnings post carbon price @85/t]]="NA",Table1[[#This Row],[Carbon costs in % revenue]]="NA"),"NA","N"))</f>
        <v>#ERROR!</v>
      </c>
      <c r="I84" s="236">
        <v>-1.0137E10</v>
      </c>
      <c r="J84" s="231">
        <v>1956.0</v>
      </c>
      <c r="K84" s="1" t="s">
        <v>1498</v>
      </c>
      <c r="L84" s="1" t="s">
        <v>1499</v>
      </c>
      <c r="M84" s="240" t="s">
        <v>1498</v>
      </c>
      <c r="R84" s="1" t="s">
        <v>1499</v>
      </c>
      <c r="T84" s="218" t="str">
        <f>IFERROR((Table1[[#This Row],[2019 Total Scope 1, 2 + 3]])/Table1[[#This Row],[2018 Total Scope 1, 2 + Scope 3]]-1,"NA")</f>
        <v>#ERROR!</v>
      </c>
      <c r="V84" s="233" t="s">
        <v>536</v>
      </c>
      <c r="W84" s="233" t="s">
        <v>536</v>
      </c>
      <c r="X84" s="233"/>
      <c r="Y84" s="233" t="str">
        <f t="shared" si="13"/>
        <v/>
      </c>
      <c r="Z84" s="233" t="s">
        <v>536</v>
      </c>
      <c r="AA84" s="233" t="str">
        <f t="shared" si="2"/>
        <v/>
      </c>
      <c r="AB84" s="233">
        <v>1423000.0</v>
      </c>
      <c r="AC84" s="233">
        <v>642000.0</v>
      </c>
      <c r="AD84" s="233"/>
      <c r="AE84" s="233">
        <f t="shared" si="14"/>
        <v>2065000</v>
      </c>
      <c r="AF84" s="233">
        <v>1185000.0</v>
      </c>
      <c r="AG84" s="233">
        <f t="shared" si="4"/>
        <v>3250000</v>
      </c>
      <c r="AH84" s="233">
        <v>1358000.0</v>
      </c>
      <c r="AI84" s="233">
        <v>561000.0</v>
      </c>
      <c r="AJ84" s="233"/>
      <c r="AK84" s="233">
        <f t="shared" si="15"/>
        <v>1919000</v>
      </c>
      <c r="AL84" s="233">
        <v>911000.0</v>
      </c>
      <c r="AM84" s="233">
        <f t="shared" si="6"/>
        <v>2830000</v>
      </c>
      <c r="AN84" s="233">
        <v>1136000.0</v>
      </c>
      <c r="AO84" s="233">
        <v>704000.0</v>
      </c>
      <c r="AP84" s="233"/>
      <c r="AQ84" s="233">
        <f t="shared" si="16"/>
        <v>1840000</v>
      </c>
      <c r="AR84" s="233">
        <v>876000.0</v>
      </c>
      <c r="AS84" s="233">
        <f t="shared" si="8"/>
        <v>2716000</v>
      </c>
      <c r="AT84" s="233">
        <v>1400000.0</v>
      </c>
      <c r="AU84" s="233">
        <v>577000.0</v>
      </c>
      <c r="AV84" s="233"/>
      <c r="AW84" s="233">
        <f t="shared" si="12"/>
        <v>1977000</v>
      </c>
      <c r="AX84" s="233">
        <v>1057000.0</v>
      </c>
      <c r="AY84" s="233">
        <f t="shared" si="10"/>
        <v>3034000</v>
      </c>
      <c r="AZ84" s="1" t="s">
        <v>1499</v>
      </c>
      <c r="BA84" s="237" t="s">
        <v>1692</v>
      </c>
      <c r="BC84" s="240" t="s">
        <v>1693</v>
      </c>
      <c r="BD84" s="235"/>
    </row>
    <row r="85" ht="12.75" customHeight="1">
      <c r="A85" s="202" t="s">
        <v>435</v>
      </c>
      <c r="B85" s="202" t="s">
        <v>436</v>
      </c>
      <c r="C85" s="202" t="s">
        <v>1314</v>
      </c>
      <c r="D85" s="1" t="s">
        <v>1314</v>
      </c>
      <c r="E85" s="236">
        <v>5.755E9</v>
      </c>
      <c r="F85" s="230" t="str">
        <f>IF(ISNUMBER(Table1[[#This Row],[2019 Scope 3 ]]),IF(Table1[[#This Row],[Net Earnings/Income (2019)]]-k_cost*Table1[[#This Row],[2019 Total Scope 1, 2 + 3]]&lt;0,"Y","N"),"NA")</f>
        <v>#ERROR!</v>
      </c>
      <c r="G85" s="62" t="str">
        <f>IF(ISNUMBER(Table1[[#This Row],[2019 Scope 3 ]]),IF(k_cost*Table1[[#This Row],[2019 Total Scope 1, 2 + 3]]/Table1[[#This Row],[Size (2019 Revenue)]]&gt;k_rev_max,"Y","N"),"NA")</f>
        <v>#ERROR!</v>
      </c>
      <c r="H85" s="62" t="str">
        <f>IF(OR(Table1[[#This Row],[Net earnings post carbon price @85/t]]="Y",Table1[[#This Row],[Carbon costs in % revenue]] = "Y"),"Y",IF(OR(Table1[[#This Row],[Net earnings post carbon price @85/t]]="NA",Table1[[#This Row],[Carbon costs in % revenue]]="NA"),"NA","N"))</f>
        <v>#ERROR!</v>
      </c>
      <c r="I85" s="236">
        <v>2.098E9</v>
      </c>
      <c r="J85" s="231">
        <v>1993.0</v>
      </c>
      <c r="K85" s="1" t="s">
        <v>1498</v>
      </c>
      <c r="L85" s="1" t="s">
        <v>1499</v>
      </c>
      <c r="M85" s="240" t="s">
        <v>1499</v>
      </c>
      <c r="P85" s="1" t="s">
        <v>1694</v>
      </c>
      <c r="R85" s="1" t="s">
        <v>1499</v>
      </c>
      <c r="T85" s="218" t="str">
        <f>IFERROR((Table1[[#This Row],[2019 Total Scope 1, 2 + 3]])/Table1[[#This Row],[2018 Total Scope 1, 2 + Scope 3]]-1,"NA")</f>
        <v>#ERROR!</v>
      </c>
      <c r="V85" s="233">
        <v>16863.186</v>
      </c>
      <c r="W85" s="233">
        <v>249714.82</v>
      </c>
      <c r="X85" s="233"/>
      <c r="Y85" s="233">
        <f t="shared" si="13"/>
        <v>266578.006</v>
      </c>
      <c r="Z85" s="233">
        <f>11746+136900+5154+100+6531+419157</f>
        <v>579588</v>
      </c>
      <c r="AA85" s="233">
        <f t="shared" si="2"/>
        <v>846166.006</v>
      </c>
      <c r="AB85" s="233">
        <v>21923.0</v>
      </c>
      <c r="AC85" s="233">
        <v>287974.0</v>
      </c>
      <c r="AD85" s="233"/>
      <c r="AE85" s="233">
        <f t="shared" si="14"/>
        <v>309897</v>
      </c>
      <c r="AF85" s="233">
        <v>591378.0</v>
      </c>
      <c r="AG85" s="233">
        <f t="shared" si="4"/>
        <v>901275</v>
      </c>
      <c r="AH85" s="233">
        <v>19404.0</v>
      </c>
      <c r="AI85" s="233">
        <v>293618.0</v>
      </c>
      <c r="AJ85" s="233"/>
      <c r="AK85" s="233">
        <f t="shared" si="15"/>
        <v>313022</v>
      </c>
      <c r="AL85" s="233">
        <v>580998.0</v>
      </c>
      <c r="AM85" s="233">
        <f t="shared" si="6"/>
        <v>894020</v>
      </c>
      <c r="AN85" s="233">
        <v>20364.0</v>
      </c>
      <c r="AO85" s="233">
        <v>304405.0</v>
      </c>
      <c r="AP85" s="233"/>
      <c r="AQ85" s="233">
        <f t="shared" si="16"/>
        <v>324769</v>
      </c>
      <c r="AR85" s="233">
        <v>604001.0</v>
      </c>
      <c r="AS85" s="233">
        <f t="shared" si="8"/>
        <v>928770</v>
      </c>
      <c r="AT85" s="233">
        <v>23000.0</v>
      </c>
      <c r="AU85" s="233">
        <v>358862.0</v>
      </c>
      <c r="AV85" s="233"/>
      <c r="AW85" s="233">
        <f t="shared" si="12"/>
        <v>381862</v>
      </c>
      <c r="AX85" s="233">
        <v>618912.0</v>
      </c>
      <c r="AY85" s="233">
        <f t="shared" si="10"/>
        <v>1000774</v>
      </c>
      <c r="BA85" s="234" t="s">
        <v>1695</v>
      </c>
      <c r="BC85" s="240" t="s">
        <v>1696</v>
      </c>
      <c r="BD85" s="235"/>
    </row>
    <row r="86" ht="12.75" customHeight="1">
      <c r="A86" s="202" t="s">
        <v>441</v>
      </c>
      <c r="B86" s="202" t="s">
        <v>441</v>
      </c>
      <c r="C86" s="202" t="s">
        <v>1364</v>
      </c>
      <c r="D86" s="1" t="s">
        <v>1364</v>
      </c>
      <c r="E86" s="236">
        <v>2.1419E10</v>
      </c>
      <c r="F86" s="230" t="str">
        <f>IF(ISNUMBER(Table1[[#This Row],[2019 Scope 3 ]]),IF(Table1[[#This Row],[Net Earnings/Income (2019)]]-k_cost*Table1[[#This Row],[2019 Total Scope 1, 2 + 3]]&lt;0,"Y","N"),"NA")</f>
        <v>#ERROR!</v>
      </c>
      <c r="G86" s="62" t="str">
        <f>IF(ISNUMBER(Table1[[#This Row],[2019 Scope 3 ]]),IF(k_cost*Table1[[#This Row],[2019 Total Scope 1, 2 + 3]]/Table1[[#This Row],[Size (2019 Revenue)]]&gt;k_rev_max,"Y","N"),"NA")</f>
        <v>#ERROR!</v>
      </c>
      <c r="H86" s="62" t="str">
        <f>IF(OR(Table1[[#This Row],[Net earnings post carbon price @85/t]]="Y",Table1[[#This Row],[Carbon costs in % revenue]] = "Y"),"Y",IF(OR(Table1[[#This Row],[Net earnings post carbon price @85/t]]="NA",Table1[[#This Row],[Carbon costs in % revenue]]="NA"),"NA","N"))</f>
        <v>#ERROR!</v>
      </c>
      <c r="I86" s="236">
        <v>3.25E9</v>
      </c>
      <c r="J86" s="231">
        <v>1949.0</v>
      </c>
      <c r="K86" s="1" t="s">
        <v>1498</v>
      </c>
      <c r="L86" s="1" t="s">
        <v>1499</v>
      </c>
      <c r="M86" s="1" t="s">
        <v>1499</v>
      </c>
      <c r="N86" s="1">
        <v>2050.0</v>
      </c>
      <c r="O86" s="245">
        <v>2020.0</v>
      </c>
      <c r="P86" s="240" t="s">
        <v>1697</v>
      </c>
      <c r="R86" s="1" t="s">
        <v>1499</v>
      </c>
      <c r="T86" s="218" t="str">
        <f>IFERROR((Table1[[#This Row],[2019 Total Scope 1, 2 + 3]])/Table1[[#This Row],[2018 Total Scope 1, 2 + Scope 3]]-1,"NA")</f>
        <v>#ERROR!</v>
      </c>
      <c r="V86" s="233">
        <v>8.8213565E7</v>
      </c>
      <c r="W86" s="233">
        <v>35568.0</v>
      </c>
      <c r="X86" s="233"/>
      <c r="Y86" s="233">
        <f t="shared" si="13"/>
        <v>88249133</v>
      </c>
      <c r="Z86" s="233">
        <f>3423778+88879+35260791</f>
        <v>38773448</v>
      </c>
      <c r="AA86" s="233">
        <f t="shared" si="2"/>
        <v>127022581</v>
      </c>
      <c r="AB86" s="233">
        <v>1.02232275E8</v>
      </c>
      <c r="AC86" s="233">
        <v>2142130.48</v>
      </c>
      <c r="AD86" s="233"/>
      <c r="AE86" s="233">
        <f t="shared" si="14"/>
        <v>104374405.5</v>
      </c>
      <c r="AF86" s="233">
        <v>3.7299499E7</v>
      </c>
      <c r="AG86" s="233">
        <f t="shared" si="4"/>
        <v>141673904.5</v>
      </c>
      <c r="AH86" s="233">
        <v>9.7534302E7</v>
      </c>
      <c r="AI86" s="233">
        <v>2701183.0</v>
      </c>
      <c r="AJ86" s="233"/>
      <c r="AK86" s="233">
        <f t="shared" si="15"/>
        <v>100235485</v>
      </c>
      <c r="AL86" s="233">
        <v>3.4630131E7</v>
      </c>
      <c r="AM86" s="233">
        <f t="shared" si="6"/>
        <v>134865616</v>
      </c>
      <c r="AN86" s="233" t="s">
        <v>1499</v>
      </c>
      <c r="AO86" s="233" t="s">
        <v>1499</v>
      </c>
      <c r="AP86" s="233" t="s">
        <v>1499</v>
      </c>
      <c r="AQ86" s="233" t="str">
        <f t="shared" si="16"/>
        <v/>
      </c>
      <c r="AR86" s="233" t="s">
        <v>1499</v>
      </c>
      <c r="AS86" s="233" t="str">
        <f t="shared" si="8"/>
        <v/>
      </c>
      <c r="AT86" s="233" t="s">
        <v>1499</v>
      </c>
      <c r="AU86" s="233" t="s">
        <v>1499</v>
      </c>
      <c r="AV86" s="233" t="s">
        <v>1499</v>
      </c>
      <c r="AW86" s="233" t="str">
        <f t="shared" si="12"/>
        <v/>
      </c>
      <c r="AX86" s="233" t="s">
        <v>1499</v>
      </c>
      <c r="AY86" s="233" t="str">
        <f t="shared" si="10"/>
        <v/>
      </c>
      <c r="AZ86" s="240" t="s">
        <v>1498</v>
      </c>
      <c r="BA86" s="234" t="s">
        <v>1698</v>
      </c>
      <c r="BC86" s="234" t="s">
        <v>1699</v>
      </c>
      <c r="BD86" s="235"/>
    </row>
    <row r="87" ht="12.75" customHeight="1">
      <c r="A87" s="202" t="s">
        <v>446</v>
      </c>
      <c r="B87" s="202" t="s">
        <v>447</v>
      </c>
      <c r="C87" s="202" t="s">
        <v>1376</v>
      </c>
      <c r="D87" s="202" t="s">
        <v>1548</v>
      </c>
      <c r="E87" s="230">
        <v>2.651E10</v>
      </c>
      <c r="F87" s="230" t="str">
        <f>IF(ISNUMBER(Table1[[#This Row],[2019 Scope 3 ]]),IF(Table1[[#This Row],[Net Earnings/Income (2019)]]-k_cost*Table1[[#This Row],[2019 Total Scope 1, 2 + 3]]&lt;0,"Y","N"),"NA")</f>
        <v>#ERROR!</v>
      </c>
      <c r="G87" s="62" t="str">
        <f>IF(ISNUMBER(Table1[[#This Row],[2019 Scope 3 ]]),IF(k_cost*Table1[[#This Row],[2019 Total Scope 1, 2 + 3]]/Table1[[#This Row],[Size (2019 Revenue)]]&gt;k_rev_max,"Y","N"),"NA")</f>
        <v>#ERROR!</v>
      </c>
      <c r="H87" s="62" t="str">
        <f>IF(OR(Table1[[#This Row],[Net earnings post carbon price @85/t]]="Y",Table1[[#This Row],[Carbon costs in % revenue]] = "Y"),"Y",IF(OR(Table1[[#This Row],[Net earnings post carbon price @85/t]]="NA",Table1[[#This Row],[Carbon costs in % revenue]]="NA"),"NA","N"))</f>
        <v>#ERROR!</v>
      </c>
      <c r="I87" s="230">
        <v>3.6E9</v>
      </c>
      <c r="J87" s="231">
        <v>1992.0</v>
      </c>
      <c r="K87" s="230" t="s">
        <v>1498</v>
      </c>
      <c r="L87" s="1" t="s">
        <v>1498</v>
      </c>
      <c r="M87" s="1" t="s">
        <v>1498</v>
      </c>
      <c r="N87" s="1">
        <v>2050.0</v>
      </c>
      <c r="O87" s="1">
        <v>2020.0</v>
      </c>
      <c r="P87" s="240" t="s">
        <v>1700</v>
      </c>
      <c r="R87" s="1" t="s">
        <v>1498</v>
      </c>
      <c r="S87" s="1" t="s">
        <v>1701</v>
      </c>
      <c r="T87" s="218" t="str">
        <f>IFERROR((Table1[[#This Row],[2019 Total Scope 1, 2 + 3]])/Table1[[#This Row],[2018 Total Scope 1, 2 + Scope 3]]-1,"NA")</f>
        <v>#ERROR!</v>
      </c>
      <c r="V87" s="233">
        <v>381198.61</v>
      </c>
      <c r="W87" s="233">
        <v>281700.89</v>
      </c>
      <c r="X87" s="233"/>
      <c r="Y87" s="233">
        <f t="shared" si="13"/>
        <v>662899.5</v>
      </c>
      <c r="Z87" s="233">
        <f>8844532.71+1549767.91+1339261.73+544171.31+1022025.11+19035.53+821116.5+62449.06+149443.2+612189.99</f>
        <v>14963993.05</v>
      </c>
      <c r="AA87" s="233">
        <f t="shared" si="2"/>
        <v>15626892.55</v>
      </c>
      <c r="AB87" s="233">
        <v>319600.0</v>
      </c>
      <c r="AC87" s="233">
        <v>285600.0</v>
      </c>
      <c r="AD87" s="233"/>
      <c r="AE87" s="233">
        <f t="shared" si="14"/>
        <v>605200</v>
      </c>
      <c r="AF87" s="233">
        <v>1.499E7</v>
      </c>
      <c r="AG87" s="233">
        <f t="shared" si="4"/>
        <v>15595200</v>
      </c>
      <c r="AH87" s="233">
        <v>291000.0</v>
      </c>
      <c r="AI87" s="233">
        <v>390000.0</v>
      </c>
      <c r="AJ87" s="233"/>
      <c r="AK87" s="233">
        <f t="shared" si="15"/>
        <v>681000</v>
      </c>
      <c r="AL87" s="233">
        <v>1.59E7</v>
      </c>
      <c r="AM87" s="233">
        <f t="shared" si="6"/>
        <v>16581000</v>
      </c>
      <c r="AN87" s="233">
        <v>321763.0</v>
      </c>
      <c r="AO87" s="233">
        <v>253819.0</v>
      </c>
      <c r="AP87" s="233"/>
      <c r="AQ87" s="233">
        <f t="shared" si="16"/>
        <v>575582</v>
      </c>
      <c r="AR87" s="233">
        <f>9923385+1047965+1395658+660216+1329459+20129+523015+3335+88216+196234</f>
        <v>15187612</v>
      </c>
      <c r="AS87" s="233">
        <f t="shared" si="8"/>
        <v>15763194</v>
      </c>
      <c r="AT87" s="233">
        <v>329002.0</v>
      </c>
      <c r="AU87" s="233">
        <v>513511.0</v>
      </c>
      <c r="AV87" s="233"/>
      <c r="AW87" s="233">
        <f t="shared" si="12"/>
        <v>842513</v>
      </c>
      <c r="AX87" s="233">
        <f>6734410+983792+708554+606066+822171+11525+559173+22523+92406+130145</f>
        <v>10670765</v>
      </c>
      <c r="AY87" s="233">
        <f t="shared" si="10"/>
        <v>11513278</v>
      </c>
      <c r="BA87" s="234" t="s">
        <v>1702</v>
      </c>
      <c r="BC87" s="240" t="s">
        <v>1703</v>
      </c>
      <c r="BD87" s="235"/>
    </row>
    <row r="88" ht="12.75" customHeight="1">
      <c r="A88" s="202" t="s">
        <v>452</v>
      </c>
      <c r="B88" s="202" t="s">
        <v>453</v>
      </c>
      <c r="C88" s="202" t="s">
        <v>1306</v>
      </c>
      <c r="D88" s="202" t="s">
        <v>962</v>
      </c>
      <c r="E88" s="230">
        <v>7.81E10</v>
      </c>
      <c r="F88" s="230" t="str">
        <f>IF(ISNUMBER(Table1[[#This Row],[2019 Scope 3 ]]),IF(Table1[[#This Row],[Net Earnings/Income (2019)]]-k_cost*Table1[[#This Row],[2019 Total Scope 1, 2 + 3]]&lt;0,"Y","N"),"NA")</f>
        <v>#ERROR!</v>
      </c>
      <c r="G88" s="62" t="str">
        <f>IF(ISNUMBER(Table1[[#This Row],[2019 Scope 3 ]]),IF(k_cost*Table1[[#This Row],[2019 Total Scope 1, 2 + 3]]/Table1[[#This Row],[Size (2019 Revenue)]]&gt;k_rev_max,"Y","N"),"NA")</f>
        <v>#ERROR!</v>
      </c>
      <c r="H88" s="62" t="str">
        <f>IF(OR(Table1[[#This Row],[Net earnings post carbon price @85/t]]="Y",Table1[[#This Row],[Carbon costs in % revenue]] = "Y"),"Y",IF(OR(Table1[[#This Row],[Net earnings post carbon price @85/t]]="NA",Table1[[#This Row],[Carbon costs in % revenue]]="NA"),"NA","N"))</f>
        <v>#ERROR!</v>
      </c>
      <c r="I88" s="230">
        <v>3.269E9</v>
      </c>
      <c r="J88" s="231">
        <v>1967.0</v>
      </c>
      <c r="K88" s="230" t="s">
        <v>1498</v>
      </c>
      <c r="L88" s="202" t="s">
        <v>1499</v>
      </c>
      <c r="M88" s="1" t="s">
        <v>1498</v>
      </c>
      <c r="P88" s="240" t="s">
        <v>1704</v>
      </c>
      <c r="R88" s="1" t="s">
        <v>1498</v>
      </c>
      <c r="S88" s="240" t="s">
        <v>1705</v>
      </c>
      <c r="T88" s="244" t="str">
        <f>IFERROR((Table1[[#This Row],[2019 Total Scope 1, 2 + 3]])/Table1[[#This Row],[2018 Total Scope 1, 2 + Scope 3]]-1,"NA")</f>
        <v>#ERROR!</v>
      </c>
      <c r="U88" s="240"/>
      <c r="V88" s="233">
        <v>752552.0</v>
      </c>
      <c r="W88" s="233">
        <v>1545898.0</v>
      </c>
      <c r="X88" s="233"/>
      <c r="Y88" s="233">
        <f t="shared" si="13"/>
        <v>2298450</v>
      </c>
      <c r="Z88" s="233">
        <f>27389000+743000+509000+1655000+271000+22000+585000+5672000+12897000+2306000</f>
        <v>52049000</v>
      </c>
      <c r="AA88" s="233">
        <f t="shared" si="2"/>
        <v>54347450</v>
      </c>
      <c r="AB88" s="233">
        <v>755484.0</v>
      </c>
      <c r="AC88" s="233">
        <v>2108893.0</v>
      </c>
      <c r="AD88" s="233"/>
      <c r="AE88" s="233">
        <f t="shared" si="14"/>
        <v>2864377</v>
      </c>
      <c r="AF88" s="233">
        <f>43284000+1000000+905000+1356000+168000+21000+539000+6950000+23340000+809000+28000</f>
        <v>78400000</v>
      </c>
      <c r="AG88" s="233">
        <f t="shared" si="4"/>
        <v>81264377</v>
      </c>
      <c r="AH88" s="233">
        <v>706176.0</v>
      </c>
      <c r="AI88" s="233">
        <v>2111537.0</v>
      </c>
      <c r="AJ88" s="233"/>
      <c r="AK88" s="233">
        <f t="shared" si="15"/>
        <v>2817713</v>
      </c>
      <c r="AL88" s="233">
        <v>7.84E7</v>
      </c>
      <c r="AM88" s="233">
        <f t="shared" si="6"/>
        <v>81217713</v>
      </c>
      <c r="AN88" s="233">
        <v>730846.0</v>
      </c>
      <c r="AO88" s="233">
        <v>2155763.0</v>
      </c>
      <c r="AP88" s="233"/>
      <c r="AQ88" s="233">
        <f t="shared" si="16"/>
        <v>2886609</v>
      </c>
      <c r="AR88" s="233" t="s">
        <v>536</v>
      </c>
      <c r="AS88" s="233" t="str">
        <f t="shared" si="8"/>
        <v/>
      </c>
      <c r="AT88" s="233">
        <v>581568.0</v>
      </c>
      <c r="AU88" s="233">
        <v>2290938.0</v>
      </c>
      <c r="AV88" s="233"/>
      <c r="AW88" s="233">
        <f t="shared" si="12"/>
        <v>2872506</v>
      </c>
      <c r="AX88" s="233" t="s">
        <v>536</v>
      </c>
      <c r="AY88" s="233" t="str">
        <f t="shared" si="10"/>
        <v/>
      </c>
      <c r="BA88" s="240" t="s">
        <v>1706</v>
      </c>
      <c r="BC88" s="240" t="s">
        <v>1707</v>
      </c>
      <c r="BD88" s="235"/>
    </row>
    <row r="89" ht="12.75" customHeight="1">
      <c r="A89" s="202" t="s">
        <v>458</v>
      </c>
      <c r="B89" s="202" t="s">
        <v>458</v>
      </c>
      <c r="C89" s="202" t="s">
        <v>1291</v>
      </c>
      <c r="D89" s="202" t="s">
        <v>1521</v>
      </c>
      <c r="E89" s="236">
        <v>1.4318E10</v>
      </c>
      <c r="F89" s="230" t="str">
        <f>IF(ISNUMBER(Table1[[#This Row],[2019 Scope 3 ]]),IF(Table1[[#This Row],[Net Earnings/Income (2019)]]-k_cost*Table1[[#This Row],[2019 Total Scope 1, 2 + 3]]&lt;0,"Y","N"),"NA")</f>
        <v>#ERROR!</v>
      </c>
      <c r="G89" s="62" t="str">
        <f>IF(ISNUMBER(Table1[[#This Row],[2019 Scope 3 ]]),IF(k_cost*Table1[[#This Row],[2019 Total Scope 1, 2 + 3]]/Table1[[#This Row],[Size (2019 Revenue)]]&gt;k_rev_max,"Y","N"),"NA")</f>
        <v>#ERROR!</v>
      </c>
      <c r="H89" s="62" t="str">
        <f>IF(OR(Table1[[#This Row],[Net earnings post carbon price @85/t]]="Y",Table1[[#This Row],[Carbon costs in % revenue]] = "Y"),"Y",IF(OR(Table1[[#This Row],[Net earnings post carbon price @85/t]]="NA",Table1[[#This Row],[Carbon costs in % revenue]]="NA"),"NA","N"))</f>
        <v>#ERROR!</v>
      </c>
      <c r="I89" s="236">
        <v>5.02E9</v>
      </c>
      <c r="J89" s="231">
        <v>1953.0</v>
      </c>
      <c r="K89" s="1" t="s">
        <v>1498</v>
      </c>
      <c r="L89" s="1" t="s">
        <v>1499</v>
      </c>
      <c r="M89" s="1" t="s">
        <v>1499</v>
      </c>
      <c r="P89" s="240" t="s">
        <v>1708</v>
      </c>
      <c r="Q89" s="1" t="s">
        <v>1498</v>
      </c>
      <c r="R89" s="1" t="s">
        <v>1499</v>
      </c>
      <c r="T89" s="218" t="str">
        <f>IFERROR((Table1[[#This Row],[2019 Total Scope 1, 2 + 3]])/Table1[[#This Row],[2018 Total Scope 1, 2 + Scope 3]]-1,"NA")</f>
        <v>#ERROR!</v>
      </c>
      <c r="V89" s="233">
        <v>966579.0</v>
      </c>
      <c r="W89" s="233">
        <v>13430.0</v>
      </c>
      <c r="X89" s="233"/>
      <c r="Y89" s="233">
        <f t="shared" si="13"/>
        <v>980009</v>
      </c>
      <c r="Z89" s="233" t="s">
        <v>536</v>
      </c>
      <c r="AA89" s="233" t="str">
        <f t="shared" si="2"/>
        <v/>
      </c>
      <c r="AB89" s="233">
        <v>1157549.0</v>
      </c>
      <c r="AC89" s="233">
        <v>1110819.0</v>
      </c>
      <c r="AD89" s="233"/>
      <c r="AE89" s="233">
        <f t="shared" si="14"/>
        <v>2268368</v>
      </c>
      <c r="AF89" s="233" t="s">
        <v>536</v>
      </c>
      <c r="AG89" s="233" t="str">
        <f t="shared" si="4"/>
        <v/>
      </c>
      <c r="AH89" s="233">
        <v>1161654.0</v>
      </c>
      <c r="AI89" s="233">
        <v>1256755.0</v>
      </c>
      <c r="AJ89" s="233"/>
      <c r="AK89" s="233">
        <f t="shared" si="15"/>
        <v>2418409</v>
      </c>
      <c r="AL89" s="233" t="s">
        <v>536</v>
      </c>
      <c r="AM89" s="233" t="str">
        <f t="shared" si="6"/>
        <v/>
      </c>
      <c r="AN89" s="233">
        <v>1076947.0</v>
      </c>
      <c r="AO89" s="233">
        <v>1319215.0</v>
      </c>
      <c r="AP89" s="233"/>
      <c r="AQ89" s="233">
        <f t="shared" si="16"/>
        <v>2396162</v>
      </c>
      <c r="AR89" s="233" t="s">
        <v>536</v>
      </c>
      <c r="AS89" s="233" t="str">
        <f t="shared" si="8"/>
        <v/>
      </c>
      <c r="AT89" s="233">
        <v>1085622.0</v>
      </c>
      <c r="AU89" s="233">
        <v>1322813.0</v>
      </c>
      <c r="AV89" s="233"/>
      <c r="AW89" s="233">
        <f t="shared" si="12"/>
        <v>2408435</v>
      </c>
      <c r="AX89" s="233" t="s">
        <v>536</v>
      </c>
      <c r="AY89" s="233" t="str">
        <f t="shared" si="10"/>
        <v/>
      </c>
      <c r="AZ89" s="240" t="s">
        <v>1498</v>
      </c>
      <c r="BA89" s="234" t="s">
        <v>1709</v>
      </c>
      <c r="BC89" s="240" t="s">
        <v>1710</v>
      </c>
      <c r="BD89" s="235"/>
    </row>
    <row r="90" ht="12.75" customHeight="1">
      <c r="A90" s="202" t="s">
        <v>463</v>
      </c>
      <c r="B90" s="202" t="s">
        <v>464</v>
      </c>
      <c r="C90" s="202" t="s">
        <v>1298</v>
      </c>
      <c r="D90" s="202" t="s">
        <v>1530</v>
      </c>
      <c r="E90" s="236">
        <v>2.082E10</v>
      </c>
      <c r="F90" s="230" t="str">
        <f>IF(ISNUMBER(Table1[[#This Row],[2019 Scope 3 ]]),IF(Table1[[#This Row],[Net Earnings/Income (2019)]]-k_cost*Table1[[#This Row],[2019 Total Scope 1, 2 + 3]]&lt;0,"Y","N"),"NA")</f>
        <v>#ERROR!</v>
      </c>
      <c r="G90" s="62" t="str">
        <f>IF(ISNUMBER(Table1[[#This Row],[2019 Scope 3 ]]),IF(k_cost*Table1[[#This Row],[2019 Total Scope 1, 2 + 3]]/Table1[[#This Row],[Size (2019 Revenue)]]&gt;k_rev_max,"Y","N"),"NA")</f>
        <v>#ERROR!</v>
      </c>
      <c r="H90" s="62" t="str">
        <f>IF(OR(Table1[[#This Row],[Net earnings post carbon price @85/t]]="Y",Table1[[#This Row],[Carbon costs in % revenue]] = "Y"),"Y",IF(OR(Table1[[#This Row],[Net earnings post carbon price @85/t]]="NA",Table1[[#This Row],[Carbon costs in % revenue]]="NA"),"NA","N"))</f>
        <v>#ERROR!</v>
      </c>
      <c r="I90" s="236">
        <v>4.25E9</v>
      </c>
      <c r="J90" s="231">
        <v>1784.0</v>
      </c>
      <c r="K90" s="202" t="s">
        <v>1498</v>
      </c>
      <c r="L90" s="202" t="s">
        <v>1498</v>
      </c>
      <c r="M90" s="1" t="s">
        <v>1499</v>
      </c>
      <c r="N90" s="1">
        <v>2015.0</v>
      </c>
      <c r="O90" s="1">
        <v>2008.0</v>
      </c>
      <c r="P90" s="216" t="s">
        <v>1499</v>
      </c>
      <c r="Q90" s="1" t="s">
        <v>1498</v>
      </c>
      <c r="R90" s="202" t="s">
        <v>1499</v>
      </c>
      <c r="S90" s="202" t="s">
        <v>1499</v>
      </c>
      <c r="T90" s="218" t="str">
        <f>IFERROR((Table1[[#This Row],[2019 Total Scope 1, 2 + 3]])/Table1[[#This Row],[2018 Total Scope 1, 2 + Scope 3]]-1,"NA")</f>
        <v>#ERROR!</v>
      </c>
      <c r="U90" s="202"/>
      <c r="V90" s="233">
        <v>8102.0</v>
      </c>
      <c r="W90" s="233">
        <v>3397.0</v>
      </c>
      <c r="X90" s="233">
        <v>31457.0</v>
      </c>
      <c r="Y90" s="233">
        <f t="shared" si="13"/>
        <v>-19958</v>
      </c>
      <c r="Z90" s="233">
        <v>14605.0</v>
      </c>
      <c r="AA90" s="233">
        <f t="shared" si="2"/>
        <v>-5353</v>
      </c>
      <c r="AB90" s="233">
        <v>8000.0</v>
      </c>
      <c r="AC90" s="233">
        <v>2500.0</v>
      </c>
      <c r="AD90" s="233">
        <v>32000.0</v>
      </c>
      <c r="AE90" s="233">
        <f t="shared" si="14"/>
        <v>-21500</v>
      </c>
      <c r="AF90" s="233">
        <v>17200.0</v>
      </c>
      <c r="AG90" s="233">
        <f t="shared" si="4"/>
        <v>-4300</v>
      </c>
      <c r="AH90" s="233">
        <v>8265.0</v>
      </c>
      <c r="AI90" s="233">
        <v>2248.0</v>
      </c>
      <c r="AJ90" s="233">
        <v>38000.0</v>
      </c>
      <c r="AK90" s="233">
        <f t="shared" si="15"/>
        <v>-27487</v>
      </c>
      <c r="AL90" s="233">
        <v>17944.0</v>
      </c>
      <c r="AM90" s="233">
        <f t="shared" si="6"/>
        <v>-9543</v>
      </c>
      <c r="AN90" s="233">
        <v>9000.0</v>
      </c>
      <c r="AO90" s="233">
        <v>3350.0</v>
      </c>
      <c r="AP90" s="233">
        <v>32000.0</v>
      </c>
      <c r="AQ90" s="233">
        <f t="shared" si="16"/>
        <v>-19650</v>
      </c>
      <c r="AR90" s="233">
        <v>19700.0</v>
      </c>
      <c r="AS90" s="233">
        <f t="shared" si="8"/>
        <v>50</v>
      </c>
      <c r="AT90" s="233"/>
      <c r="AU90" s="233"/>
      <c r="AV90" s="233"/>
      <c r="AW90" s="233">
        <f t="shared" si="12"/>
        <v>0</v>
      </c>
      <c r="AX90" s="233"/>
      <c r="AY90" s="233">
        <f t="shared" si="10"/>
        <v>0</v>
      </c>
      <c r="BA90" s="234" t="s">
        <v>1711</v>
      </c>
      <c r="BD90" s="235"/>
    </row>
    <row r="91" ht="12.75" customHeight="1">
      <c r="A91" s="202" t="s">
        <v>469</v>
      </c>
      <c r="B91" s="202" t="s">
        <v>470</v>
      </c>
      <c r="C91" s="202" t="s">
        <v>1302</v>
      </c>
      <c r="D91" s="202" t="s">
        <v>1541</v>
      </c>
      <c r="E91" s="236">
        <v>6.957E10</v>
      </c>
      <c r="F91" s="230" t="str">
        <f>IF(ISNUMBER(Table1[[#This Row],[2019 Scope 3 ]]),IF(Table1[[#This Row],[Net Earnings/Income (2019)]]-k_cost*Table1[[#This Row],[2019 Total Scope 1, 2 + 3]]&lt;0,"Y","N"),"NA")</f>
        <v>#ERROR!</v>
      </c>
      <c r="G91" s="62" t="str">
        <f>IF(ISNUMBER(Table1[[#This Row],[2019 Scope 3 ]]),IF(k_cost*Table1[[#This Row],[2019 Total Scope 1, 2 + 3]]/Table1[[#This Row],[Size (2019 Revenue)]]&gt;k_rev_max,"Y","N"),"NA")</f>
        <v>#ERROR!</v>
      </c>
      <c r="H91" s="62" t="str">
        <f>IF(OR(Table1[[#This Row],[Net earnings post carbon price @85/t]]="Y",Table1[[#This Row],[Carbon costs in % revenue]] = "Y"),"Y",IF(OR(Table1[[#This Row],[Net earnings post carbon price @85/t]]="NA",Table1[[#This Row],[Carbon costs in % revenue]]="NA"),"NA","N"))</f>
        <v>#ERROR!</v>
      </c>
      <c r="I91" s="236">
        <v>1.105E10</v>
      </c>
      <c r="J91" s="231">
        <v>1957.0</v>
      </c>
      <c r="K91" s="1" t="s">
        <v>1498</v>
      </c>
      <c r="L91" s="1" t="s">
        <v>1499</v>
      </c>
      <c r="M91" s="1" t="s">
        <v>1499</v>
      </c>
      <c r="P91" s="240" t="s">
        <v>1712</v>
      </c>
      <c r="R91" s="1" t="s">
        <v>1499</v>
      </c>
      <c r="T91" s="218" t="str">
        <f>IFERROR((Table1[[#This Row],[2019 Total Scope 1, 2 + 3]])/Table1[[#This Row],[2018 Total Scope 1, 2 + Scope 3]]-1,"NA")</f>
        <v>#ERROR!</v>
      </c>
      <c r="V91" s="233">
        <v>855073.0</v>
      </c>
      <c r="W91" s="233">
        <v>931544.0</v>
      </c>
      <c r="X91" s="233"/>
      <c r="Y91" s="233">
        <f t="shared" si="13"/>
        <v>1786617</v>
      </c>
      <c r="Z91" s="233" t="s">
        <v>536</v>
      </c>
      <c r="AA91" s="233" t="str">
        <f t="shared" si="2"/>
        <v/>
      </c>
      <c r="AB91" s="233">
        <v>897523.0</v>
      </c>
      <c r="AC91" s="233">
        <v>975778.0</v>
      </c>
      <c r="AD91" s="233"/>
      <c r="AE91" s="233">
        <f t="shared" si="14"/>
        <v>1873301</v>
      </c>
      <c r="AF91" s="233" t="s">
        <v>536</v>
      </c>
      <c r="AG91" s="233" t="str">
        <f t="shared" si="4"/>
        <v/>
      </c>
      <c r="AH91" s="233">
        <v>843275.0</v>
      </c>
      <c r="AI91" s="233">
        <v>1002150.0</v>
      </c>
      <c r="AJ91" s="233"/>
      <c r="AK91" s="233">
        <f t="shared" si="15"/>
        <v>1845425</v>
      </c>
      <c r="AL91" s="233" t="s">
        <v>536</v>
      </c>
      <c r="AM91" s="233" t="str">
        <f t="shared" si="6"/>
        <v/>
      </c>
      <c r="AN91" s="233">
        <v>865577.0</v>
      </c>
      <c r="AO91" s="233">
        <v>909738.0</v>
      </c>
      <c r="AP91" s="233"/>
      <c r="AQ91" s="233">
        <f t="shared" si="16"/>
        <v>1775315</v>
      </c>
      <c r="AR91" s="233" t="s">
        <v>536</v>
      </c>
      <c r="AS91" s="233" t="str">
        <f t="shared" si="8"/>
        <v/>
      </c>
      <c r="AT91" s="233">
        <v>851038.0</v>
      </c>
      <c r="AU91" s="233">
        <v>917030.0</v>
      </c>
      <c r="AV91" s="233"/>
      <c r="AW91" s="233">
        <f t="shared" si="12"/>
        <v>1768068</v>
      </c>
      <c r="AX91" s="233" t="s">
        <v>536</v>
      </c>
      <c r="AY91" s="233" t="str">
        <f t="shared" si="10"/>
        <v/>
      </c>
      <c r="BA91" s="240" t="s">
        <v>1713</v>
      </c>
      <c r="BC91" s="240" t="s">
        <v>1714</v>
      </c>
      <c r="BD91" s="235"/>
    </row>
    <row r="92" ht="12.75" customHeight="1">
      <c r="A92" s="202" t="s">
        <v>475</v>
      </c>
      <c r="B92" s="202" t="s">
        <v>476</v>
      </c>
      <c r="C92" s="202" t="s">
        <v>1283</v>
      </c>
      <c r="D92" s="202" t="s">
        <v>1559</v>
      </c>
      <c r="E92" s="236">
        <v>2.554E10</v>
      </c>
      <c r="F92" s="230" t="str">
        <f>IF(ISNUMBER(Table1[[#This Row],[2019 Scope 3 ]]),IF(Table1[[#This Row],[Net Earnings/Income (2019)]]-k_cost*Table1[[#This Row],[2019 Total Scope 1, 2 + 3]]&lt;0,"Y","N"),"NA")</f>
        <v>#ERROR!</v>
      </c>
      <c r="G92" s="62" t="str">
        <f>IF(ISNUMBER(Table1[[#This Row],[2019 Scope 3 ]]),IF(k_cost*Table1[[#This Row],[2019 Total Scope 1, 2 + 3]]/Table1[[#This Row],[Size (2019 Revenue)]]&gt;k_rev_max,"Y","N"),"NA")</f>
        <v>#ERROR!</v>
      </c>
      <c r="H92" s="62" t="str">
        <f>IF(OR(Table1[[#This Row],[Net earnings post carbon price @85/t]]="Y",Table1[[#This Row],[Carbon costs in % revenue]] = "Y"),"Y",IF(OR(Table1[[#This Row],[Net earnings post carbon price @85/t]]="NA",Table1[[#This Row],[Carbon costs in % revenue]]="NA"),"NA","N"))</f>
        <v>#ERROR!</v>
      </c>
      <c r="I92" s="236">
        <v>3.696E9</v>
      </c>
      <c r="J92" s="231">
        <v>1965.0</v>
      </c>
      <c r="K92" s="1" t="s">
        <v>1498</v>
      </c>
      <c r="L92" s="1" t="s">
        <v>1499</v>
      </c>
      <c r="M92" s="1" t="s">
        <v>1499</v>
      </c>
      <c r="R92" s="1" t="s">
        <v>1499</v>
      </c>
      <c r="T92" s="218" t="str">
        <f>IFERROR((Table1[[#This Row],[2019 Total Scope 1, 2 + 3]])/Table1[[#This Row],[2018 Total Scope 1, 2 + Scope 3]]-1,"NA")</f>
        <v>#ERROR!</v>
      </c>
      <c r="V92" s="233" t="s">
        <v>536</v>
      </c>
      <c r="W92" s="233" t="s">
        <v>536</v>
      </c>
      <c r="X92" s="233"/>
      <c r="Y92" s="233" t="str">
        <f t="shared" si="13"/>
        <v/>
      </c>
      <c r="Z92" s="233" t="s">
        <v>536</v>
      </c>
      <c r="AA92" s="233" t="str">
        <f t="shared" si="2"/>
        <v/>
      </c>
      <c r="AB92" s="233">
        <v>147521.62</v>
      </c>
      <c r="AC92" s="233">
        <v>690767.33</v>
      </c>
      <c r="AD92" s="233"/>
      <c r="AE92" s="233">
        <f t="shared" si="14"/>
        <v>838288.95</v>
      </c>
      <c r="AF92" s="233" t="s">
        <v>536</v>
      </c>
      <c r="AG92" s="233" t="str">
        <f t="shared" si="4"/>
        <v/>
      </c>
      <c r="AH92" s="233">
        <v>70255.0</v>
      </c>
      <c r="AI92" s="233">
        <v>408244.0</v>
      </c>
      <c r="AJ92" s="233"/>
      <c r="AK92" s="233">
        <f t="shared" si="15"/>
        <v>478499</v>
      </c>
      <c r="AL92" s="233">
        <v>206994.0</v>
      </c>
      <c r="AM92" s="233">
        <f t="shared" si="6"/>
        <v>685493</v>
      </c>
      <c r="AN92" s="233">
        <v>83529.0</v>
      </c>
      <c r="AO92" s="233">
        <v>305579.0</v>
      </c>
      <c r="AP92" s="233"/>
      <c r="AQ92" s="233">
        <f t="shared" si="16"/>
        <v>389108</v>
      </c>
      <c r="AR92" s="233"/>
      <c r="AS92" s="233">
        <f t="shared" si="8"/>
        <v>389108</v>
      </c>
      <c r="AT92" s="233">
        <v>92458.0</v>
      </c>
      <c r="AU92" s="233">
        <v>301234.0</v>
      </c>
      <c r="AV92" s="233"/>
      <c r="AW92" s="233">
        <f t="shared" si="12"/>
        <v>393692</v>
      </c>
      <c r="AX92" s="233"/>
      <c r="AY92" s="233">
        <f t="shared" si="10"/>
        <v>393692</v>
      </c>
      <c r="BA92" s="234" t="s">
        <v>1715</v>
      </c>
      <c r="BC92" s="240" t="s">
        <v>1716</v>
      </c>
      <c r="BD92" s="235"/>
    </row>
    <row r="93" ht="12.75" customHeight="1">
      <c r="A93" s="202" t="s">
        <v>478</v>
      </c>
      <c r="B93" s="202" t="s">
        <v>479</v>
      </c>
      <c r="C93" s="202" t="s">
        <v>1276</v>
      </c>
      <c r="D93" s="202" t="s">
        <v>1571</v>
      </c>
      <c r="E93" s="236">
        <v>2.17E10</v>
      </c>
      <c r="F93" s="230" t="str">
        <f>IF(ISNUMBER(Table1[[#This Row],[2019 Scope 3 ]]),IF(Table1[[#This Row],[Net Earnings/Income (2019)]]-k_cost*Table1[[#This Row],[2019 Total Scope 1, 2 + 3]]&lt;0,"Y","N"),"NA")</f>
        <v>#ERROR!</v>
      </c>
      <c r="G93" s="62" t="str">
        <f>IF(ISNUMBER(Table1[[#This Row],[2019 Scope 3 ]]),IF(k_cost*Table1[[#This Row],[2019 Total Scope 1, 2 + 3]]/Table1[[#This Row],[Size (2019 Revenue)]]&gt;k_rev_max,"Y","N"),"NA")</f>
        <v>#ERROR!</v>
      </c>
      <c r="H93" s="62" t="str">
        <f>IF(OR(Table1[[#This Row],[Net earnings post carbon price @85/t]]="Y",Table1[[#This Row],[Carbon costs in % revenue]] = "Y"),"Y",IF(OR(Table1[[#This Row],[Net earnings post carbon price @85/t]]="NA",Table1[[#This Row],[Carbon costs in % revenue]]="NA"),"NA","N"))</f>
        <v>#ERROR!</v>
      </c>
      <c r="I93" s="236">
        <v>5.9E9</v>
      </c>
      <c r="J93" s="231"/>
      <c r="K93" s="1" t="s">
        <v>1498</v>
      </c>
      <c r="L93" s="1" t="s">
        <v>1499</v>
      </c>
      <c r="M93" s="240" t="s">
        <v>1498</v>
      </c>
      <c r="R93" s="1" t="s">
        <v>1499</v>
      </c>
      <c r="T93" s="218" t="str">
        <f>IFERROR((Table1[[#This Row],[2019 Total Scope 1, 2 + 3]])/Table1[[#This Row],[2018 Total Scope 1, 2 + Scope 3]]-1,"NA")</f>
        <v>#ERROR!</v>
      </c>
      <c r="V93" s="233">
        <v>9688964.0</v>
      </c>
      <c r="W93" s="233">
        <f>10415469-V93</f>
        <v>726505</v>
      </c>
      <c r="X93" s="233"/>
      <c r="Y93" s="233">
        <f t="shared" si="13"/>
        <v>10415469</v>
      </c>
      <c r="Z93" s="233">
        <v>15495.0</v>
      </c>
      <c r="AA93" s="233">
        <f t="shared" si="2"/>
        <v>10430964</v>
      </c>
      <c r="AB93" s="233">
        <v>1.0874731E7</v>
      </c>
      <c r="AC93" s="233">
        <f>11760366-AB93</f>
        <v>885635</v>
      </c>
      <c r="AD93" s="233"/>
      <c r="AE93" s="233">
        <f t="shared" si="14"/>
        <v>11760366</v>
      </c>
      <c r="AF93" s="233">
        <v>17138.0</v>
      </c>
      <c r="AG93" s="233">
        <f t="shared" si="4"/>
        <v>11777504</v>
      </c>
      <c r="AH93" s="233">
        <v>1.0216978E7</v>
      </c>
      <c r="AI93" s="233">
        <f>10989985-AH93</f>
        <v>773007</v>
      </c>
      <c r="AJ93" s="233"/>
      <c r="AK93" s="233">
        <f t="shared" si="15"/>
        <v>10989985</v>
      </c>
      <c r="AL93" s="233">
        <v>18466.0</v>
      </c>
      <c r="AM93" s="233">
        <f t="shared" si="6"/>
        <v>11008451</v>
      </c>
      <c r="AN93" s="233">
        <v>9913870.0</v>
      </c>
      <c r="AO93" s="233">
        <f>10685250-AN93</f>
        <v>771380</v>
      </c>
      <c r="AP93" s="233"/>
      <c r="AQ93" s="233">
        <f t="shared" si="16"/>
        <v>10685250</v>
      </c>
      <c r="AR93" s="233">
        <v>18603.0</v>
      </c>
      <c r="AS93" s="233">
        <f t="shared" si="8"/>
        <v>10703853</v>
      </c>
      <c r="AT93" s="233">
        <v>1.0834984E7</v>
      </c>
      <c r="AU93" s="233">
        <f>11683549 -AT93</f>
        <v>848565</v>
      </c>
      <c r="AV93" s="233"/>
      <c r="AW93" s="233">
        <f t="shared" si="12"/>
        <v>11683549</v>
      </c>
      <c r="AX93" s="233">
        <v>19803.0</v>
      </c>
      <c r="AY93" s="233">
        <f t="shared" si="10"/>
        <v>11703352</v>
      </c>
      <c r="AZ93" s="240" t="s">
        <v>1717</v>
      </c>
      <c r="BA93" s="234" t="s">
        <v>1718</v>
      </c>
      <c r="BC93" s="240" t="s">
        <v>1719</v>
      </c>
      <c r="BD93" s="235"/>
    </row>
    <row r="94" ht="12.75" customHeight="1">
      <c r="A94" s="202" t="s">
        <v>484</v>
      </c>
      <c r="B94" s="202" t="s">
        <v>484</v>
      </c>
      <c r="C94" s="202" t="s">
        <v>1283</v>
      </c>
      <c r="D94" s="202" t="s">
        <v>1720</v>
      </c>
      <c r="E94" s="236">
        <v>2.422E11</v>
      </c>
      <c r="F94" s="230" t="str">
        <f>IF(ISNUMBER(Table1[[#This Row],[2019 Scope 3 ]]),IF(Table1[[#This Row],[Net Earnings/Income (2019)]]-k_cost*Table1[[#This Row],[2019 Total Scope 1, 2 + 3]]&lt;0,"Y","N"),"NA")</f>
        <v>#ERROR!</v>
      </c>
      <c r="G94" s="62" t="str">
        <f>IF(ISNUMBER(Table1[[#This Row],[2019 Scope 3 ]]),IF(k_cost*Table1[[#This Row],[2019 Total Scope 1, 2 + 3]]/Table1[[#This Row],[Size (2019 Revenue)]]&gt;k_rev_max,"Y","N"),"NA")</f>
        <v>#ERROR!</v>
      </c>
      <c r="H94" s="62" t="str">
        <f>IF(OR(Table1[[#This Row],[Net earnings post carbon price @85/t]]="Y",Table1[[#This Row],[Carbon costs in % revenue]] = "Y"),"Y",IF(OR(Table1[[#This Row],[Net earnings post carbon price @85/t]]="NA",Table1[[#This Row],[Carbon costs in % revenue]]="NA"),"NA","N"))</f>
        <v>#ERROR!</v>
      </c>
      <c r="I94" s="236">
        <v>1.424E10</v>
      </c>
      <c r="J94" s="231">
        <v>1984.0</v>
      </c>
      <c r="K94" s="1" t="s">
        <v>1498</v>
      </c>
      <c r="L94" s="1" t="s">
        <v>1499</v>
      </c>
      <c r="M94" s="1" t="s">
        <v>1499</v>
      </c>
      <c r="P94" s="240" t="s">
        <v>1721</v>
      </c>
      <c r="R94" s="1" t="s">
        <v>1499</v>
      </c>
      <c r="T94" s="218" t="str">
        <f>IFERROR((Table1[[#This Row],[2019 Total Scope 1, 2 + 3]])/Table1[[#This Row],[2018 Total Scope 1, 2 + Scope 3]]-1,"NA")</f>
        <v>#ERROR!</v>
      </c>
      <c r="V94" s="233">
        <v>17709.0</v>
      </c>
      <c r="W94" s="233">
        <v>149418.0</v>
      </c>
      <c r="X94" s="233"/>
      <c r="Y94" s="233">
        <f t="shared" si="13"/>
        <v>167127</v>
      </c>
      <c r="Z94" s="233">
        <f>25934+63005+252683+88189</f>
        <v>429811</v>
      </c>
      <c r="AA94" s="233">
        <f t="shared" si="2"/>
        <v>596938</v>
      </c>
      <c r="AB94" s="233">
        <v>13924.0</v>
      </c>
      <c r="AC94" s="233">
        <v>158042.0</v>
      </c>
      <c r="AD94" s="233"/>
      <c r="AE94" s="233">
        <f t="shared" si="14"/>
        <v>171966</v>
      </c>
      <c r="AF94" s="233">
        <v>301410.0</v>
      </c>
      <c r="AG94" s="233">
        <f t="shared" si="4"/>
        <v>473376</v>
      </c>
      <c r="AH94" s="233">
        <v>16570.0</v>
      </c>
      <c r="AI94" s="233">
        <v>156719.0</v>
      </c>
      <c r="AJ94" s="233"/>
      <c r="AK94" s="233">
        <f t="shared" si="15"/>
        <v>173289</v>
      </c>
      <c r="AL94" s="233">
        <v>127671.0</v>
      </c>
      <c r="AM94" s="233">
        <f t="shared" si="6"/>
        <v>300960</v>
      </c>
      <c r="AN94" s="233">
        <v>15838.0</v>
      </c>
      <c r="AO94" s="233">
        <v>161303.0</v>
      </c>
      <c r="AP94" s="233"/>
      <c r="AQ94" s="233">
        <f t="shared" si="16"/>
        <v>177141</v>
      </c>
      <c r="AR94" s="233">
        <v>146373.0</v>
      </c>
      <c r="AS94" s="233">
        <f t="shared" si="8"/>
        <v>323514</v>
      </c>
      <c r="AT94" s="233">
        <v>16567.0</v>
      </c>
      <c r="AU94" s="233">
        <v>180096.0</v>
      </c>
      <c r="AV94" s="233"/>
      <c r="AW94" s="233">
        <f t="shared" si="12"/>
        <v>196663</v>
      </c>
      <c r="AX94" s="233">
        <v>173042.0</v>
      </c>
      <c r="AY94" s="233">
        <f t="shared" si="10"/>
        <v>369705</v>
      </c>
      <c r="BA94" s="240" t="s">
        <v>1722</v>
      </c>
      <c r="BC94" s="240" t="s">
        <v>1723</v>
      </c>
      <c r="BD94" s="235"/>
    </row>
    <row r="95" ht="12.75" customHeight="1">
      <c r="A95" s="202" t="s">
        <v>489</v>
      </c>
      <c r="B95" s="202" t="s">
        <v>490</v>
      </c>
      <c r="C95" s="202" t="s">
        <v>1276</v>
      </c>
      <c r="D95" s="202" t="s">
        <v>1571</v>
      </c>
      <c r="E95" s="236">
        <v>7.4094E10</v>
      </c>
      <c r="F95" s="230" t="str">
        <f>IF(ISNUMBER(Table1[[#This Row],[2019 Scope 3 ]]),IF(Table1[[#This Row],[Net Earnings/Income (2019)]]-k_cost*Table1[[#This Row],[2019 Total Scope 1, 2 + 3]]&lt;0,"Y","N"),"NA")</f>
        <v>#ERROR!</v>
      </c>
      <c r="G95" s="62" t="str">
        <f>IF(ISNUMBER(Table1[[#This Row],[2019 Scope 3 ]]),IF(k_cost*Table1[[#This Row],[2019 Total Scope 1, 2 + 3]]/Table1[[#This Row],[Size (2019 Revenue)]]&gt;k_rev_max,"Y","N"),"NA")</f>
        <v>#ERROR!</v>
      </c>
      <c r="H95" s="62" t="str">
        <f>IF(OR(Table1[[#This Row],[Net earnings post carbon price @85/t]]="Y",Table1[[#This Row],[Carbon costs in % revenue]] = "Y"),"Y",IF(OR(Table1[[#This Row],[Net earnings post carbon price @85/t]]="NA",Table1[[#This Row],[Carbon costs in % revenue]]="NA"),"NA","N"))</f>
        <v>#ERROR!</v>
      </c>
      <c r="I95" s="236">
        <v>4.4E9</v>
      </c>
      <c r="J95" s="231">
        <v>1999.0</v>
      </c>
      <c r="K95" s="1" t="s">
        <v>1498</v>
      </c>
      <c r="L95" s="1" t="s">
        <v>1499</v>
      </c>
      <c r="M95" s="1" t="s">
        <v>1499</v>
      </c>
      <c r="P95" s="240" t="s">
        <v>1724</v>
      </c>
      <c r="Q95" s="1" t="s">
        <v>1498</v>
      </c>
      <c r="R95" s="1" t="s">
        <v>1499</v>
      </c>
      <c r="T95" s="218" t="str">
        <f>IFERROR((Table1[[#This Row],[2019 Total Scope 1, 2 + 3]])/Table1[[#This Row],[2018 Total Scope 1, 2 + Scope 3]]-1,"NA")</f>
        <v>#ERROR!</v>
      </c>
      <c r="V95" s="233">
        <v>1.4223E7</v>
      </c>
      <c r="W95" s="233">
        <v>731000.0</v>
      </c>
      <c r="X95" s="233"/>
      <c r="Y95" s="233">
        <f t="shared" si="13"/>
        <v>14954000</v>
      </c>
      <c r="Z95" s="233">
        <f>3122000+4629000+2820000+8198000+25000+69000+2079000+9000+57000</f>
        <v>21008000</v>
      </c>
      <c r="AA95" s="233">
        <f t="shared" si="2"/>
        <v>35962000</v>
      </c>
      <c r="AB95" s="233">
        <v>1.3851E7</v>
      </c>
      <c r="AC95" s="233">
        <v>784000.0</v>
      </c>
      <c r="AD95" s="233">
        <f>(95.9+7.6)*1000</f>
        <v>103500</v>
      </c>
      <c r="AE95" s="233">
        <f t="shared" si="14"/>
        <v>14531500</v>
      </c>
      <c r="AF95" s="233">
        <v>2.1783E7</v>
      </c>
      <c r="AG95" s="233">
        <f t="shared" si="4"/>
        <v>36314500</v>
      </c>
      <c r="AH95" s="233">
        <v>1.3047E7</v>
      </c>
      <c r="AI95" s="233">
        <v>745000.0</v>
      </c>
      <c r="AJ95" s="233">
        <f>(77.9+6.3)*1000</f>
        <v>84200</v>
      </c>
      <c r="AK95" s="233">
        <f t="shared" si="15"/>
        <v>13707800</v>
      </c>
      <c r="AL95" s="233">
        <v>2.0071E7</v>
      </c>
      <c r="AM95" s="233">
        <f t="shared" si="6"/>
        <v>33778800</v>
      </c>
      <c r="AN95" s="233">
        <v>1.2432E7</v>
      </c>
      <c r="AO95" s="233">
        <v>831000.0</v>
      </c>
      <c r="AP95" s="233">
        <f>(95.7+6)*1000</f>
        <v>101700</v>
      </c>
      <c r="AQ95" s="233">
        <f t="shared" si="16"/>
        <v>13161300</v>
      </c>
      <c r="AR95" s="233">
        <v>1.743E7</v>
      </c>
      <c r="AS95" s="233">
        <f t="shared" si="8"/>
        <v>30591300</v>
      </c>
      <c r="AT95" s="233">
        <v>1.2197E7</v>
      </c>
      <c r="AU95" s="233">
        <v>814000.0</v>
      </c>
      <c r="AV95" s="233">
        <f>(44.9+3.2)*1000</f>
        <v>48100</v>
      </c>
      <c r="AW95" s="233">
        <f t="shared" si="12"/>
        <v>12962900</v>
      </c>
      <c r="AX95" s="233">
        <v>1.6877E7</v>
      </c>
      <c r="AY95" s="233">
        <f t="shared" si="10"/>
        <v>29839900</v>
      </c>
      <c r="AZ95" s="240" t="s">
        <v>1725</v>
      </c>
      <c r="BA95" s="240" t="s">
        <v>1726</v>
      </c>
      <c r="BC95" s="240" t="s">
        <v>1727</v>
      </c>
      <c r="BD95" s="235"/>
    </row>
    <row r="96" ht="12.75" customHeight="1">
      <c r="A96" s="202" t="s">
        <v>495</v>
      </c>
      <c r="B96" s="202" t="s">
        <v>495</v>
      </c>
      <c r="C96" s="202" t="s">
        <v>1298</v>
      </c>
      <c r="D96" s="202" t="s">
        <v>1312</v>
      </c>
      <c r="E96" s="236">
        <v>2.5775E10</v>
      </c>
      <c r="F96" s="230" t="str">
        <f>IF(ISNUMBER(Table1[[#This Row],[2019 Scope 3 ]]),IF(Table1[[#This Row],[Net Earnings/Income (2019)]]-k_cost*Table1[[#This Row],[2019 Total Scope 1, 2 + 3]]&lt;0,"Y","N"),"NA")</f>
        <v>#ERROR!</v>
      </c>
      <c r="G96" s="62" t="str">
        <f>IF(ISNUMBER(Table1[[#This Row],[2019 Scope 3 ]]),IF(k_cost*Table1[[#This Row],[2019 Total Scope 1, 2 + 3]]/Table1[[#This Row],[Size (2019 Revenue)]]&gt;k_rev_max,"Y","N"),"NA")</f>
        <v>#ERROR!</v>
      </c>
      <c r="H96" s="62" t="str">
        <f>IF(OR(Table1[[#This Row],[Net earnings post carbon price @85/t]]="Y",Table1[[#This Row],[Carbon costs in % revenue]] = "Y"),"Y",IF(OR(Table1[[#This Row],[Net earnings post carbon price @85/t]]="NA",Table1[[#This Row],[Carbon costs in % revenue]]="NA"),"NA","N"))</f>
        <v>#ERROR!</v>
      </c>
      <c r="I96" s="236">
        <v>6.914E9</v>
      </c>
      <c r="J96" s="231" t="s">
        <v>1728</v>
      </c>
      <c r="K96" s="1" t="s">
        <v>1499</v>
      </c>
      <c r="L96" s="1" t="s">
        <v>1499</v>
      </c>
      <c r="M96" s="1" t="s">
        <v>1499</v>
      </c>
      <c r="P96" s="240" t="s">
        <v>1729</v>
      </c>
      <c r="R96" s="1" t="s">
        <v>1499</v>
      </c>
      <c r="T96" s="218" t="str">
        <f>IFERROR((Table1[[#This Row],[2019 Total Scope 1, 2 + 3]])/Table1[[#This Row],[2018 Total Scope 1, 2 + Scope 3]]-1,"NA")</f>
        <v>#ERROR!</v>
      </c>
      <c r="V96" s="233">
        <v>56482.0</v>
      </c>
      <c r="W96" s="233">
        <v>176447.0</v>
      </c>
      <c r="X96" s="233"/>
      <c r="Y96" s="233">
        <f t="shared" si="13"/>
        <v>232929</v>
      </c>
      <c r="Z96" s="233">
        <f>8528+38762+79195+44088</f>
        <v>170573</v>
      </c>
      <c r="AA96" s="233">
        <f t="shared" si="2"/>
        <v>403502</v>
      </c>
      <c r="AB96" s="233">
        <v>63333.0</v>
      </c>
      <c r="AC96" s="233">
        <v>233322.0</v>
      </c>
      <c r="AD96" s="233">
        <f>5165+32382+48317</f>
        <v>85864</v>
      </c>
      <c r="AE96" s="233">
        <f t="shared" si="14"/>
        <v>210791</v>
      </c>
      <c r="AF96" s="238">
        <v>382519.0</v>
      </c>
      <c r="AG96" s="233">
        <f t="shared" si="4"/>
        <v>593310</v>
      </c>
      <c r="AH96" s="233">
        <v>55029.0</v>
      </c>
      <c r="AI96" s="233">
        <v>239367.0</v>
      </c>
      <c r="AJ96" s="233"/>
      <c r="AK96" s="233">
        <f t="shared" si="15"/>
        <v>294396</v>
      </c>
      <c r="AL96" s="233"/>
      <c r="AM96" s="233">
        <f t="shared" si="6"/>
        <v>294396</v>
      </c>
      <c r="AN96" s="233">
        <v>53544.0</v>
      </c>
      <c r="AO96" s="233">
        <v>325439.0</v>
      </c>
      <c r="AP96" s="233"/>
      <c r="AQ96" s="233">
        <f t="shared" si="16"/>
        <v>378983</v>
      </c>
      <c r="AR96" s="233">
        <f>4953+27620+54092</f>
        <v>86665</v>
      </c>
      <c r="AS96" s="233">
        <f t="shared" si="8"/>
        <v>465648</v>
      </c>
      <c r="AT96" s="233"/>
      <c r="AU96" s="233"/>
      <c r="AV96" s="233"/>
      <c r="AW96" s="233">
        <f t="shared" si="12"/>
        <v>0</v>
      </c>
      <c r="AX96" s="233"/>
      <c r="AY96" s="233">
        <f t="shared" si="10"/>
        <v>0</v>
      </c>
      <c r="BA96" s="240" t="s">
        <v>1730</v>
      </c>
      <c r="BC96" s="240" t="s">
        <v>1731</v>
      </c>
      <c r="BD96" s="235" t="s">
        <v>1732</v>
      </c>
    </row>
    <row r="97" ht="12.75" customHeight="1">
      <c r="A97" s="202" t="s">
        <v>500</v>
      </c>
      <c r="B97" s="202" t="s">
        <v>501</v>
      </c>
      <c r="C97" s="202" t="s">
        <v>1302</v>
      </c>
      <c r="D97" s="202" t="s">
        <v>1523</v>
      </c>
      <c r="E97" s="230">
        <v>1.3186E11</v>
      </c>
      <c r="F97" s="230" t="str">
        <f>IF(ISNUMBER(Table1[[#This Row],[2019 Scope 3 ]]),IF(Table1[[#This Row],[Net Earnings/Income (2019)]]-k_cost*Table1[[#This Row],[2019 Total Scope 1, 2 + 3]]&lt;0,"Y","N"),"NA")</f>
        <v>#ERROR!</v>
      </c>
      <c r="G97" s="62" t="str">
        <f>IF(ISNUMBER(Table1[[#This Row],[2019 Scope 3 ]]),IF(k_cost*Table1[[#This Row],[2019 Total Scope 1, 2 + 3]]/Table1[[#This Row],[Size (2019 Revenue)]]&gt;k_rev_max,"Y","N"),"NA")</f>
        <v>#ERROR!</v>
      </c>
      <c r="H97" s="62" t="str">
        <f>IF(OR(Table1[[#This Row],[Net earnings post carbon price @85/t]]="Y",Table1[[#This Row],[Carbon costs in % revenue]] = "Y"),"Y",IF(OR(Table1[[#This Row],[Net earnings post carbon price @85/t]]="NA",Table1[[#This Row],[Carbon costs in % revenue]]="NA"),"NA","N"))</f>
        <v>#ERROR!</v>
      </c>
      <c r="I97" s="230">
        <v>1.979E10</v>
      </c>
      <c r="J97" s="231">
        <v>2000.0</v>
      </c>
      <c r="K97" s="230" t="s">
        <v>1498</v>
      </c>
      <c r="L97" s="1" t="s">
        <v>1498</v>
      </c>
      <c r="M97" s="1" t="s">
        <v>1499</v>
      </c>
      <c r="N97" s="1">
        <v>2035.0</v>
      </c>
      <c r="O97" s="1">
        <v>2019.0</v>
      </c>
      <c r="Q97" s="1" t="s">
        <v>1498</v>
      </c>
      <c r="R97" s="1" t="s">
        <v>1499</v>
      </c>
      <c r="S97" s="1" t="s">
        <v>1733</v>
      </c>
      <c r="T97" s="218" t="str">
        <f>IFERROR((Table1[[#This Row],[2019 Total Scope 1, 2 + 3]])/Table1[[#This Row],[2018 Total Scope 1, 2 + Scope 3]]-1,"NA")</f>
        <v>#ERROR!</v>
      </c>
      <c r="V97" s="233">
        <v>358753.0</v>
      </c>
      <c r="W97" s="233">
        <v>3982613.0</v>
      </c>
      <c r="X97" s="233"/>
      <c r="Y97" s="233">
        <f t="shared" si="13"/>
        <v>4341366</v>
      </c>
      <c r="Z97" s="233">
        <f>12502929+1057075+65443+36503+92882+511555+56906+2736735+1619</f>
        <v>17061647</v>
      </c>
      <c r="AA97" s="233">
        <f t="shared" si="2"/>
        <v>21403013</v>
      </c>
      <c r="AB97" s="233">
        <v>385241.0</v>
      </c>
      <c r="AC97" s="233">
        <v>4033579.0</v>
      </c>
      <c r="AD97" s="233"/>
      <c r="AE97" s="233">
        <f t="shared" si="14"/>
        <v>4418820</v>
      </c>
      <c r="AF97" s="233" t="s">
        <v>536</v>
      </c>
      <c r="AG97" s="233" t="str">
        <f t="shared" si="4"/>
        <v/>
      </c>
      <c r="AH97" s="233">
        <v>376735.0</v>
      </c>
      <c r="AI97" s="233">
        <v>4522261.0</v>
      </c>
      <c r="AJ97" s="233"/>
      <c r="AK97" s="233">
        <f t="shared" si="15"/>
        <v>4898996</v>
      </c>
      <c r="AL97" s="233">
        <v>69271.0</v>
      </c>
      <c r="AM97" s="233">
        <f t="shared" si="6"/>
        <v>4968267</v>
      </c>
      <c r="AN97" s="233">
        <v>372496.0</v>
      </c>
      <c r="AO97" s="233">
        <v>5529727.0</v>
      </c>
      <c r="AP97" s="233"/>
      <c r="AQ97" s="233">
        <f t="shared" si="16"/>
        <v>5902223</v>
      </c>
      <c r="AR97" s="233">
        <v>91365.0</v>
      </c>
      <c r="AS97" s="233">
        <f t="shared" si="8"/>
        <v>5993588</v>
      </c>
      <c r="AT97" s="233">
        <v>445704.0</v>
      </c>
      <c r="AU97" s="233">
        <v>5529153.0</v>
      </c>
      <c r="AV97" s="233"/>
      <c r="AW97" s="233">
        <f t="shared" si="12"/>
        <v>5974857</v>
      </c>
      <c r="AX97" s="233">
        <v>43333.0</v>
      </c>
      <c r="AY97" s="233">
        <f t="shared" si="10"/>
        <v>6018190</v>
      </c>
      <c r="BA97" s="240" t="s">
        <v>1734</v>
      </c>
      <c r="BB97" s="1" t="s">
        <v>1735</v>
      </c>
      <c r="BC97" s="240" t="s">
        <v>1736</v>
      </c>
      <c r="BD97" s="235"/>
    </row>
    <row r="98" ht="12.75" customHeight="1">
      <c r="A98" s="202" t="s">
        <v>506</v>
      </c>
      <c r="B98" s="202" t="s">
        <v>507</v>
      </c>
      <c r="C98" s="202" t="s">
        <v>1298</v>
      </c>
      <c r="D98" s="202" t="s">
        <v>1515</v>
      </c>
      <c r="E98" s="230">
        <v>2.3E10</v>
      </c>
      <c r="F98" s="230" t="str">
        <f>IF(ISNUMBER(Table1[[#This Row],[2019 Scope 3 ]]),IF(Table1[[#This Row],[Net Earnings/Income (2019)]]-k_cost*Table1[[#This Row],[2019 Total Scope 1, 2 + 3]]&lt;0,"Y","N"),"NA")</f>
        <v>#ERROR!</v>
      </c>
      <c r="G98" s="62" t="str">
        <f>IF(ISNUMBER(Table1[[#This Row],[2019 Scope 3 ]]),IF(k_cost*Table1[[#This Row],[2019 Total Scope 1, 2 + 3]]/Table1[[#This Row],[Size (2019 Revenue)]]&gt;k_rev_max,"Y","N"),"NA")</f>
        <v>#ERROR!</v>
      </c>
      <c r="H98" s="62" t="str">
        <f>IF(OR(Table1[[#This Row],[Net earnings post carbon price @85/t]]="Y",Table1[[#This Row],[Carbon costs in % revenue]] = "Y"),"Y",IF(OR(Table1[[#This Row],[Net earnings post carbon price @85/t]]="NA",Table1[[#This Row],[Carbon costs in % revenue]]="NA"),"NA","N"))</f>
        <v>#ERROR!</v>
      </c>
      <c r="I98" s="230">
        <v>1.21E10</v>
      </c>
      <c r="J98" s="231">
        <v>2008.0</v>
      </c>
      <c r="K98" s="230" t="s">
        <v>1498</v>
      </c>
      <c r="L98" s="1" t="s">
        <v>1499</v>
      </c>
      <c r="M98" s="1" t="s">
        <v>1499</v>
      </c>
      <c r="R98" s="1" t="s">
        <v>1498</v>
      </c>
      <c r="S98" s="1">
        <v>2019.0</v>
      </c>
      <c r="T98" s="218" t="str">
        <f>IFERROR((Table1[[#This Row],[2019 Total Scope 1, 2 + 3]])/Table1[[#This Row],[2018 Total Scope 1, 2 + Scope 3]]-1,"NA")</f>
        <v>#ERROR!</v>
      </c>
      <c r="V98" s="233">
        <v>8642.0</v>
      </c>
      <c r="W98" s="233">
        <v>51366.0</v>
      </c>
      <c r="X98" s="233"/>
      <c r="Y98" s="233">
        <f t="shared" si="13"/>
        <v>60008</v>
      </c>
      <c r="Z98" s="233">
        <f>430410+13729+2203+48009+29518+94</f>
        <v>523963</v>
      </c>
      <c r="AA98" s="233">
        <f t="shared" si="2"/>
        <v>583971</v>
      </c>
      <c r="AB98" s="233">
        <f>287390*0.03</f>
        <v>8621.7</v>
      </c>
      <c r="AC98" s="233">
        <f>287390*0.19</f>
        <v>54604.1</v>
      </c>
      <c r="AD98" s="233"/>
      <c r="AE98" s="233">
        <f t="shared" si="14"/>
        <v>63225.8</v>
      </c>
      <c r="AF98" s="233">
        <f>153409+6583+2793+47000+22342+29</f>
        <v>232156</v>
      </c>
      <c r="AG98" s="233">
        <f t="shared" si="4"/>
        <v>295381.8</v>
      </c>
      <c r="AH98" s="233">
        <v>9143.0</v>
      </c>
      <c r="AI98" s="233">
        <v>56628.0</v>
      </c>
      <c r="AJ98" s="233"/>
      <c r="AK98" s="233">
        <f t="shared" si="15"/>
        <v>65771</v>
      </c>
      <c r="AL98" s="233">
        <v>55182.0</v>
      </c>
      <c r="AM98" s="233">
        <f t="shared" si="6"/>
        <v>120953</v>
      </c>
      <c r="AN98" s="233">
        <v>9005.0</v>
      </c>
      <c r="AO98" s="233">
        <v>68968.0</v>
      </c>
      <c r="AP98" s="233"/>
      <c r="AQ98" s="233">
        <f t="shared" si="16"/>
        <v>77973</v>
      </c>
      <c r="AR98" s="233">
        <v>49736.0</v>
      </c>
      <c r="AS98" s="233">
        <f t="shared" si="8"/>
        <v>127709</v>
      </c>
      <c r="AT98" s="233">
        <v>17837.0</v>
      </c>
      <c r="AU98" s="233">
        <v>55177.0</v>
      </c>
      <c r="AV98" s="233"/>
      <c r="AW98" s="233">
        <f t="shared" si="12"/>
        <v>73014</v>
      </c>
      <c r="AX98" s="233">
        <v>33149.0</v>
      </c>
      <c r="AY98" s="233">
        <f t="shared" si="10"/>
        <v>106163</v>
      </c>
      <c r="AZ98" s="1" t="s">
        <v>1499</v>
      </c>
      <c r="BA98" s="240" t="s">
        <v>1737</v>
      </c>
      <c r="BB98" s="240" t="s">
        <v>1738</v>
      </c>
      <c r="BC98" s="240" t="s">
        <v>1739</v>
      </c>
      <c r="BD98" s="235"/>
    </row>
    <row r="99" ht="12.75" customHeight="1">
      <c r="A99" s="202" t="s">
        <v>512</v>
      </c>
      <c r="B99" s="202" t="s">
        <v>513</v>
      </c>
      <c r="C99" s="202" t="s">
        <v>1283</v>
      </c>
      <c r="D99" s="202" t="s">
        <v>962</v>
      </c>
      <c r="E99" s="236">
        <v>1.369E11</v>
      </c>
      <c r="F99" s="230" t="str">
        <f>IF(ISNUMBER(Table1[[#This Row],[2019 Scope 3 ]]),IF(Table1[[#This Row],[Net Earnings/Income (2019)]]-k_cost*Table1[[#This Row],[2019 Total Scope 1, 2 + 3]]&lt;0,"Y","N"),"NA")</f>
        <v>#ERROR!</v>
      </c>
      <c r="G99" s="62" t="str">
        <f>IF(ISNUMBER(Table1[[#This Row],[2019 Scope 3 ]]),IF(k_cost*Table1[[#This Row],[2019 Total Scope 1, 2 + 3]]/Table1[[#This Row],[Size (2019 Revenue)]]&gt;k_rev_max,"Y","N"),"NA")</f>
        <v>#ERROR!</v>
      </c>
      <c r="H99" s="62" t="str">
        <f>IF(OR(Table1[[#This Row],[Net earnings post carbon price @85/t]]="Y",Table1[[#This Row],[Carbon costs in % revenue]] = "Y"),"Y",IF(OR(Table1[[#This Row],[Net earnings post carbon price @85/t]]="NA",Table1[[#This Row],[Carbon costs in % revenue]]="NA"),"NA","N"))</f>
        <v>#ERROR!</v>
      </c>
      <c r="I99" s="236">
        <v>3.9E9</v>
      </c>
      <c r="J99" s="231">
        <v>1927.0</v>
      </c>
      <c r="K99" s="1" t="s">
        <v>1498</v>
      </c>
      <c r="L99" s="1" t="s">
        <v>1499</v>
      </c>
      <c r="M99" s="1" t="s">
        <v>1499</v>
      </c>
      <c r="R99" s="1" t="s">
        <v>1499</v>
      </c>
      <c r="T99" s="218" t="str">
        <f>IFERROR((Table1[[#This Row],[2019 Total Scope 1, 2 + 3]])/Table1[[#This Row],[2018 Total Scope 1, 2 + Scope 3]]-1,"NA")</f>
        <v>#ERROR!</v>
      </c>
      <c r="V99" s="233">
        <v>389000.0</v>
      </c>
      <c r="W99" s="233">
        <v>1645000.0</v>
      </c>
      <c r="X99" s="233"/>
      <c r="Y99" s="233">
        <f t="shared" si="13"/>
        <v>2034000</v>
      </c>
      <c r="Z99" s="233">
        <v>107000.0</v>
      </c>
      <c r="AA99" s="233">
        <f t="shared" si="2"/>
        <v>2141000</v>
      </c>
      <c r="AB99" s="233">
        <v>370000.0</v>
      </c>
      <c r="AC99" s="233">
        <v>1639000.0</v>
      </c>
      <c r="AD99" s="233"/>
      <c r="AE99" s="233">
        <f t="shared" si="14"/>
        <v>2009000</v>
      </c>
      <c r="AF99" s="233">
        <v>120000.0</v>
      </c>
      <c r="AG99" s="233">
        <f t="shared" si="4"/>
        <v>2129000</v>
      </c>
      <c r="AH99" s="233">
        <v>368000.0</v>
      </c>
      <c r="AI99" s="233">
        <v>1863000.0</v>
      </c>
      <c r="AJ99" s="233"/>
      <c r="AK99" s="233">
        <f t="shared" si="15"/>
        <v>2231000</v>
      </c>
      <c r="AL99" s="233">
        <v>123000.0</v>
      </c>
      <c r="AM99" s="233">
        <f t="shared" si="6"/>
        <v>2354000</v>
      </c>
      <c r="AN99" s="233"/>
      <c r="AO99" s="233"/>
      <c r="AP99" s="233"/>
      <c r="AQ99" s="233">
        <f t="shared" si="16"/>
        <v>0</v>
      </c>
      <c r="AR99" s="233"/>
      <c r="AS99" s="233">
        <f t="shared" si="8"/>
        <v>0</v>
      </c>
      <c r="AT99" s="233"/>
      <c r="AU99" s="233"/>
      <c r="AV99" s="233"/>
      <c r="AW99" s="233">
        <f t="shared" si="12"/>
        <v>0</v>
      </c>
      <c r="AX99" s="233"/>
      <c r="AY99" s="233">
        <f t="shared" si="10"/>
        <v>0</v>
      </c>
      <c r="AZ99" s="1" t="s">
        <v>1740</v>
      </c>
      <c r="BA99" s="234" t="s">
        <v>1741</v>
      </c>
      <c r="BC99" s="240" t="s">
        <v>1742</v>
      </c>
      <c r="BD99" s="235"/>
    </row>
    <row r="100" ht="12.75" customHeight="1">
      <c r="A100" s="202" t="s">
        <v>518</v>
      </c>
      <c r="B100" s="202" t="s">
        <v>518</v>
      </c>
      <c r="C100" s="202" t="s">
        <v>1306</v>
      </c>
      <c r="D100" s="202" t="s">
        <v>962</v>
      </c>
      <c r="E100" s="230">
        <v>5.24E11</v>
      </c>
      <c r="F100" s="230" t="str">
        <f>IF(ISNUMBER(Table1[[#This Row],[2019 Scope 3 ]]),IF(Table1[[#This Row],[Net Earnings/Income (2019)]]-k_cost*Table1[[#This Row],[2019 Total Scope 1, 2 + 3]]&lt;0,"Y","N"),"NA")</f>
        <v>#ERROR!</v>
      </c>
      <c r="G100" s="62" t="str">
        <f>IF(ISNUMBER(Table1[[#This Row],[2019 Scope 3 ]]),IF(k_cost*Table1[[#This Row],[2019 Total Scope 1, 2 + 3]]/Table1[[#This Row],[Size (2019 Revenue)]]&gt;k_rev_max,"Y","N"),"NA")</f>
        <v>#ERROR!</v>
      </c>
      <c r="H100" s="62" t="str">
        <f>IF(OR(Table1[[#This Row],[Net earnings post carbon price @85/t]]="Y",Table1[[#This Row],[Carbon costs in % revenue]] = "Y"),"Y",IF(OR(Table1[[#This Row],[Net earnings post carbon price @85/t]]="NA",Table1[[#This Row],[Carbon costs in % revenue]]="NA"),"NA","N"))</f>
        <v>#ERROR!</v>
      </c>
      <c r="I100" s="230">
        <v>1.488E10</v>
      </c>
      <c r="J100" s="231">
        <v>1972.0</v>
      </c>
      <c r="K100" s="230" t="s">
        <v>1498</v>
      </c>
      <c r="L100" s="202" t="s">
        <v>1498</v>
      </c>
      <c r="M100" s="1" t="s">
        <v>1498</v>
      </c>
      <c r="N100" s="1">
        <v>2040.0</v>
      </c>
      <c r="P100" s="240" t="s">
        <v>1743</v>
      </c>
      <c r="Q100" s="1" t="s">
        <v>1499</v>
      </c>
      <c r="R100" s="1" t="s">
        <v>1498</v>
      </c>
      <c r="S100" s="1">
        <v>2025.0</v>
      </c>
      <c r="T100" s="218" t="str">
        <f>IFERROR((Table1[[#This Row],[2019 Total Scope 1, 2 + 3]])/Table1[[#This Row],[2018 Total Scope 1, 2 + Scope 3]]-1,"NA")</f>
        <v>#ERROR!</v>
      </c>
      <c r="V100" s="233">
        <v>6484616.0</v>
      </c>
      <c r="W100" s="233">
        <v>1.107898E7</v>
      </c>
      <c r="X100" s="233"/>
      <c r="Y100" s="233">
        <f t="shared" si="13"/>
        <v>17563596</v>
      </c>
      <c r="Z100" s="233">
        <f>143267842+645328+3327874+342577+968265+76296+3500000+5099+32211000+130+130000</f>
        <v>184474411</v>
      </c>
      <c r="AA100" s="233">
        <f t="shared" si="2"/>
        <v>202038007</v>
      </c>
      <c r="AB100" s="233">
        <v>6101641.0</v>
      </c>
      <c r="AC100" s="233">
        <v>1.2022083E7</v>
      </c>
      <c r="AD100" s="233"/>
      <c r="AE100" s="233">
        <f t="shared" si="14"/>
        <v>18123724</v>
      </c>
      <c r="AF100" s="233">
        <f>143267842+645328+3327874+342577+968265+76296+3500000+5099+32211000+130+130000</f>
        <v>184474411</v>
      </c>
      <c r="AG100" s="233">
        <f t="shared" si="4"/>
        <v>202598135</v>
      </c>
      <c r="AH100" s="233">
        <v>1.216E7</v>
      </c>
      <c r="AI100" s="233">
        <v>6520000.0</v>
      </c>
      <c r="AJ100" s="233"/>
      <c r="AK100" s="233">
        <f t="shared" si="15"/>
        <v>18680000</v>
      </c>
      <c r="AL100" s="233"/>
      <c r="AM100" s="233">
        <f t="shared" si="6"/>
        <v>18680000</v>
      </c>
      <c r="AN100" s="233">
        <v>1.408E7</v>
      </c>
      <c r="AO100" s="233">
        <v>6650000.0</v>
      </c>
      <c r="AP100" s="233"/>
      <c r="AQ100" s="233">
        <f t="shared" si="16"/>
        <v>20730000</v>
      </c>
      <c r="AR100" s="233"/>
      <c r="AS100" s="233">
        <f t="shared" si="8"/>
        <v>20730000</v>
      </c>
      <c r="AT100" s="233">
        <v>1.493E7</v>
      </c>
      <c r="AU100" s="233">
        <v>6110000.0</v>
      </c>
      <c r="AV100" s="233"/>
      <c r="AW100" s="233">
        <f t="shared" si="12"/>
        <v>21040000</v>
      </c>
      <c r="AX100" s="233"/>
      <c r="AY100" s="233">
        <f t="shared" si="10"/>
        <v>21040000</v>
      </c>
      <c r="AZ100" s="240" t="s">
        <v>1744</v>
      </c>
      <c r="BA100" s="240" t="s">
        <v>1745</v>
      </c>
      <c r="BB100" s="240" t="s">
        <v>1746</v>
      </c>
      <c r="BC100" s="240" t="s">
        <v>1747</v>
      </c>
      <c r="BD100" s="235"/>
    </row>
    <row r="101" ht="12.75" customHeight="1">
      <c r="A101" s="202" t="s">
        <v>523</v>
      </c>
      <c r="B101" s="202" t="s">
        <v>523</v>
      </c>
      <c r="C101" s="202" t="s">
        <v>1298</v>
      </c>
      <c r="D101" s="202" t="s">
        <v>1312</v>
      </c>
      <c r="E101" s="230">
        <v>8.506E10</v>
      </c>
      <c r="F101" s="230" t="str">
        <f>IF(ISNUMBER(Table1[[#This Row],[2019 Scope 3 ]]),IF(Table1[[#This Row],[Net Earnings/Income (2019)]]-k_cost*Table1[[#This Row],[2019 Total Scope 1, 2 + 3]]&lt;0,"Y","N"),"NA")</f>
        <v>#ERROR!</v>
      </c>
      <c r="G101" s="62" t="str">
        <f>IF(ISNUMBER(Table1[[#This Row],[2019 Scope 3 ]]),IF(k_cost*Table1[[#This Row],[2019 Total Scope 1, 2 + 3]]/Table1[[#This Row],[Size (2019 Revenue)]]&gt;k_rev_max,"Y","N"),"NA")</f>
        <v>#ERROR!</v>
      </c>
      <c r="H101" s="62" t="str">
        <f>IF(OR(Table1[[#This Row],[Net earnings post carbon price @85/t]]="Y",Table1[[#This Row],[Carbon costs in % revenue]] = "Y"),"Y",IF(OR(Table1[[#This Row],[Net earnings post carbon price @85/t]]="NA",Table1[[#This Row],[Carbon costs in % revenue]]="NA"),"NA","N"))</f>
        <v>#ERROR!</v>
      </c>
      <c r="I101" s="230">
        <v>1.955E10</v>
      </c>
      <c r="J101" s="231">
        <v>1978.0</v>
      </c>
      <c r="K101" s="230" t="s">
        <v>1498</v>
      </c>
      <c r="L101" s="1" t="s">
        <v>1499</v>
      </c>
      <c r="M101" s="1" t="s">
        <v>1499</v>
      </c>
      <c r="P101" s="240" t="s">
        <v>1748</v>
      </c>
      <c r="Q101" s="240" t="s">
        <v>1749</v>
      </c>
      <c r="R101" s="1" t="s">
        <v>1498</v>
      </c>
      <c r="S101" s="1">
        <v>2017.0</v>
      </c>
      <c r="T101" s="218" t="str">
        <f>IFERROR((Table1[[#This Row],[2019 Total Scope 1, 2 + 3]])/Table1[[#This Row],[2018 Total Scope 1, 2 + Scope 3]]-1,"NA")</f>
        <v>#ERROR!</v>
      </c>
      <c r="V101" s="233">
        <v>91993.0</v>
      </c>
      <c r="W101" s="233">
        <v>4988.0</v>
      </c>
      <c r="X101" s="233"/>
      <c r="Y101" s="233">
        <f t="shared" si="13"/>
        <v>96981</v>
      </c>
      <c r="Z101" s="233">
        <f>2304829+455599+148420+9921+78277+613405</f>
        <v>3610451</v>
      </c>
      <c r="AA101" s="233">
        <f t="shared" si="2"/>
        <v>3707432</v>
      </c>
      <c r="AB101" s="233">
        <v>95316.0</v>
      </c>
      <c r="AC101" s="233">
        <v>833204.0</v>
      </c>
      <c r="AD101" s="233"/>
      <c r="AE101" s="233">
        <f t="shared" si="14"/>
        <v>928520</v>
      </c>
      <c r="AF101" s="233">
        <f>2347646+559600+156145+12132+93815+612464</f>
        <v>3781802</v>
      </c>
      <c r="AG101" s="233">
        <f t="shared" si="4"/>
        <v>4710322</v>
      </c>
      <c r="AH101" s="233">
        <v>85830.0</v>
      </c>
      <c r="AI101" s="233">
        <v>848520.0</v>
      </c>
      <c r="AJ101" s="233"/>
      <c r="AK101" s="233">
        <f t="shared" si="15"/>
        <v>934350</v>
      </c>
      <c r="AL101" s="233" t="s">
        <v>536</v>
      </c>
      <c r="AM101" s="233" t="str">
        <f t="shared" si="6"/>
        <v/>
      </c>
      <c r="AN101" s="233">
        <v>85628.0</v>
      </c>
      <c r="AO101" s="233">
        <v>974982.0</v>
      </c>
      <c r="AP101" s="233"/>
      <c r="AQ101" s="233">
        <f t="shared" si="16"/>
        <v>1060610</v>
      </c>
      <c r="AR101" s="233" t="s">
        <v>536</v>
      </c>
      <c r="AS101" s="233" t="str">
        <f t="shared" si="8"/>
        <v/>
      </c>
      <c r="AT101" s="233">
        <v>92610.0</v>
      </c>
      <c r="AU101" s="233">
        <v>1193278.0</v>
      </c>
      <c r="AV101" s="233"/>
      <c r="AW101" s="233">
        <f t="shared" si="12"/>
        <v>1285888</v>
      </c>
      <c r="AX101" s="233" t="s">
        <v>536</v>
      </c>
      <c r="AY101" s="233" t="str">
        <f t="shared" si="10"/>
        <v/>
      </c>
      <c r="BA101" s="240" t="s">
        <v>1750</v>
      </c>
      <c r="BC101" s="240" t="s">
        <v>1751</v>
      </c>
      <c r="BD101" s="235"/>
    </row>
    <row r="102" ht="12.75" customHeight="1">
      <c r="A102" s="202"/>
      <c r="B102" s="202"/>
      <c r="D102" s="202"/>
      <c r="E102" s="230"/>
      <c r="F102" s="230"/>
      <c r="G102" s="230"/>
      <c r="H102" s="230"/>
      <c r="I102" s="230"/>
      <c r="J102" s="231"/>
      <c r="K102" s="230"/>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c r="AQ102" s="233"/>
      <c r="AR102" s="233"/>
      <c r="AS102" s="233"/>
      <c r="AT102" s="233"/>
      <c r="AU102" s="233"/>
      <c r="AV102" s="233"/>
      <c r="AW102" s="233"/>
      <c r="AX102" s="233"/>
      <c r="AY102" s="233"/>
      <c r="BA102" s="240"/>
      <c r="BC102" s="240"/>
    </row>
    <row r="103" ht="12.75" customHeight="1">
      <c r="J103" s="231"/>
      <c r="V103" s="216"/>
      <c r="W103" s="216"/>
      <c r="X103" s="216"/>
      <c r="Y103" s="216"/>
      <c r="Z103" s="216"/>
      <c r="AA103" s="216"/>
      <c r="AB103" s="216"/>
      <c r="AC103" s="216"/>
      <c r="AD103" s="216"/>
      <c r="AE103" s="216"/>
      <c r="AF103" s="216"/>
      <c r="AG103" s="216"/>
      <c r="AH103" s="216"/>
      <c r="AI103" s="216"/>
      <c r="AJ103" s="216"/>
      <c r="AK103" s="233"/>
      <c r="AL103" s="216"/>
      <c r="AM103" s="216"/>
      <c r="AN103" s="216"/>
      <c r="AO103" s="216"/>
      <c r="AP103" s="216"/>
      <c r="AQ103" s="216"/>
      <c r="AR103" s="216"/>
      <c r="AS103" s="216"/>
      <c r="AT103" s="216"/>
      <c r="AU103" s="216"/>
      <c r="AV103" s="216"/>
      <c r="AW103" s="216"/>
      <c r="AX103" s="216"/>
      <c r="AY103" s="216"/>
    </row>
    <row r="104" ht="12.75" customHeight="1">
      <c r="J104" s="231"/>
      <c r="V104" s="216"/>
      <c r="W104" s="216"/>
      <c r="X104" s="216"/>
      <c r="Y104" s="216"/>
      <c r="Z104" s="216"/>
      <c r="AA104" s="216"/>
      <c r="AB104" s="216"/>
      <c r="AC104" s="216"/>
      <c r="AD104" s="216"/>
      <c r="AE104" s="216"/>
      <c r="AF104" s="216"/>
      <c r="AG104" s="216"/>
      <c r="AH104" s="216"/>
      <c r="AI104" s="216"/>
      <c r="AJ104" s="216"/>
      <c r="AK104" s="233"/>
      <c r="AL104" s="216"/>
      <c r="AM104" s="216"/>
      <c r="AN104" s="216"/>
      <c r="AO104" s="216"/>
      <c r="AP104" s="216"/>
      <c r="AQ104" s="216"/>
      <c r="AR104" s="216"/>
      <c r="AS104" s="216"/>
      <c r="AT104" s="216"/>
      <c r="AU104" s="216"/>
      <c r="AV104" s="216"/>
      <c r="AW104" s="216"/>
      <c r="AX104" s="216"/>
      <c r="AY104" s="216"/>
    </row>
    <row r="105" ht="12.75" customHeight="1">
      <c r="A105" s="202"/>
      <c r="J105" s="231"/>
      <c r="V105" s="216"/>
      <c r="W105" s="216"/>
      <c r="X105" s="216"/>
      <c r="Y105" s="216"/>
      <c r="Z105" s="216"/>
      <c r="AA105" s="216"/>
      <c r="AB105" s="216"/>
      <c r="AC105" s="216"/>
      <c r="AD105" s="216"/>
      <c r="AE105" s="216"/>
      <c r="AF105" s="216"/>
      <c r="AG105" s="216"/>
      <c r="AH105" s="216"/>
      <c r="AI105" s="216"/>
      <c r="AJ105" s="216"/>
      <c r="AK105" s="233"/>
      <c r="AL105" s="216"/>
      <c r="AM105" s="216"/>
      <c r="AN105" s="216"/>
      <c r="AO105" s="216"/>
      <c r="AP105" s="216"/>
      <c r="AQ105" s="216"/>
      <c r="AR105" s="216"/>
      <c r="AS105" s="216"/>
      <c r="AT105" s="216"/>
      <c r="AU105" s="216"/>
      <c r="AV105" s="216"/>
      <c r="AW105" s="216"/>
      <c r="AX105" s="216"/>
      <c r="AY105" s="216"/>
    </row>
    <row r="106" ht="12.75" customHeight="1">
      <c r="J106" s="231"/>
      <c r="V106" s="216"/>
      <c r="W106" s="216"/>
      <c r="X106" s="216"/>
      <c r="Y106" s="216"/>
      <c r="Z106" s="216"/>
      <c r="AA106" s="216"/>
      <c r="AB106" s="216"/>
      <c r="AC106" s="216"/>
      <c r="AD106" s="216"/>
      <c r="AE106" s="216"/>
      <c r="AF106" s="216"/>
      <c r="AG106" s="216"/>
      <c r="AH106" s="216"/>
      <c r="AI106" s="216"/>
      <c r="AJ106" s="216"/>
      <c r="AK106" s="233"/>
      <c r="AL106" s="216"/>
      <c r="AM106" s="216"/>
      <c r="AN106" s="216"/>
      <c r="AO106" s="216"/>
      <c r="AP106" s="216"/>
      <c r="AQ106" s="216"/>
      <c r="AR106" s="216"/>
      <c r="AS106" s="216"/>
      <c r="AT106" s="216"/>
      <c r="AU106" s="216"/>
      <c r="AV106" s="216"/>
      <c r="AW106" s="216"/>
      <c r="AX106" s="216"/>
      <c r="AY106" s="216"/>
    </row>
    <row r="107" ht="12.75" customHeight="1">
      <c r="J107" s="231"/>
      <c r="V107" s="216"/>
      <c r="W107" s="216"/>
      <c r="X107" s="216"/>
      <c r="Y107" s="216"/>
      <c r="Z107" s="216"/>
      <c r="AA107" s="216"/>
      <c r="AB107" s="216"/>
      <c r="AC107" s="216"/>
      <c r="AD107" s="216"/>
      <c r="AE107" s="216"/>
      <c r="AF107" s="216"/>
      <c r="AG107" s="216"/>
      <c r="AH107" s="216"/>
      <c r="AI107" s="216"/>
      <c r="AJ107" s="216"/>
      <c r="AK107" s="233"/>
      <c r="AL107" s="216"/>
      <c r="AM107" s="216"/>
      <c r="AN107" s="216"/>
      <c r="AO107" s="216"/>
      <c r="AP107" s="216"/>
      <c r="AQ107" s="216"/>
      <c r="AR107" s="216"/>
      <c r="AS107" s="216"/>
      <c r="AT107" s="216"/>
      <c r="AU107" s="216"/>
      <c r="AV107" s="216"/>
      <c r="AW107" s="216"/>
      <c r="AX107" s="216"/>
      <c r="AY107" s="216"/>
    </row>
    <row r="108" ht="12.75" customHeight="1">
      <c r="J108" s="231"/>
      <c r="V108" s="216"/>
      <c r="W108" s="216"/>
      <c r="X108" s="216"/>
      <c r="Y108" s="216"/>
      <c r="Z108" s="216"/>
      <c r="AA108" s="216"/>
      <c r="AB108" s="216"/>
      <c r="AC108" s="216"/>
      <c r="AD108" s="216"/>
      <c r="AE108" s="216"/>
      <c r="AF108" s="216"/>
      <c r="AG108" s="216"/>
      <c r="AH108" s="216"/>
      <c r="AI108" s="216"/>
      <c r="AJ108" s="216"/>
      <c r="AK108" s="233"/>
      <c r="AL108" s="216"/>
      <c r="AM108" s="216"/>
      <c r="AN108" s="216"/>
      <c r="AO108" s="216"/>
      <c r="AP108" s="216"/>
      <c r="AQ108" s="216"/>
      <c r="AR108" s="216"/>
      <c r="AS108" s="216"/>
      <c r="AT108" s="216"/>
      <c r="AU108" s="216"/>
      <c r="AV108" s="216"/>
      <c r="AW108" s="216"/>
      <c r="AX108" s="216"/>
      <c r="AY108" s="216"/>
    </row>
    <row r="109" ht="12.75" customHeight="1">
      <c r="J109" s="231"/>
      <c r="V109" s="216"/>
      <c r="W109" s="216"/>
      <c r="X109" s="216"/>
      <c r="Y109" s="216"/>
      <c r="Z109" s="216"/>
      <c r="AA109" s="216"/>
      <c r="AB109" s="216"/>
      <c r="AC109" s="216"/>
      <c r="AD109" s="216"/>
      <c r="AE109" s="216"/>
      <c r="AF109" s="216"/>
      <c r="AG109" s="216"/>
      <c r="AH109" s="216"/>
      <c r="AI109" s="216"/>
      <c r="AJ109" s="216"/>
      <c r="AK109" s="233"/>
      <c r="AL109" s="216"/>
      <c r="AM109" s="216"/>
      <c r="AN109" s="216"/>
      <c r="AO109" s="216"/>
      <c r="AP109" s="216"/>
      <c r="AQ109" s="216"/>
      <c r="AR109" s="216"/>
      <c r="AS109" s="216"/>
      <c r="AT109" s="216"/>
      <c r="AU109" s="216"/>
      <c r="AV109" s="216"/>
      <c r="AW109" s="216"/>
      <c r="AX109" s="216"/>
      <c r="AY109" s="216"/>
    </row>
    <row r="110" ht="12.75" customHeight="1">
      <c r="J110" s="231"/>
      <c r="V110" s="216"/>
      <c r="W110" s="216"/>
      <c r="X110" s="216"/>
      <c r="Y110" s="216"/>
      <c r="Z110" s="216"/>
      <c r="AA110" s="216"/>
      <c r="AB110" s="216"/>
      <c r="AC110" s="216"/>
      <c r="AD110" s="216"/>
      <c r="AE110" s="216"/>
      <c r="AF110" s="216"/>
      <c r="AG110" s="216"/>
      <c r="AH110" s="216"/>
      <c r="AI110" s="216"/>
      <c r="AJ110" s="216"/>
      <c r="AK110" s="233"/>
      <c r="AL110" s="216"/>
      <c r="AM110" s="216"/>
      <c r="AN110" s="216"/>
      <c r="AO110" s="216"/>
      <c r="AP110" s="216"/>
      <c r="AQ110" s="216"/>
      <c r="AR110" s="216"/>
      <c r="AS110" s="216"/>
      <c r="AT110" s="216"/>
      <c r="AU110" s="216"/>
      <c r="AV110" s="216"/>
      <c r="AW110" s="216"/>
      <c r="AX110" s="216"/>
      <c r="AY110" s="216"/>
    </row>
    <row r="111" ht="12.75" customHeight="1">
      <c r="J111" s="231"/>
      <c r="V111" s="216"/>
      <c r="W111" s="216"/>
      <c r="X111" s="216"/>
      <c r="Y111" s="216"/>
      <c r="Z111" s="216"/>
      <c r="AA111" s="216"/>
      <c r="AB111" s="216"/>
      <c r="AC111" s="216"/>
      <c r="AD111" s="216"/>
      <c r="AE111" s="216"/>
      <c r="AF111" s="216"/>
      <c r="AG111" s="216"/>
      <c r="AH111" s="216"/>
      <c r="AI111" s="216"/>
      <c r="AJ111" s="216"/>
      <c r="AK111" s="233"/>
      <c r="AL111" s="216"/>
      <c r="AM111" s="216"/>
      <c r="AN111" s="216"/>
      <c r="AO111" s="216"/>
      <c r="AP111" s="216"/>
      <c r="AQ111" s="216"/>
      <c r="AR111" s="216"/>
      <c r="AS111" s="216"/>
      <c r="AT111" s="216"/>
      <c r="AU111" s="216"/>
      <c r="AV111" s="216"/>
      <c r="AW111" s="216"/>
      <c r="AX111" s="216"/>
      <c r="AY111" s="216"/>
    </row>
    <row r="112" ht="12.75" customHeight="1">
      <c r="J112" s="231"/>
      <c r="V112" s="216"/>
      <c r="W112" s="216"/>
      <c r="X112" s="216"/>
      <c r="Y112" s="216"/>
      <c r="Z112" s="216"/>
      <c r="AA112" s="216"/>
      <c r="AB112" s="216"/>
      <c r="AC112" s="216"/>
      <c r="AD112" s="216"/>
      <c r="AE112" s="216"/>
      <c r="AF112" s="216"/>
      <c r="AG112" s="216"/>
      <c r="AH112" s="216"/>
      <c r="AI112" s="216"/>
      <c r="AJ112" s="216"/>
      <c r="AK112" s="216"/>
      <c r="AL112" s="216"/>
      <c r="AM112" s="216"/>
      <c r="AN112" s="216"/>
      <c r="AO112" s="216"/>
      <c r="AP112" s="216"/>
      <c r="AQ112" s="216"/>
      <c r="AR112" s="216"/>
      <c r="AS112" s="216"/>
      <c r="AT112" s="216"/>
      <c r="AU112" s="216"/>
      <c r="AV112" s="216"/>
      <c r="AW112" s="216"/>
      <c r="AX112" s="216"/>
      <c r="AY112" s="216"/>
    </row>
    <row r="113" ht="12.75" customHeight="1">
      <c r="J113" s="231"/>
      <c r="V113" s="216"/>
      <c r="W113" s="216"/>
      <c r="X113" s="216"/>
      <c r="Y113" s="216"/>
      <c r="Z113" s="216"/>
      <c r="AA113" s="216"/>
      <c r="AB113" s="216"/>
      <c r="AC113" s="216"/>
      <c r="AD113" s="216"/>
      <c r="AE113" s="216"/>
      <c r="AF113" s="216"/>
      <c r="AG113" s="216"/>
      <c r="AH113" s="216"/>
      <c r="AI113" s="216"/>
      <c r="AJ113" s="216"/>
      <c r="AK113" s="216"/>
      <c r="AL113" s="216"/>
      <c r="AM113" s="216"/>
      <c r="AN113" s="216"/>
      <c r="AO113" s="216"/>
      <c r="AP113" s="216"/>
      <c r="AQ113" s="216"/>
      <c r="AR113" s="216"/>
      <c r="AS113" s="216"/>
      <c r="AT113" s="216"/>
      <c r="AU113" s="216"/>
      <c r="AV113" s="216"/>
      <c r="AW113" s="216"/>
      <c r="AX113" s="216"/>
      <c r="AY113" s="216"/>
    </row>
    <row r="114" ht="12.75" customHeight="1">
      <c r="J114" s="231"/>
      <c r="V114" s="216"/>
      <c r="W114" s="216"/>
      <c r="X114" s="216"/>
      <c r="Y114" s="216"/>
      <c r="Z114" s="216"/>
      <c r="AA114" s="216"/>
      <c r="AB114" s="216"/>
      <c r="AC114" s="216"/>
      <c r="AD114" s="216"/>
      <c r="AE114" s="216"/>
      <c r="AF114" s="216"/>
      <c r="AG114" s="216"/>
      <c r="AH114" s="216"/>
      <c r="AI114" s="216"/>
      <c r="AJ114" s="216"/>
      <c r="AK114" s="216"/>
      <c r="AL114" s="216"/>
      <c r="AM114" s="216"/>
      <c r="AN114" s="216"/>
      <c r="AO114" s="216"/>
      <c r="AP114" s="216"/>
      <c r="AQ114" s="216"/>
      <c r="AR114" s="216"/>
      <c r="AS114" s="216"/>
      <c r="AT114" s="216"/>
      <c r="AU114" s="216"/>
      <c r="AV114" s="216"/>
      <c r="AW114" s="216"/>
      <c r="AX114" s="216"/>
      <c r="AY114" s="216"/>
    </row>
    <row r="115" ht="12.75" customHeight="1">
      <c r="J115" s="231"/>
      <c r="V115" s="216"/>
      <c r="W115" s="216"/>
      <c r="X115" s="216"/>
      <c r="Y115" s="216"/>
      <c r="Z115" s="216"/>
      <c r="AA115" s="216"/>
      <c r="AB115" s="216"/>
      <c r="AC115" s="216"/>
      <c r="AD115" s="216"/>
      <c r="AE115" s="216"/>
      <c r="AF115" s="216"/>
      <c r="AG115" s="216"/>
      <c r="AH115" s="216"/>
      <c r="AI115" s="216"/>
      <c r="AJ115" s="216"/>
      <c r="AK115" s="216"/>
      <c r="AL115" s="216"/>
      <c r="AM115" s="216"/>
      <c r="AN115" s="216"/>
      <c r="AO115" s="216"/>
      <c r="AP115" s="216"/>
      <c r="AQ115" s="216"/>
      <c r="AR115" s="216"/>
      <c r="AS115" s="216"/>
      <c r="AT115" s="216"/>
      <c r="AU115" s="216"/>
      <c r="AV115" s="216"/>
      <c r="AW115" s="216"/>
      <c r="AX115" s="216"/>
      <c r="AY115" s="216"/>
    </row>
    <row r="116" ht="12.75" customHeight="1">
      <c r="J116" s="231"/>
      <c r="V116" s="216"/>
      <c r="W116" s="216"/>
      <c r="X116" s="216"/>
      <c r="Y116" s="216"/>
      <c r="Z116" s="216"/>
      <c r="AA116" s="216"/>
      <c r="AB116" s="216"/>
      <c r="AC116" s="216"/>
      <c r="AD116" s="216"/>
      <c r="AE116" s="216"/>
      <c r="AF116" s="216"/>
      <c r="AG116" s="216"/>
      <c r="AH116" s="216"/>
      <c r="AI116" s="216"/>
      <c r="AJ116" s="216"/>
      <c r="AK116" s="216"/>
      <c r="AL116" s="216"/>
      <c r="AM116" s="216"/>
      <c r="AN116" s="216"/>
      <c r="AO116" s="216"/>
      <c r="AP116" s="216"/>
      <c r="AQ116" s="216"/>
      <c r="AR116" s="216"/>
      <c r="AS116" s="216"/>
      <c r="AT116" s="216"/>
      <c r="AU116" s="216"/>
      <c r="AV116" s="216"/>
      <c r="AW116" s="216"/>
      <c r="AX116" s="216"/>
      <c r="AY116" s="216"/>
    </row>
    <row r="117" ht="12.75" customHeight="1">
      <c r="J117" s="231"/>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row>
    <row r="118" ht="12.75" customHeight="1">
      <c r="J118" s="231"/>
      <c r="V118" s="216"/>
      <c r="W118" s="216"/>
      <c r="X118" s="216"/>
      <c r="Y118" s="216"/>
      <c r="Z118" s="216"/>
      <c r="AA118" s="216"/>
      <c r="AB118" s="216"/>
      <c r="AC118" s="216"/>
      <c r="AD118" s="216"/>
      <c r="AE118" s="216"/>
      <c r="AF118" s="216"/>
      <c r="AG118" s="216"/>
      <c r="AH118" s="216"/>
      <c r="AI118" s="216"/>
      <c r="AJ118" s="216"/>
      <c r="AK118" s="216"/>
      <c r="AL118" s="216"/>
      <c r="AM118" s="216"/>
      <c r="AN118" s="216"/>
      <c r="AO118" s="216"/>
      <c r="AP118" s="216"/>
      <c r="AQ118" s="216"/>
      <c r="AR118" s="216"/>
      <c r="AS118" s="216"/>
      <c r="AT118" s="216"/>
      <c r="AU118" s="216"/>
      <c r="AV118" s="216"/>
      <c r="AW118" s="216"/>
      <c r="AX118" s="216"/>
      <c r="AY118" s="216"/>
    </row>
    <row r="119" ht="12.75" customHeight="1">
      <c r="J119" s="231"/>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c r="AW119" s="216"/>
      <c r="AX119" s="216"/>
      <c r="AY119" s="216"/>
    </row>
    <row r="120" ht="12.75" customHeight="1">
      <c r="J120" s="231"/>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c r="AW120" s="216"/>
      <c r="AX120" s="216"/>
      <c r="AY120" s="216"/>
    </row>
    <row r="121" ht="12.75" customHeight="1">
      <c r="J121" s="231"/>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c r="AW121" s="216"/>
      <c r="AX121" s="216"/>
      <c r="AY121" s="216"/>
    </row>
    <row r="122" ht="12.75" customHeight="1">
      <c r="J122" s="231"/>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c r="AW122" s="216"/>
      <c r="AX122" s="216"/>
      <c r="AY122" s="216"/>
    </row>
    <row r="123" ht="12.75" customHeight="1">
      <c r="J123" s="231"/>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c r="AW123" s="216"/>
      <c r="AX123" s="216"/>
      <c r="AY123" s="216"/>
    </row>
    <row r="124" ht="12.75" customHeight="1">
      <c r="J124" s="231"/>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c r="AW124" s="216"/>
      <c r="AX124" s="216"/>
      <c r="AY124" s="216"/>
    </row>
    <row r="125" ht="12.75" customHeight="1">
      <c r="J125" s="231"/>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c r="AW125" s="216"/>
      <c r="AX125" s="216"/>
      <c r="AY125" s="216"/>
    </row>
    <row r="126" ht="12.75" customHeight="1">
      <c r="J126" s="231"/>
      <c r="V126" s="216"/>
      <c r="W126" s="216"/>
      <c r="X126" s="216"/>
      <c r="Y126" s="216"/>
      <c r="Z126" s="216"/>
      <c r="AA126" s="216"/>
      <c r="AB126" s="216"/>
      <c r="AC126" s="216"/>
      <c r="AD126" s="216"/>
      <c r="AE126" s="216"/>
      <c r="AF126" s="216"/>
      <c r="AG126" s="216"/>
      <c r="AH126" s="216"/>
      <c r="AI126" s="216"/>
      <c r="AJ126" s="216"/>
      <c r="AK126" s="216"/>
      <c r="AL126" s="216"/>
      <c r="AM126" s="216"/>
      <c r="AN126" s="216"/>
      <c r="AO126" s="216"/>
      <c r="AP126" s="216"/>
      <c r="AQ126" s="216"/>
      <c r="AR126" s="216"/>
      <c r="AS126" s="216"/>
      <c r="AT126" s="216"/>
      <c r="AU126" s="216"/>
      <c r="AV126" s="216"/>
      <c r="AW126" s="216"/>
      <c r="AX126" s="216"/>
      <c r="AY126" s="216"/>
    </row>
    <row r="127" ht="12.75" customHeight="1">
      <c r="J127" s="231"/>
      <c r="V127" s="216"/>
      <c r="W127" s="216"/>
      <c r="X127" s="216"/>
      <c r="Y127" s="216"/>
      <c r="Z127" s="216"/>
      <c r="AA127" s="216"/>
      <c r="AB127" s="216"/>
      <c r="AC127" s="216"/>
      <c r="AD127" s="216"/>
      <c r="AE127" s="216"/>
      <c r="AF127" s="216"/>
      <c r="AG127" s="216"/>
      <c r="AH127" s="216"/>
      <c r="AI127" s="216"/>
      <c r="AJ127" s="216"/>
      <c r="AK127" s="216"/>
      <c r="AL127" s="216"/>
      <c r="AM127" s="216"/>
      <c r="AN127" s="216"/>
      <c r="AO127" s="216"/>
      <c r="AP127" s="216"/>
      <c r="AQ127" s="216"/>
      <c r="AR127" s="216"/>
      <c r="AS127" s="216"/>
      <c r="AT127" s="216"/>
      <c r="AU127" s="216"/>
      <c r="AV127" s="216"/>
      <c r="AW127" s="216"/>
      <c r="AX127" s="216"/>
      <c r="AY127" s="216"/>
    </row>
    <row r="128" ht="12.75" customHeight="1">
      <c r="J128" s="231"/>
      <c r="V128" s="216"/>
      <c r="W128" s="216"/>
      <c r="X128" s="216"/>
      <c r="Y128" s="216"/>
      <c r="Z128" s="216"/>
      <c r="AA128" s="216"/>
      <c r="AB128" s="216"/>
      <c r="AC128" s="216"/>
      <c r="AD128" s="216"/>
      <c r="AE128" s="216"/>
      <c r="AF128" s="216"/>
      <c r="AG128" s="216"/>
      <c r="AH128" s="216"/>
      <c r="AI128" s="216"/>
      <c r="AJ128" s="216"/>
      <c r="AK128" s="216"/>
      <c r="AL128" s="216"/>
      <c r="AM128" s="216"/>
      <c r="AN128" s="216"/>
      <c r="AO128" s="216"/>
      <c r="AP128" s="216"/>
      <c r="AQ128" s="216"/>
      <c r="AR128" s="216"/>
      <c r="AS128" s="216"/>
      <c r="AT128" s="216"/>
      <c r="AU128" s="216"/>
      <c r="AV128" s="216"/>
      <c r="AW128" s="216"/>
      <c r="AX128" s="216"/>
      <c r="AY128" s="216"/>
    </row>
    <row r="129" ht="12.75" customHeight="1">
      <c r="J129" s="231"/>
      <c r="V129" s="216"/>
      <c r="W129" s="216"/>
      <c r="X129" s="216"/>
      <c r="Y129" s="216"/>
      <c r="Z129" s="216"/>
      <c r="AA129" s="216"/>
      <c r="AB129" s="216"/>
      <c r="AC129" s="216"/>
      <c r="AD129" s="216"/>
      <c r="AE129" s="216"/>
      <c r="AF129" s="216"/>
      <c r="AG129" s="216"/>
      <c r="AH129" s="216"/>
      <c r="AI129" s="216"/>
      <c r="AJ129" s="216"/>
      <c r="AK129" s="216"/>
      <c r="AL129" s="216"/>
      <c r="AM129" s="216"/>
      <c r="AN129" s="216"/>
      <c r="AO129" s="216"/>
      <c r="AP129" s="216"/>
      <c r="AQ129" s="216"/>
      <c r="AR129" s="216"/>
      <c r="AS129" s="216"/>
      <c r="AT129" s="216"/>
      <c r="AU129" s="216"/>
      <c r="AV129" s="216"/>
      <c r="AW129" s="216"/>
      <c r="AX129" s="216"/>
      <c r="AY129" s="216"/>
    </row>
    <row r="130" ht="12.75" customHeight="1">
      <c r="J130" s="231"/>
      <c r="V130" s="216"/>
      <c r="W130" s="216"/>
      <c r="X130" s="216"/>
      <c r="Y130" s="216"/>
      <c r="Z130" s="216"/>
      <c r="AA130" s="216"/>
      <c r="AB130" s="216"/>
      <c r="AC130" s="216"/>
      <c r="AD130" s="216"/>
      <c r="AE130" s="216"/>
      <c r="AF130" s="216"/>
      <c r="AG130" s="216"/>
      <c r="AH130" s="216"/>
      <c r="AI130" s="216"/>
      <c r="AJ130" s="216"/>
      <c r="AK130" s="216"/>
      <c r="AL130" s="216"/>
      <c r="AM130" s="216"/>
      <c r="AN130" s="216"/>
      <c r="AO130" s="216"/>
      <c r="AP130" s="216"/>
      <c r="AQ130" s="216"/>
      <c r="AR130" s="216"/>
      <c r="AS130" s="216"/>
      <c r="AT130" s="216"/>
      <c r="AU130" s="216"/>
      <c r="AV130" s="216"/>
      <c r="AW130" s="216"/>
      <c r="AX130" s="216"/>
      <c r="AY130" s="216"/>
    </row>
    <row r="131" ht="12.75" customHeight="1">
      <c r="J131" s="231"/>
      <c r="V131" s="216"/>
      <c r="W131" s="216"/>
      <c r="X131" s="216"/>
      <c r="Y131" s="216"/>
      <c r="Z131" s="216"/>
      <c r="AA131" s="216"/>
      <c r="AB131" s="216"/>
      <c r="AC131" s="216"/>
      <c r="AD131" s="216"/>
      <c r="AE131" s="216"/>
      <c r="AF131" s="216"/>
      <c r="AG131" s="216"/>
      <c r="AH131" s="216"/>
      <c r="AI131" s="216"/>
      <c r="AJ131" s="216"/>
      <c r="AK131" s="216"/>
      <c r="AL131" s="216"/>
      <c r="AM131" s="216"/>
      <c r="AN131" s="216"/>
      <c r="AO131" s="216"/>
      <c r="AP131" s="216"/>
      <c r="AQ131" s="216"/>
      <c r="AR131" s="216"/>
      <c r="AS131" s="216"/>
      <c r="AT131" s="216"/>
      <c r="AU131" s="216"/>
      <c r="AV131" s="216"/>
      <c r="AW131" s="216"/>
      <c r="AX131" s="216"/>
      <c r="AY131" s="216"/>
    </row>
    <row r="132" ht="12.75" customHeight="1">
      <c r="J132" s="231"/>
      <c r="V132" s="216"/>
      <c r="W132" s="216"/>
      <c r="X132" s="216"/>
      <c r="Y132" s="216"/>
      <c r="Z132" s="216"/>
      <c r="AA132" s="216"/>
      <c r="AB132" s="216"/>
      <c r="AC132" s="216"/>
      <c r="AD132" s="216"/>
      <c r="AE132" s="216"/>
      <c r="AF132" s="216"/>
      <c r="AG132" s="216"/>
      <c r="AH132" s="216"/>
      <c r="AI132" s="216"/>
      <c r="AJ132" s="216"/>
      <c r="AK132" s="216"/>
      <c r="AL132" s="216"/>
      <c r="AM132" s="216"/>
      <c r="AN132" s="216"/>
      <c r="AO132" s="216"/>
      <c r="AP132" s="216"/>
      <c r="AQ132" s="216"/>
      <c r="AR132" s="216"/>
      <c r="AS132" s="216"/>
      <c r="AT132" s="216"/>
      <c r="AU132" s="216"/>
      <c r="AV132" s="216"/>
      <c r="AW132" s="216"/>
      <c r="AX132" s="216"/>
      <c r="AY132" s="216"/>
    </row>
    <row r="133" ht="12.75" customHeight="1">
      <c r="J133" s="231"/>
      <c r="V133" s="216"/>
      <c r="W133" s="216"/>
      <c r="X133" s="216"/>
      <c r="Y133" s="216"/>
      <c r="Z133" s="216"/>
      <c r="AA133" s="216"/>
      <c r="AB133" s="216"/>
      <c r="AC133" s="216"/>
      <c r="AD133" s="216"/>
      <c r="AE133" s="216"/>
      <c r="AF133" s="216"/>
      <c r="AG133" s="216"/>
      <c r="AH133" s="216"/>
      <c r="AI133" s="216"/>
      <c r="AJ133" s="216"/>
      <c r="AK133" s="216"/>
      <c r="AL133" s="216"/>
      <c r="AM133" s="216"/>
      <c r="AN133" s="216"/>
      <c r="AO133" s="216"/>
      <c r="AP133" s="216"/>
      <c r="AQ133" s="216"/>
      <c r="AR133" s="216"/>
      <c r="AS133" s="216"/>
      <c r="AT133" s="216"/>
      <c r="AU133" s="216"/>
      <c r="AV133" s="216"/>
      <c r="AW133" s="216"/>
      <c r="AX133" s="216"/>
      <c r="AY133" s="216"/>
    </row>
    <row r="134" ht="12.75" customHeight="1">
      <c r="J134" s="231"/>
      <c r="V134" s="216"/>
      <c r="W134" s="216"/>
      <c r="X134" s="216"/>
      <c r="Y134" s="216"/>
      <c r="Z134" s="216"/>
      <c r="AA134" s="216"/>
      <c r="AB134" s="216"/>
      <c r="AC134" s="216"/>
      <c r="AD134" s="216"/>
      <c r="AE134" s="216"/>
      <c r="AF134" s="216"/>
      <c r="AG134" s="216"/>
      <c r="AH134" s="216"/>
      <c r="AI134" s="216"/>
      <c r="AJ134" s="216"/>
      <c r="AK134" s="216"/>
      <c r="AL134" s="216"/>
      <c r="AM134" s="216"/>
      <c r="AN134" s="216"/>
      <c r="AO134" s="216"/>
      <c r="AP134" s="216"/>
      <c r="AQ134" s="216"/>
      <c r="AR134" s="216"/>
      <c r="AS134" s="216"/>
      <c r="AT134" s="216"/>
      <c r="AU134" s="216"/>
      <c r="AV134" s="216"/>
      <c r="AW134" s="216"/>
      <c r="AX134" s="216"/>
      <c r="AY134" s="216"/>
    </row>
    <row r="135" ht="12.75" customHeight="1">
      <c r="J135" s="231"/>
      <c r="V135" s="216"/>
      <c r="W135" s="216"/>
      <c r="X135" s="216"/>
      <c r="Y135" s="216"/>
      <c r="Z135" s="216"/>
      <c r="AA135" s="216"/>
      <c r="AB135" s="216"/>
      <c r="AC135" s="216"/>
      <c r="AD135" s="216"/>
      <c r="AE135" s="216"/>
      <c r="AF135" s="216"/>
      <c r="AG135" s="216"/>
      <c r="AH135" s="216"/>
      <c r="AI135" s="216"/>
      <c r="AJ135" s="216"/>
      <c r="AK135" s="216"/>
      <c r="AL135" s="216"/>
      <c r="AM135" s="216"/>
      <c r="AN135" s="216"/>
      <c r="AO135" s="216"/>
      <c r="AP135" s="216"/>
      <c r="AQ135" s="216"/>
      <c r="AR135" s="216"/>
      <c r="AS135" s="216"/>
      <c r="AT135" s="216"/>
      <c r="AU135" s="216"/>
      <c r="AV135" s="216"/>
      <c r="AW135" s="216"/>
      <c r="AX135" s="216"/>
      <c r="AY135" s="216"/>
    </row>
    <row r="136" ht="12.75" customHeight="1">
      <c r="J136" s="231"/>
      <c r="V136" s="216"/>
      <c r="W136" s="216"/>
      <c r="X136" s="216"/>
      <c r="Y136" s="216"/>
      <c r="Z136" s="216"/>
      <c r="AA136" s="216"/>
      <c r="AB136" s="216"/>
      <c r="AC136" s="216"/>
      <c r="AD136" s="216"/>
      <c r="AE136" s="216"/>
      <c r="AF136" s="216"/>
      <c r="AG136" s="216"/>
      <c r="AH136" s="216"/>
      <c r="AI136" s="216"/>
      <c r="AJ136" s="216"/>
      <c r="AK136" s="216"/>
      <c r="AL136" s="216"/>
      <c r="AM136" s="216"/>
      <c r="AN136" s="216"/>
      <c r="AO136" s="216"/>
      <c r="AP136" s="216"/>
      <c r="AQ136" s="216"/>
      <c r="AR136" s="216"/>
      <c r="AS136" s="216"/>
      <c r="AT136" s="216"/>
      <c r="AU136" s="216"/>
      <c r="AV136" s="216"/>
      <c r="AW136" s="216"/>
      <c r="AX136" s="216"/>
      <c r="AY136" s="216"/>
    </row>
    <row r="137" ht="12.75" customHeight="1">
      <c r="J137" s="231"/>
      <c r="V137" s="216"/>
      <c r="W137" s="216"/>
      <c r="X137" s="216"/>
      <c r="Y137" s="216"/>
      <c r="Z137" s="216"/>
      <c r="AA137" s="216"/>
      <c r="AB137" s="216"/>
      <c r="AC137" s="216"/>
      <c r="AD137" s="216"/>
      <c r="AE137" s="216"/>
      <c r="AF137" s="216"/>
      <c r="AG137" s="216"/>
      <c r="AH137" s="216"/>
      <c r="AI137" s="216"/>
      <c r="AJ137" s="216"/>
      <c r="AK137" s="216"/>
      <c r="AL137" s="216"/>
      <c r="AM137" s="216"/>
      <c r="AN137" s="216"/>
      <c r="AO137" s="216"/>
      <c r="AP137" s="216"/>
      <c r="AQ137" s="216"/>
      <c r="AR137" s="216"/>
      <c r="AS137" s="216"/>
      <c r="AT137" s="216"/>
      <c r="AU137" s="216"/>
      <c r="AV137" s="216"/>
      <c r="AW137" s="216"/>
      <c r="AX137" s="216"/>
      <c r="AY137" s="216"/>
    </row>
    <row r="138" ht="12.75" customHeight="1">
      <c r="J138" s="231"/>
      <c r="V138" s="216"/>
      <c r="W138" s="216"/>
      <c r="X138" s="216"/>
      <c r="Y138" s="216"/>
      <c r="Z138" s="216"/>
      <c r="AA138" s="216"/>
      <c r="AB138" s="216"/>
      <c r="AC138" s="216"/>
      <c r="AD138" s="216"/>
      <c r="AE138" s="216"/>
      <c r="AF138" s="216"/>
      <c r="AG138" s="216"/>
      <c r="AH138" s="216"/>
      <c r="AI138" s="216"/>
      <c r="AJ138" s="216"/>
      <c r="AK138" s="216"/>
      <c r="AL138" s="216"/>
      <c r="AM138" s="216"/>
      <c r="AN138" s="216"/>
      <c r="AO138" s="216"/>
      <c r="AP138" s="216"/>
      <c r="AQ138" s="216"/>
      <c r="AR138" s="216"/>
      <c r="AS138" s="216"/>
      <c r="AT138" s="216"/>
      <c r="AU138" s="216"/>
      <c r="AV138" s="216"/>
      <c r="AW138" s="216"/>
      <c r="AX138" s="216"/>
      <c r="AY138" s="216"/>
    </row>
    <row r="139" ht="12.75" customHeight="1">
      <c r="J139" s="231"/>
      <c r="V139" s="216"/>
      <c r="W139" s="216"/>
      <c r="X139" s="216"/>
      <c r="Y139" s="216"/>
      <c r="Z139" s="216"/>
      <c r="AA139" s="216"/>
      <c r="AB139" s="216"/>
      <c r="AC139" s="216"/>
      <c r="AD139" s="216"/>
      <c r="AE139" s="216"/>
      <c r="AF139" s="216"/>
      <c r="AG139" s="216"/>
      <c r="AH139" s="216"/>
      <c r="AI139" s="216"/>
      <c r="AJ139" s="216"/>
      <c r="AK139" s="216"/>
      <c r="AL139" s="216"/>
      <c r="AM139" s="216"/>
      <c r="AN139" s="216"/>
      <c r="AO139" s="216"/>
      <c r="AP139" s="216"/>
      <c r="AQ139" s="216"/>
      <c r="AR139" s="216"/>
      <c r="AS139" s="216"/>
      <c r="AT139" s="216"/>
      <c r="AU139" s="216"/>
      <c r="AV139" s="216"/>
      <c r="AW139" s="216"/>
      <c r="AX139" s="216"/>
      <c r="AY139" s="216"/>
    </row>
    <row r="140" ht="12.75" customHeight="1">
      <c r="J140" s="231"/>
      <c r="V140" s="216"/>
      <c r="W140" s="216"/>
      <c r="X140" s="216"/>
      <c r="Y140" s="216"/>
      <c r="Z140" s="216"/>
      <c r="AA140" s="216"/>
      <c r="AB140" s="216"/>
      <c r="AC140" s="216"/>
      <c r="AD140" s="216"/>
      <c r="AE140" s="216"/>
      <c r="AF140" s="216"/>
      <c r="AG140" s="216"/>
      <c r="AH140" s="216"/>
      <c r="AI140" s="216"/>
      <c r="AJ140" s="216"/>
      <c r="AK140" s="216"/>
      <c r="AL140" s="216"/>
      <c r="AM140" s="216"/>
      <c r="AN140" s="216"/>
      <c r="AO140" s="216"/>
      <c r="AP140" s="216"/>
      <c r="AQ140" s="216"/>
      <c r="AR140" s="216"/>
      <c r="AS140" s="216"/>
      <c r="AT140" s="216"/>
      <c r="AU140" s="216"/>
      <c r="AV140" s="216"/>
      <c r="AW140" s="216"/>
      <c r="AX140" s="216"/>
      <c r="AY140" s="216"/>
    </row>
    <row r="141" ht="12.75" customHeight="1">
      <c r="J141" s="231"/>
      <c r="V141" s="216"/>
      <c r="W141" s="216"/>
      <c r="X141" s="216"/>
      <c r="Y141" s="216"/>
      <c r="Z141" s="216"/>
      <c r="AA141" s="216"/>
      <c r="AB141" s="216"/>
      <c r="AC141" s="216"/>
      <c r="AD141" s="216"/>
      <c r="AE141" s="216"/>
      <c r="AF141" s="216"/>
      <c r="AG141" s="216"/>
      <c r="AH141" s="216"/>
      <c r="AI141" s="216"/>
      <c r="AJ141" s="216"/>
      <c r="AK141" s="216"/>
      <c r="AL141" s="216"/>
      <c r="AM141" s="216"/>
      <c r="AN141" s="216"/>
      <c r="AO141" s="216"/>
      <c r="AP141" s="216"/>
      <c r="AQ141" s="216"/>
      <c r="AR141" s="216"/>
      <c r="AS141" s="216"/>
      <c r="AT141" s="216"/>
      <c r="AU141" s="216"/>
      <c r="AV141" s="216"/>
      <c r="AW141" s="216"/>
      <c r="AX141" s="216"/>
      <c r="AY141" s="216"/>
    </row>
    <row r="142" ht="12.75" customHeight="1">
      <c r="J142" s="231"/>
      <c r="V142" s="216"/>
      <c r="W142" s="216"/>
      <c r="X142" s="216"/>
      <c r="Y142" s="216"/>
      <c r="Z142" s="216"/>
      <c r="AA142" s="216"/>
      <c r="AB142" s="216"/>
      <c r="AC142" s="216"/>
      <c r="AD142" s="216"/>
      <c r="AE142" s="216"/>
      <c r="AF142" s="216"/>
      <c r="AG142" s="216"/>
      <c r="AH142" s="216"/>
      <c r="AI142" s="216"/>
      <c r="AJ142" s="216"/>
      <c r="AK142" s="216"/>
      <c r="AL142" s="216"/>
      <c r="AM142" s="216"/>
      <c r="AN142" s="216"/>
      <c r="AO142" s="216"/>
      <c r="AP142" s="216"/>
      <c r="AQ142" s="216"/>
      <c r="AR142" s="216"/>
      <c r="AS142" s="216"/>
      <c r="AT142" s="216"/>
      <c r="AU142" s="216"/>
      <c r="AV142" s="216"/>
      <c r="AW142" s="216"/>
      <c r="AX142" s="216"/>
      <c r="AY142" s="216"/>
    </row>
    <row r="143" ht="12.75" customHeight="1">
      <c r="J143" s="231"/>
      <c r="V143" s="216"/>
      <c r="W143" s="216"/>
      <c r="X143" s="216"/>
      <c r="Y143" s="216"/>
      <c r="Z143" s="216"/>
      <c r="AA143" s="216"/>
      <c r="AB143" s="216"/>
      <c r="AC143" s="216"/>
      <c r="AD143" s="216"/>
      <c r="AE143" s="216"/>
      <c r="AF143" s="216"/>
      <c r="AG143" s="216"/>
      <c r="AH143" s="216"/>
      <c r="AI143" s="216"/>
      <c r="AJ143" s="216"/>
      <c r="AK143" s="216"/>
      <c r="AL143" s="216"/>
      <c r="AM143" s="216"/>
      <c r="AN143" s="216"/>
      <c r="AO143" s="216"/>
      <c r="AP143" s="216"/>
      <c r="AQ143" s="216"/>
      <c r="AR143" s="216"/>
      <c r="AS143" s="216"/>
      <c r="AT143" s="216"/>
      <c r="AU143" s="216"/>
      <c r="AV143" s="216"/>
      <c r="AW143" s="216"/>
      <c r="AX143" s="216"/>
      <c r="AY143" s="216"/>
    </row>
    <row r="144" ht="12.75" customHeight="1">
      <c r="J144" s="231"/>
      <c r="V144" s="216"/>
      <c r="W144" s="216"/>
      <c r="X144" s="216"/>
      <c r="Y144" s="216"/>
      <c r="Z144" s="216"/>
      <c r="AA144" s="216"/>
      <c r="AB144" s="216"/>
      <c r="AC144" s="216"/>
      <c r="AD144" s="216"/>
      <c r="AE144" s="216"/>
      <c r="AF144" s="216"/>
      <c r="AG144" s="216"/>
      <c r="AH144" s="216"/>
      <c r="AI144" s="216"/>
      <c r="AJ144" s="216"/>
      <c r="AK144" s="216"/>
      <c r="AL144" s="216"/>
      <c r="AM144" s="216"/>
      <c r="AN144" s="216"/>
      <c r="AO144" s="216"/>
      <c r="AP144" s="216"/>
      <c r="AQ144" s="216"/>
      <c r="AR144" s="216"/>
      <c r="AS144" s="216"/>
      <c r="AT144" s="216"/>
      <c r="AU144" s="216"/>
      <c r="AV144" s="216"/>
      <c r="AW144" s="216"/>
      <c r="AX144" s="216"/>
      <c r="AY144" s="216"/>
    </row>
    <row r="145" ht="12.75" customHeight="1">
      <c r="J145" s="231"/>
      <c r="V145" s="216"/>
      <c r="W145" s="216"/>
      <c r="X145" s="216"/>
      <c r="Y145" s="216"/>
      <c r="Z145" s="216"/>
      <c r="AA145" s="216"/>
      <c r="AB145" s="216"/>
      <c r="AC145" s="216"/>
      <c r="AD145" s="216"/>
      <c r="AE145" s="216"/>
      <c r="AF145" s="216"/>
      <c r="AG145" s="216"/>
      <c r="AH145" s="216"/>
      <c r="AI145" s="216"/>
      <c r="AJ145" s="216"/>
      <c r="AK145" s="216"/>
      <c r="AL145" s="216"/>
      <c r="AM145" s="216"/>
      <c r="AN145" s="216"/>
      <c r="AO145" s="216"/>
      <c r="AP145" s="216"/>
      <c r="AQ145" s="216"/>
      <c r="AR145" s="216"/>
      <c r="AS145" s="216"/>
      <c r="AT145" s="216"/>
      <c r="AU145" s="216"/>
      <c r="AV145" s="216"/>
      <c r="AW145" s="216"/>
      <c r="AX145" s="216"/>
      <c r="AY145" s="216"/>
    </row>
    <row r="146" ht="12.75" customHeight="1">
      <c r="J146" s="231"/>
      <c r="V146" s="216"/>
      <c r="W146" s="216"/>
      <c r="X146" s="216"/>
      <c r="Y146" s="216"/>
      <c r="Z146" s="216"/>
      <c r="AA146" s="216"/>
      <c r="AB146" s="216"/>
      <c r="AC146" s="216"/>
      <c r="AD146" s="216"/>
      <c r="AE146" s="216"/>
      <c r="AF146" s="216"/>
      <c r="AG146" s="216"/>
      <c r="AH146" s="216"/>
      <c r="AI146" s="216"/>
      <c r="AJ146" s="216"/>
      <c r="AK146" s="216"/>
      <c r="AL146" s="216"/>
      <c r="AM146" s="216"/>
      <c r="AN146" s="216"/>
      <c r="AO146" s="216"/>
      <c r="AP146" s="216"/>
      <c r="AQ146" s="216"/>
      <c r="AR146" s="216"/>
      <c r="AS146" s="216"/>
      <c r="AT146" s="216"/>
      <c r="AU146" s="216"/>
      <c r="AV146" s="216"/>
      <c r="AW146" s="216"/>
      <c r="AX146" s="216"/>
      <c r="AY146" s="216"/>
    </row>
    <row r="147" ht="12.75" customHeight="1">
      <c r="J147" s="231"/>
      <c r="V147" s="216"/>
      <c r="W147" s="216"/>
      <c r="X147" s="216"/>
      <c r="Y147" s="216"/>
      <c r="Z147" s="216"/>
      <c r="AA147" s="216"/>
      <c r="AB147" s="216"/>
      <c r="AC147" s="216"/>
      <c r="AD147" s="216"/>
      <c r="AE147" s="216"/>
      <c r="AF147" s="216"/>
      <c r="AG147" s="216"/>
      <c r="AH147" s="216"/>
      <c r="AI147" s="216"/>
      <c r="AJ147" s="216"/>
      <c r="AK147" s="216"/>
      <c r="AL147" s="216"/>
      <c r="AM147" s="216"/>
      <c r="AN147" s="216"/>
      <c r="AO147" s="216"/>
      <c r="AP147" s="216"/>
      <c r="AQ147" s="216"/>
      <c r="AR147" s="216"/>
      <c r="AS147" s="216"/>
      <c r="AT147" s="216"/>
      <c r="AU147" s="216"/>
      <c r="AV147" s="216"/>
      <c r="AW147" s="216"/>
      <c r="AX147" s="216"/>
      <c r="AY147" s="216"/>
    </row>
    <row r="148" ht="12.75" customHeight="1">
      <c r="J148" s="231"/>
      <c r="V148" s="216"/>
      <c r="W148" s="216"/>
      <c r="X148" s="216"/>
      <c r="Y148" s="216"/>
      <c r="Z148" s="216"/>
      <c r="AA148" s="216"/>
      <c r="AB148" s="216"/>
      <c r="AC148" s="216"/>
      <c r="AD148" s="216"/>
      <c r="AE148" s="216"/>
      <c r="AF148" s="216"/>
      <c r="AG148" s="216"/>
      <c r="AH148" s="216"/>
      <c r="AI148" s="216"/>
      <c r="AJ148" s="216"/>
      <c r="AK148" s="216"/>
      <c r="AL148" s="216"/>
      <c r="AM148" s="216"/>
      <c r="AN148" s="216"/>
      <c r="AO148" s="216"/>
      <c r="AP148" s="216"/>
      <c r="AQ148" s="216"/>
      <c r="AR148" s="216"/>
      <c r="AS148" s="216"/>
      <c r="AT148" s="216"/>
      <c r="AU148" s="216"/>
      <c r="AV148" s="216"/>
      <c r="AW148" s="216"/>
      <c r="AX148" s="216"/>
      <c r="AY148" s="216"/>
    </row>
    <row r="149" ht="12.75" customHeight="1">
      <c r="J149" s="231"/>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c r="AW149" s="216"/>
      <c r="AX149" s="216"/>
      <c r="AY149" s="216"/>
    </row>
    <row r="150" ht="12.75" customHeight="1">
      <c r="J150" s="231"/>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c r="AW150" s="216"/>
      <c r="AX150" s="216"/>
      <c r="AY150" s="216"/>
    </row>
    <row r="151" ht="12.75" customHeight="1">
      <c r="J151" s="231"/>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c r="AW151" s="216"/>
      <c r="AX151" s="216"/>
      <c r="AY151" s="216"/>
    </row>
    <row r="152" ht="12.75" customHeight="1">
      <c r="J152" s="231"/>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c r="AW152" s="216"/>
      <c r="AX152" s="216"/>
      <c r="AY152" s="216"/>
    </row>
    <row r="153" ht="12.75" customHeight="1">
      <c r="J153" s="231"/>
      <c r="V153" s="216"/>
      <c r="W153" s="216"/>
      <c r="X153" s="216"/>
      <c r="Y153" s="216"/>
      <c r="Z153" s="216"/>
      <c r="AA153" s="216"/>
      <c r="AB153" s="216"/>
      <c r="AC153" s="216"/>
      <c r="AD153" s="216"/>
      <c r="AE153" s="216"/>
      <c r="AF153" s="216"/>
      <c r="AG153" s="216"/>
      <c r="AH153" s="216"/>
      <c r="AI153" s="216"/>
      <c r="AJ153" s="216"/>
      <c r="AK153" s="216"/>
      <c r="AL153" s="216"/>
      <c r="AM153" s="216"/>
      <c r="AN153" s="216"/>
      <c r="AO153" s="216"/>
      <c r="AP153" s="216"/>
      <c r="AQ153" s="216"/>
      <c r="AR153" s="216"/>
      <c r="AS153" s="216"/>
      <c r="AT153" s="216"/>
      <c r="AU153" s="216"/>
      <c r="AV153" s="216"/>
      <c r="AW153" s="216"/>
      <c r="AX153" s="216"/>
      <c r="AY153" s="216"/>
    </row>
    <row r="154" ht="12.75" customHeight="1">
      <c r="J154" s="231"/>
      <c r="V154" s="216"/>
      <c r="W154" s="216"/>
      <c r="X154" s="216"/>
      <c r="Y154" s="216"/>
      <c r="Z154" s="216"/>
      <c r="AA154" s="216"/>
      <c r="AB154" s="216"/>
      <c r="AC154" s="216"/>
      <c r="AD154" s="216"/>
      <c r="AE154" s="216"/>
      <c r="AF154" s="216"/>
      <c r="AG154" s="216"/>
      <c r="AH154" s="216"/>
      <c r="AI154" s="216"/>
      <c r="AJ154" s="216"/>
      <c r="AK154" s="216"/>
      <c r="AL154" s="216"/>
      <c r="AM154" s="216"/>
      <c r="AN154" s="216"/>
      <c r="AO154" s="216"/>
      <c r="AP154" s="216"/>
      <c r="AQ154" s="216"/>
      <c r="AR154" s="216"/>
      <c r="AS154" s="216"/>
      <c r="AT154" s="216"/>
      <c r="AU154" s="216"/>
      <c r="AV154" s="216"/>
      <c r="AW154" s="216"/>
      <c r="AX154" s="216"/>
      <c r="AY154" s="216"/>
    </row>
    <row r="155" ht="12.75" customHeight="1">
      <c r="J155" s="231"/>
      <c r="V155" s="216"/>
      <c r="W155" s="216"/>
      <c r="X155" s="216"/>
      <c r="Y155" s="216"/>
      <c r="Z155" s="216"/>
      <c r="AA155" s="216"/>
      <c r="AB155" s="216"/>
      <c r="AC155" s="216"/>
      <c r="AD155" s="216"/>
      <c r="AE155" s="216"/>
      <c r="AF155" s="216"/>
      <c r="AG155" s="216"/>
      <c r="AH155" s="216"/>
      <c r="AI155" s="216"/>
      <c r="AJ155" s="216"/>
      <c r="AK155" s="216"/>
      <c r="AL155" s="216"/>
      <c r="AM155" s="216"/>
      <c r="AN155" s="216"/>
      <c r="AO155" s="216"/>
      <c r="AP155" s="216"/>
      <c r="AQ155" s="216"/>
      <c r="AR155" s="216"/>
      <c r="AS155" s="216"/>
      <c r="AT155" s="216"/>
      <c r="AU155" s="216"/>
      <c r="AV155" s="216"/>
      <c r="AW155" s="216"/>
      <c r="AX155" s="216"/>
      <c r="AY155" s="216"/>
    </row>
    <row r="156" ht="12.75" customHeight="1">
      <c r="J156" s="231"/>
      <c r="V156" s="216"/>
      <c r="W156" s="216"/>
      <c r="X156" s="216"/>
      <c r="Y156" s="216"/>
      <c r="Z156" s="216"/>
      <c r="AA156" s="216"/>
      <c r="AB156" s="216"/>
      <c r="AC156" s="216"/>
      <c r="AD156" s="216"/>
      <c r="AE156" s="216"/>
      <c r="AF156" s="216"/>
      <c r="AG156" s="216"/>
      <c r="AH156" s="216"/>
      <c r="AI156" s="216"/>
      <c r="AJ156" s="216"/>
      <c r="AK156" s="216"/>
      <c r="AL156" s="216"/>
      <c r="AM156" s="216"/>
      <c r="AN156" s="216"/>
      <c r="AO156" s="216"/>
      <c r="AP156" s="216"/>
      <c r="AQ156" s="216"/>
      <c r="AR156" s="216"/>
      <c r="AS156" s="216"/>
      <c r="AT156" s="216"/>
      <c r="AU156" s="216"/>
      <c r="AV156" s="216"/>
      <c r="AW156" s="216"/>
      <c r="AX156" s="216"/>
      <c r="AY156" s="216"/>
    </row>
    <row r="157" ht="12.75" customHeight="1">
      <c r="J157" s="231"/>
      <c r="V157" s="216"/>
      <c r="W157" s="216"/>
      <c r="X157" s="216"/>
      <c r="Y157" s="216"/>
      <c r="Z157" s="216"/>
      <c r="AA157" s="216"/>
      <c r="AB157" s="216"/>
      <c r="AC157" s="216"/>
      <c r="AD157" s="216"/>
      <c r="AE157" s="216"/>
      <c r="AF157" s="216"/>
      <c r="AG157" s="216"/>
      <c r="AH157" s="216"/>
      <c r="AI157" s="216"/>
      <c r="AJ157" s="216"/>
      <c r="AK157" s="216"/>
      <c r="AL157" s="216"/>
      <c r="AM157" s="216"/>
      <c r="AN157" s="216"/>
      <c r="AO157" s="216"/>
      <c r="AP157" s="216"/>
      <c r="AQ157" s="216"/>
      <c r="AR157" s="216"/>
      <c r="AS157" s="216"/>
      <c r="AT157" s="216"/>
      <c r="AU157" s="216"/>
      <c r="AV157" s="216"/>
      <c r="AW157" s="216"/>
      <c r="AX157" s="216"/>
      <c r="AY157" s="216"/>
    </row>
    <row r="158" ht="12.75" customHeight="1">
      <c r="J158" s="231"/>
      <c r="V158" s="216"/>
      <c r="W158" s="216"/>
      <c r="X158" s="216"/>
      <c r="Y158" s="216"/>
      <c r="Z158" s="216"/>
      <c r="AA158" s="216"/>
      <c r="AB158" s="216"/>
      <c r="AC158" s="216"/>
      <c r="AD158" s="216"/>
      <c r="AE158" s="216"/>
      <c r="AF158" s="216"/>
      <c r="AG158" s="216"/>
      <c r="AH158" s="216"/>
      <c r="AI158" s="216"/>
      <c r="AJ158" s="216"/>
      <c r="AK158" s="216"/>
      <c r="AL158" s="216"/>
      <c r="AM158" s="216"/>
      <c r="AN158" s="216"/>
      <c r="AO158" s="216"/>
      <c r="AP158" s="216"/>
      <c r="AQ158" s="216"/>
      <c r="AR158" s="216"/>
      <c r="AS158" s="216"/>
      <c r="AT158" s="216"/>
      <c r="AU158" s="216"/>
      <c r="AV158" s="216"/>
      <c r="AW158" s="216"/>
      <c r="AX158" s="216"/>
      <c r="AY158" s="216"/>
    </row>
    <row r="159" ht="12.75" customHeight="1">
      <c r="J159" s="231"/>
      <c r="V159" s="216"/>
      <c r="W159" s="216"/>
      <c r="X159" s="216"/>
      <c r="Y159" s="216"/>
      <c r="Z159" s="216"/>
      <c r="AA159" s="216"/>
      <c r="AB159" s="216"/>
      <c r="AC159" s="216"/>
      <c r="AD159" s="216"/>
      <c r="AE159" s="216"/>
      <c r="AF159" s="216"/>
      <c r="AG159" s="216"/>
      <c r="AH159" s="216"/>
      <c r="AI159" s="216"/>
      <c r="AJ159" s="216"/>
      <c r="AK159" s="216"/>
      <c r="AL159" s="216"/>
      <c r="AM159" s="216"/>
      <c r="AN159" s="216"/>
      <c r="AO159" s="216"/>
      <c r="AP159" s="216"/>
      <c r="AQ159" s="216"/>
      <c r="AR159" s="216"/>
      <c r="AS159" s="216"/>
      <c r="AT159" s="216"/>
      <c r="AU159" s="216"/>
      <c r="AV159" s="216"/>
      <c r="AW159" s="216"/>
      <c r="AX159" s="216"/>
      <c r="AY159" s="216"/>
    </row>
    <row r="160" ht="12.75" customHeight="1">
      <c r="J160" s="231"/>
      <c r="V160" s="216"/>
      <c r="W160" s="216"/>
      <c r="X160" s="216"/>
      <c r="Y160" s="216"/>
      <c r="Z160" s="216"/>
      <c r="AA160" s="216"/>
      <c r="AB160" s="216"/>
      <c r="AC160" s="216"/>
      <c r="AD160" s="216"/>
      <c r="AE160" s="216"/>
      <c r="AF160" s="216"/>
      <c r="AG160" s="216"/>
      <c r="AH160" s="216"/>
      <c r="AI160" s="216"/>
      <c r="AJ160" s="216"/>
      <c r="AK160" s="216"/>
      <c r="AL160" s="216"/>
      <c r="AM160" s="216"/>
      <c r="AN160" s="216"/>
      <c r="AO160" s="216"/>
      <c r="AP160" s="216"/>
      <c r="AQ160" s="216"/>
      <c r="AR160" s="216"/>
      <c r="AS160" s="216"/>
      <c r="AT160" s="216"/>
      <c r="AU160" s="216"/>
      <c r="AV160" s="216"/>
      <c r="AW160" s="216"/>
      <c r="AX160" s="216"/>
      <c r="AY160" s="216"/>
    </row>
    <row r="161" ht="12.75" customHeight="1">
      <c r="J161" s="231"/>
      <c r="V161" s="216"/>
      <c r="W161" s="216"/>
      <c r="X161" s="216"/>
      <c r="Y161" s="216"/>
      <c r="Z161" s="216"/>
      <c r="AA161" s="216"/>
      <c r="AB161" s="216"/>
      <c r="AC161" s="216"/>
      <c r="AD161" s="216"/>
      <c r="AE161" s="216"/>
      <c r="AF161" s="216"/>
      <c r="AG161" s="216"/>
      <c r="AH161" s="216"/>
      <c r="AI161" s="216"/>
      <c r="AJ161" s="216"/>
      <c r="AK161" s="216"/>
      <c r="AL161" s="216"/>
      <c r="AM161" s="216"/>
      <c r="AN161" s="216"/>
      <c r="AO161" s="216"/>
      <c r="AP161" s="216"/>
      <c r="AQ161" s="216"/>
      <c r="AR161" s="216"/>
      <c r="AS161" s="216"/>
      <c r="AT161" s="216"/>
      <c r="AU161" s="216"/>
      <c r="AV161" s="216"/>
      <c r="AW161" s="216"/>
      <c r="AX161" s="216"/>
      <c r="AY161" s="216"/>
    </row>
    <row r="162" ht="12.75" customHeight="1">
      <c r="J162" s="231"/>
      <c r="V162" s="216"/>
      <c r="W162" s="216"/>
      <c r="X162" s="216"/>
      <c r="Y162" s="216"/>
      <c r="Z162" s="216"/>
      <c r="AA162" s="216"/>
      <c r="AB162" s="216"/>
      <c r="AC162" s="216"/>
      <c r="AD162" s="216"/>
      <c r="AE162" s="216"/>
      <c r="AF162" s="216"/>
      <c r="AG162" s="216"/>
      <c r="AH162" s="216"/>
      <c r="AI162" s="216"/>
      <c r="AJ162" s="216"/>
      <c r="AK162" s="216"/>
      <c r="AL162" s="216"/>
      <c r="AM162" s="216"/>
      <c r="AN162" s="216"/>
      <c r="AO162" s="216"/>
      <c r="AP162" s="216"/>
      <c r="AQ162" s="216"/>
      <c r="AR162" s="216"/>
      <c r="AS162" s="216"/>
      <c r="AT162" s="216"/>
      <c r="AU162" s="216"/>
      <c r="AV162" s="216"/>
      <c r="AW162" s="216"/>
      <c r="AX162" s="216"/>
      <c r="AY162" s="216"/>
    </row>
    <row r="163" ht="12.75" customHeight="1">
      <c r="J163" s="231"/>
      <c r="V163" s="216"/>
      <c r="W163" s="216"/>
      <c r="X163" s="216"/>
      <c r="Y163" s="216"/>
      <c r="Z163" s="216"/>
      <c r="AA163" s="216"/>
      <c r="AB163" s="216"/>
      <c r="AC163" s="216"/>
      <c r="AD163" s="216"/>
      <c r="AE163" s="216"/>
      <c r="AF163" s="216"/>
      <c r="AG163" s="216"/>
      <c r="AH163" s="216"/>
      <c r="AI163" s="216"/>
      <c r="AJ163" s="216"/>
      <c r="AK163" s="216"/>
      <c r="AL163" s="216"/>
      <c r="AM163" s="216"/>
      <c r="AN163" s="216"/>
      <c r="AO163" s="216"/>
      <c r="AP163" s="216"/>
      <c r="AQ163" s="216"/>
      <c r="AR163" s="216"/>
      <c r="AS163" s="216"/>
      <c r="AT163" s="216"/>
      <c r="AU163" s="216"/>
      <c r="AV163" s="216"/>
      <c r="AW163" s="216"/>
      <c r="AX163" s="216"/>
      <c r="AY163" s="216"/>
    </row>
    <row r="164" ht="12.75" customHeight="1">
      <c r="J164" s="231"/>
      <c r="V164" s="216"/>
      <c r="W164" s="216"/>
      <c r="X164" s="216"/>
      <c r="Y164" s="216"/>
      <c r="Z164" s="216"/>
      <c r="AA164" s="216"/>
      <c r="AB164" s="216"/>
      <c r="AC164" s="216"/>
      <c r="AD164" s="216"/>
      <c r="AE164" s="216"/>
      <c r="AF164" s="216"/>
      <c r="AG164" s="216"/>
      <c r="AH164" s="216"/>
      <c r="AI164" s="216"/>
      <c r="AJ164" s="216"/>
      <c r="AK164" s="216"/>
      <c r="AL164" s="216"/>
      <c r="AM164" s="216"/>
      <c r="AN164" s="216"/>
      <c r="AO164" s="216"/>
      <c r="AP164" s="216"/>
      <c r="AQ164" s="216"/>
      <c r="AR164" s="216"/>
      <c r="AS164" s="216"/>
      <c r="AT164" s="216"/>
      <c r="AU164" s="216"/>
      <c r="AV164" s="216"/>
      <c r="AW164" s="216"/>
      <c r="AX164" s="216"/>
      <c r="AY164" s="216"/>
    </row>
    <row r="165" ht="12.75" customHeight="1">
      <c r="J165" s="231"/>
      <c r="V165" s="216"/>
      <c r="W165" s="216"/>
      <c r="X165" s="216"/>
      <c r="Y165" s="216"/>
      <c r="Z165" s="216"/>
      <c r="AA165" s="216"/>
      <c r="AB165" s="216"/>
      <c r="AC165" s="216"/>
      <c r="AD165" s="216"/>
      <c r="AE165" s="216"/>
      <c r="AF165" s="216"/>
      <c r="AG165" s="216"/>
      <c r="AH165" s="216"/>
      <c r="AI165" s="216"/>
      <c r="AJ165" s="216"/>
      <c r="AK165" s="216"/>
      <c r="AL165" s="216"/>
      <c r="AM165" s="216"/>
      <c r="AN165" s="216"/>
      <c r="AO165" s="216"/>
      <c r="AP165" s="216"/>
      <c r="AQ165" s="216"/>
      <c r="AR165" s="216"/>
      <c r="AS165" s="216"/>
      <c r="AT165" s="216"/>
      <c r="AU165" s="216"/>
      <c r="AV165" s="216"/>
      <c r="AW165" s="216"/>
      <c r="AX165" s="216"/>
      <c r="AY165" s="216"/>
    </row>
    <row r="166" ht="12.75" customHeight="1">
      <c r="J166" s="231"/>
      <c r="V166" s="216"/>
      <c r="W166" s="216"/>
      <c r="X166" s="216"/>
      <c r="Y166" s="216"/>
      <c r="Z166" s="216"/>
      <c r="AA166" s="216"/>
      <c r="AB166" s="216"/>
      <c r="AC166" s="216"/>
      <c r="AD166" s="216"/>
      <c r="AE166" s="216"/>
      <c r="AF166" s="216"/>
      <c r="AG166" s="216"/>
      <c r="AH166" s="216"/>
      <c r="AI166" s="216"/>
      <c r="AJ166" s="216"/>
      <c r="AK166" s="216"/>
      <c r="AL166" s="216"/>
      <c r="AM166" s="216"/>
      <c r="AN166" s="216"/>
      <c r="AO166" s="216"/>
      <c r="AP166" s="216"/>
      <c r="AQ166" s="216"/>
      <c r="AR166" s="216"/>
      <c r="AS166" s="216"/>
      <c r="AT166" s="216"/>
      <c r="AU166" s="216"/>
      <c r="AV166" s="216"/>
      <c r="AW166" s="216"/>
      <c r="AX166" s="216"/>
      <c r="AY166" s="216"/>
    </row>
    <row r="167" ht="12.75" customHeight="1">
      <c r="J167" s="231"/>
      <c r="V167" s="216"/>
      <c r="W167" s="216"/>
      <c r="X167" s="216"/>
      <c r="Y167" s="216"/>
      <c r="Z167" s="216"/>
      <c r="AA167" s="216"/>
      <c r="AB167" s="216"/>
      <c r="AC167" s="216"/>
      <c r="AD167" s="216"/>
      <c r="AE167" s="216"/>
      <c r="AF167" s="216"/>
      <c r="AG167" s="216"/>
      <c r="AH167" s="216"/>
      <c r="AI167" s="216"/>
      <c r="AJ167" s="216"/>
      <c r="AK167" s="216"/>
      <c r="AL167" s="216"/>
      <c r="AM167" s="216"/>
      <c r="AN167" s="216"/>
      <c r="AO167" s="216"/>
      <c r="AP167" s="216"/>
      <c r="AQ167" s="216"/>
      <c r="AR167" s="216"/>
      <c r="AS167" s="216"/>
      <c r="AT167" s="216"/>
      <c r="AU167" s="216"/>
      <c r="AV167" s="216"/>
      <c r="AW167" s="216"/>
      <c r="AX167" s="216"/>
      <c r="AY167" s="216"/>
    </row>
    <row r="168" ht="12.75" customHeight="1">
      <c r="J168" s="231"/>
      <c r="V168" s="216"/>
      <c r="W168" s="216"/>
      <c r="X168" s="216"/>
      <c r="Y168" s="216"/>
      <c r="Z168" s="216"/>
      <c r="AA168" s="216"/>
      <c r="AB168" s="216"/>
      <c r="AC168" s="216"/>
      <c r="AD168" s="216"/>
      <c r="AE168" s="216"/>
      <c r="AF168" s="216"/>
      <c r="AG168" s="216"/>
      <c r="AH168" s="216"/>
      <c r="AI168" s="216"/>
      <c r="AJ168" s="216"/>
      <c r="AK168" s="216"/>
      <c r="AL168" s="216"/>
      <c r="AM168" s="216"/>
      <c r="AN168" s="216"/>
      <c r="AO168" s="216"/>
      <c r="AP168" s="216"/>
      <c r="AQ168" s="216"/>
      <c r="AR168" s="216"/>
      <c r="AS168" s="216"/>
      <c r="AT168" s="216"/>
      <c r="AU168" s="216"/>
      <c r="AV168" s="216"/>
      <c r="AW168" s="216"/>
      <c r="AX168" s="216"/>
      <c r="AY168" s="216"/>
    </row>
    <row r="169" ht="12.75" customHeight="1">
      <c r="J169" s="231"/>
      <c r="V169" s="216"/>
      <c r="W169" s="216"/>
      <c r="X169" s="216"/>
      <c r="Y169" s="216"/>
      <c r="Z169" s="216"/>
      <c r="AA169" s="216"/>
      <c r="AB169" s="216"/>
      <c r="AC169" s="216"/>
      <c r="AD169" s="216"/>
      <c r="AE169" s="216"/>
      <c r="AF169" s="216"/>
      <c r="AG169" s="216"/>
      <c r="AH169" s="216"/>
      <c r="AI169" s="216"/>
      <c r="AJ169" s="216"/>
      <c r="AK169" s="216"/>
      <c r="AL169" s="216"/>
      <c r="AM169" s="216"/>
      <c r="AN169" s="216"/>
      <c r="AO169" s="216"/>
      <c r="AP169" s="216"/>
      <c r="AQ169" s="216"/>
      <c r="AR169" s="216"/>
      <c r="AS169" s="216"/>
      <c r="AT169" s="216"/>
      <c r="AU169" s="216"/>
      <c r="AV169" s="216"/>
      <c r="AW169" s="216"/>
      <c r="AX169" s="216"/>
      <c r="AY169" s="216"/>
    </row>
    <row r="170" ht="12.75" customHeight="1">
      <c r="J170" s="231"/>
      <c r="V170" s="216"/>
      <c r="W170" s="216"/>
      <c r="X170" s="216"/>
      <c r="Y170" s="216"/>
      <c r="Z170" s="216"/>
      <c r="AA170" s="216"/>
      <c r="AB170" s="216"/>
      <c r="AC170" s="216"/>
      <c r="AD170" s="216"/>
      <c r="AE170" s="216"/>
      <c r="AF170" s="216"/>
      <c r="AG170" s="216"/>
      <c r="AH170" s="216"/>
      <c r="AI170" s="216"/>
      <c r="AJ170" s="216"/>
      <c r="AK170" s="216"/>
      <c r="AL170" s="216"/>
      <c r="AM170" s="216"/>
      <c r="AN170" s="216"/>
      <c r="AO170" s="216"/>
      <c r="AP170" s="216"/>
      <c r="AQ170" s="216"/>
      <c r="AR170" s="216"/>
      <c r="AS170" s="216"/>
      <c r="AT170" s="216"/>
      <c r="AU170" s="216"/>
      <c r="AV170" s="216"/>
      <c r="AW170" s="216"/>
      <c r="AX170" s="216"/>
      <c r="AY170" s="216"/>
    </row>
    <row r="171" ht="12.75" customHeight="1">
      <c r="J171" s="231"/>
      <c r="V171" s="216"/>
      <c r="W171" s="216"/>
      <c r="X171" s="216"/>
      <c r="Y171" s="216"/>
      <c r="Z171" s="216"/>
      <c r="AA171" s="216"/>
      <c r="AB171" s="216"/>
      <c r="AC171" s="216"/>
      <c r="AD171" s="216"/>
      <c r="AE171" s="216"/>
      <c r="AF171" s="216"/>
      <c r="AG171" s="216"/>
      <c r="AH171" s="216"/>
      <c r="AI171" s="216"/>
      <c r="AJ171" s="216"/>
      <c r="AK171" s="216"/>
      <c r="AL171" s="216"/>
      <c r="AM171" s="216"/>
      <c r="AN171" s="216"/>
      <c r="AO171" s="216"/>
      <c r="AP171" s="216"/>
      <c r="AQ171" s="216"/>
      <c r="AR171" s="216"/>
      <c r="AS171" s="216"/>
      <c r="AT171" s="216"/>
      <c r="AU171" s="216"/>
      <c r="AV171" s="216"/>
      <c r="AW171" s="216"/>
      <c r="AX171" s="216"/>
      <c r="AY171" s="216"/>
    </row>
    <row r="172" ht="12.75" customHeight="1">
      <c r="J172" s="231"/>
      <c r="V172" s="216"/>
      <c r="W172" s="216"/>
      <c r="X172" s="216"/>
      <c r="Y172" s="216"/>
      <c r="Z172" s="216"/>
      <c r="AA172" s="216"/>
      <c r="AB172" s="216"/>
      <c r="AC172" s="216"/>
      <c r="AD172" s="216"/>
      <c r="AE172" s="216"/>
      <c r="AF172" s="216"/>
      <c r="AG172" s="216"/>
      <c r="AH172" s="216"/>
      <c r="AI172" s="216"/>
      <c r="AJ172" s="216"/>
      <c r="AK172" s="216"/>
      <c r="AL172" s="216"/>
      <c r="AM172" s="216"/>
      <c r="AN172" s="216"/>
      <c r="AO172" s="216"/>
      <c r="AP172" s="216"/>
      <c r="AQ172" s="216"/>
      <c r="AR172" s="216"/>
      <c r="AS172" s="216"/>
      <c r="AT172" s="216"/>
      <c r="AU172" s="216"/>
      <c r="AV172" s="216"/>
      <c r="AW172" s="216"/>
      <c r="AX172" s="216"/>
      <c r="AY172" s="216"/>
    </row>
    <row r="173" ht="12.75" customHeight="1">
      <c r="J173" s="231"/>
      <c r="V173" s="216"/>
      <c r="W173" s="216"/>
      <c r="X173" s="216"/>
      <c r="Y173" s="216"/>
      <c r="Z173" s="216"/>
      <c r="AA173" s="216"/>
      <c r="AB173" s="216"/>
      <c r="AC173" s="216"/>
      <c r="AD173" s="216"/>
      <c r="AE173" s="216"/>
      <c r="AF173" s="216"/>
      <c r="AG173" s="216"/>
      <c r="AH173" s="216"/>
      <c r="AI173" s="216"/>
      <c r="AJ173" s="216"/>
      <c r="AK173" s="216"/>
      <c r="AL173" s="216"/>
      <c r="AM173" s="216"/>
      <c r="AN173" s="216"/>
      <c r="AO173" s="216"/>
      <c r="AP173" s="216"/>
      <c r="AQ173" s="216"/>
      <c r="AR173" s="216"/>
      <c r="AS173" s="216"/>
      <c r="AT173" s="216"/>
      <c r="AU173" s="216"/>
      <c r="AV173" s="216"/>
      <c r="AW173" s="216"/>
      <c r="AX173" s="216"/>
      <c r="AY173" s="216"/>
    </row>
    <row r="174" ht="12.75" customHeight="1">
      <c r="J174" s="231"/>
      <c r="V174" s="216"/>
      <c r="W174" s="216"/>
      <c r="X174" s="216"/>
      <c r="Y174" s="216"/>
      <c r="Z174" s="216"/>
      <c r="AA174" s="216"/>
      <c r="AB174" s="216"/>
      <c r="AC174" s="216"/>
      <c r="AD174" s="216"/>
      <c r="AE174" s="216"/>
      <c r="AF174" s="216"/>
      <c r="AG174" s="216"/>
      <c r="AH174" s="216"/>
      <c r="AI174" s="216"/>
      <c r="AJ174" s="216"/>
      <c r="AK174" s="216"/>
      <c r="AL174" s="216"/>
      <c r="AM174" s="216"/>
      <c r="AN174" s="216"/>
      <c r="AO174" s="216"/>
      <c r="AP174" s="216"/>
      <c r="AQ174" s="216"/>
      <c r="AR174" s="216"/>
      <c r="AS174" s="216"/>
      <c r="AT174" s="216"/>
      <c r="AU174" s="216"/>
      <c r="AV174" s="216"/>
      <c r="AW174" s="216"/>
      <c r="AX174" s="216"/>
      <c r="AY174" s="216"/>
    </row>
    <row r="175" ht="12.75" customHeight="1">
      <c r="J175" s="231"/>
      <c r="V175" s="216"/>
      <c r="W175" s="216"/>
      <c r="X175" s="216"/>
      <c r="Y175" s="216"/>
      <c r="Z175" s="216"/>
      <c r="AA175" s="216"/>
      <c r="AB175" s="216"/>
      <c r="AC175" s="216"/>
      <c r="AD175" s="216"/>
      <c r="AE175" s="216"/>
      <c r="AF175" s="216"/>
      <c r="AG175" s="216"/>
      <c r="AH175" s="216"/>
      <c r="AI175" s="216"/>
      <c r="AJ175" s="216"/>
      <c r="AK175" s="216"/>
      <c r="AL175" s="216"/>
      <c r="AM175" s="216"/>
      <c r="AN175" s="216"/>
      <c r="AO175" s="216"/>
      <c r="AP175" s="216"/>
      <c r="AQ175" s="216"/>
      <c r="AR175" s="216"/>
      <c r="AS175" s="216"/>
      <c r="AT175" s="216"/>
      <c r="AU175" s="216"/>
      <c r="AV175" s="216"/>
      <c r="AW175" s="216"/>
      <c r="AX175" s="216"/>
      <c r="AY175" s="216"/>
    </row>
    <row r="176" ht="12.75" customHeight="1">
      <c r="J176" s="231"/>
      <c r="V176" s="216"/>
      <c r="W176" s="216"/>
      <c r="X176" s="216"/>
      <c r="Y176" s="216"/>
      <c r="Z176" s="216"/>
      <c r="AA176" s="216"/>
      <c r="AB176" s="216"/>
      <c r="AC176" s="216"/>
      <c r="AD176" s="216"/>
      <c r="AE176" s="216"/>
      <c r="AF176" s="216"/>
      <c r="AG176" s="216"/>
      <c r="AH176" s="216"/>
      <c r="AI176" s="216"/>
      <c r="AJ176" s="216"/>
      <c r="AK176" s="216"/>
      <c r="AL176" s="216"/>
      <c r="AM176" s="216"/>
      <c r="AN176" s="216"/>
      <c r="AO176" s="216"/>
      <c r="AP176" s="216"/>
      <c r="AQ176" s="216"/>
      <c r="AR176" s="216"/>
      <c r="AS176" s="216"/>
      <c r="AT176" s="216"/>
      <c r="AU176" s="216"/>
      <c r="AV176" s="216"/>
      <c r="AW176" s="216"/>
      <c r="AX176" s="216"/>
      <c r="AY176" s="216"/>
    </row>
    <row r="177" ht="12.75" customHeight="1">
      <c r="J177" s="231"/>
      <c r="V177" s="216"/>
      <c r="W177" s="216"/>
      <c r="X177" s="216"/>
      <c r="Y177" s="216"/>
      <c r="Z177" s="216"/>
      <c r="AA177" s="216"/>
      <c r="AB177" s="216"/>
      <c r="AC177" s="216"/>
      <c r="AD177" s="216"/>
      <c r="AE177" s="216"/>
      <c r="AF177" s="216"/>
      <c r="AG177" s="216"/>
      <c r="AH177" s="216"/>
      <c r="AI177" s="216"/>
      <c r="AJ177" s="216"/>
      <c r="AK177" s="216"/>
      <c r="AL177" s="216"/>
      <c r="AM177" s="216"/>
      <c r="AN177" s="216"/>
      <c r="AO177" s="216"/>
      <c r="AP177" s="216"/>
      <c r="AQ177" s="216"/>
      <c r="AR177" s="216"/>
      <c r="AS177" s="216"/>
      <c r="AT177" s="216"/>
      <c r="AU177" s="216"/>
      <c r="AV177" s="216"/>
      <c r="AW177" s="216"/>
      <c r="AX177" s="216"/>
      <c r="AY177" s="216"/>
    </row>
    <row r="178" ht="12.75" customHeight="1">
      <c r="J178" s="231"/>
      <c r="V178" s="216"/>
      <c r="W178" s="216"/>
      <c r="X178" s="216"/>
      <c r="Y178" s="216"/>
      <c r="Z178" s="216"/>
      <c r="AA178" s="216"/>
      <c r="AB178" s="216"/>
      <c r="AC178" s="216"/>
      <c r="AD178" s="216"/>
      <c r="AE178" s="216"/>
      <c r="AF178" s="216"/>
      <c r="AG178" s="216"/>
      <c r="AH178" s="216"/>
      <c r="AI178" s="216"/>
      <c r="AJ178" s="216"/>
      <c r="AK178" s="216"/>
      <c r="AL178" s="216"/>
      <c r="AM178" s="216"/>
      <c r="AN178" s="216"/>
      <c r="AO178" s="216"/>
      <c r="AP178" s="216"/>
      <c r="AQ178" s="216"/>
      <c r="AR178" s="216"/>
      <c r="AS178" s="216"/>
      <c r="AT178" s="216"/>
      <c r="AU178" s="216"/>
      <c r="AV178" s="216"/>
      <c r="AW178" s="216"/>
      <c r="AX178" s="216"/>
      <c r="AY178" s="216"/>
    </row>
    <row r="179" ht="12.75" customHeight="1">
      <c r="J179" s="231"/>
      <c r="V179" s="216"/>
      <c r="W179" s="216"/>
      <c r="X179" s="216"/>
      <c r="Y179" s="216"/>
      <c r="Z179" s="216"/>
      <c r="AA179" s="216"/>
      <c r="AB179" s="216"/>
      <c r="AC179" s="216"/>
      <c r="AD179" s="216"/>
      <c r="AE179" s="216"/>
      <c r="AF179" s="216"/>
      <c r="AG179" s="216"/>
      <c r="AH179" s="216"/>
      <c r="AI179" s="216"/>
      <c r="AJ179" s="216"/>
      <c r="AK179" s="216"/>
      <c r="AL179" s="216"/>
      <c r="AM179" s="216"/>
      <c r="AN179" s="216"/>
      <c r="AO179" s="216"/>
      <c r="AP179" s="216"/>
      <c r="AQ179" s="216"/>
      <c r="AR179" s="216"/>
      <c r="AS179" s="216"/>
      <c r="AT179" s="216"/>
      <c r="AU179" s="216"/>
      <c r="AV179" s="216"/>
      <c r="AW179" s="216"/>
      <c r="AX179" s="216"/>
      <c r="AY179" s="216"/>
    </row>
    <row r="180" ht="12.75" customHeight="1">
      <c r="J180" s="231"/>
      <c r="V180" s="216"/>
      <c r="W180" s="216"/>
      <c r="X180" s="216"/>
      <c r="Y180" s="216"/>
      <c r="Z180" s="216"/>
      <c r="AA180" s="216"/>
      <c r="AB180" s="216"/>
      <c r="AC180" s="216"/>
      <c r="AD180" s="216"/>
      <c r="AE180" s="216"/>
      <c r="AF180" s="216"/>
      <c r="AG180" s="216"/>
      <c r="AH180" s="216"/>
      <c r="AI180" s="216"/>
      <c r="AJ180" s="216"/>
      <c r="AK180" s="216"/>
      <c r="AL180" s="216"/>
      <c r="AM180" s="216"/>
      <c r="AN180" s="216"/>
      <c r="AO180" s="216"/>
      <c r="AP180" s="216"/>
      <c r="AQ180" s="216"/>
      <c r="AR180" s="216"/>
      <c r="AS180" s="216"/>
      <c r="AT180" s="216"/>
      <c r="AU180" s="216"/>
      <c r="AV180" s="216"/>
      <c r="AW180" s="216"/>
      <c r="AX180" s="216"/>
      <c r="AY180" s="216"/>
    </row>
    <row r="181" ht="12.75" customHeight="1">
      <c r="J181" s="231"/>
      <c r="V181" s="216"/>
      <c r="W181" s="216"/>
      <c r="X181" s="216"/>
      <c r="Y181" s="216"/>
      <c r="Z181" s="216"/>
      <c r="AA181" s="216"/>
      <c r="AB181" s="216"/>
      <c r="AC181" s="216"/>
      <c r="AD181" s="216"/>
      <c r="AE181" s="216"/>
      <c r="AF181" s="216"/>
      <c r="AG181" s="216"/>
      <c r="AH181" s="216"/>
      <c r="AI181" s="216"/>
      <c r="AJ181" s="216"/>
      <c r="AK181" s="216"/>
      <c r="AL181" s="216"/>
      <c r="AM181" s="216"/>
      <c r="AN181" s="216"/>
      <c r="AO181" s="216"/>
      <c r="AP181" s="216"/>
      <c r="AQ181" s="216"/>
      <c r="AR181" s="216"/>
      <c r="AS181" s="216"/>
      <c r="AT181" s="216"/>
      <c r="AU181" s="216"/>
      <c r="AV181" s="216"/>
      <c r="AW181" s="216"/>
      <c r="AX181" s="216"/>
      <c r="AY181" s="216"/>
    </row>
    <row r="182" ht="12.75" customHeight="1">
      <c r="J182" s="231"/>
    </row>
    <row r="183" ht="12.75" customHeight="1">
      <c r="J183" s="231"/>
    </row>
    <row r="184" ht="12.75" customHeight="1">
      <c r="J184" s="231"/>
    </row>
    <row r="185" ht="12.75" customHeight="1">
      <c r="J185" s="231"/>
    </row>
    <row r="186" ht="12.75" customHeight="1">
      <c r="J186" s="231"/>
    </row>
    <row r="187" ht="12.75" customHeight="1">
      <c r="J187" s="231"/>
    </row>
    <row r="188" ht="12.75" customHeight="1">
      <c r="J188" s="231"/>
    </row>
    <row r="189" ht="12.75" customHeight="1">
      <c r="J189" s="231"/>
    </row>
    <row r="190" ht="12.75" customHeight="1">
      <c r="J190" s="231"/>
    </row>
    <row r="191" ht="12.75" customHeight="1">
      <c r="J191" s="231"/>
    </row>
    <row r="192" ht="12.75" customHeight="1">
      <c r="J192" s="231"/>
    </row>
    <row r="193" ht="12.75" customHeight="1">
      <c r="J193" s="231"/>
    </row>
    <row r="194" ht="12.75" customHeight="1">
      <c r="J194" s="231"/>
    </row>
    <row r="195" ht="12.75" customHeight="1">
      <c r="J195" s="231"/>
    </row>
    <row r="196" ht="12.75" customHeight="1">
      <c r="J196" s="231"/>
    </row>
    <row r="197" ht="12.75" customHeight="1">
      <c r="J197" s="231"/>
    </row>
    <row r="198" ht="12.75" customHeight="1">
      <c r="J198" s="231"/>
    </row>
    <row r="199" ht="12.75" customHeight="1">
      <c r="J199" s="231"/>
    </row>
    <row r="200" ht="12.75" customHeight="1">
      <c r="J200" s="231"/>
    </row>
    <row r="201" ht="12.75" customHeight="1">
      <c r="J201" s="231"/>
    </row>
    <row r="202" ht="12.75" customHeight="1">
      <c r="J202" s="231"/>
    </row>
    <row r="203" ht="12.75" customHeight="1">
      <c r="J203" s="231"/>
    </row>
    <row r="204" ht="12.75" customHeight="1">
      <c r="J204" s="231"/>
    </row>
    <row r="205" ht="12.75" customHeight="1">
      <c r="J205" s="231"/>
    </row>
    <row r="206" ht="12.75" customHeight="1">
      <c r="J206" s="231"/>
    </row>
    <row r="207" ht="12.75" customHeight="1">
      <c r="J207" s="231"/>
    </row>
    <row r="208" ht="12.75" customHeight="1">
      <c r="J208" s="231"/>
    </row>
    <row r="209" ht="12.75" customHeight="1">
      <c r="J209" s="231"/>
    </row>
    <row r="210" ht="12.75" customHeight="1">
      <c r="J210" s="231"/>
    </row>
    <row r="211" ht="12.75" customHeight="1">
      <c r="J211" s="231"/>
    </row>
    <row r="212" ht="12.75" customHeight="1">
      <c r="J212" s="231"/>
    </row>
    <row r="213" ht="12.75" customHeight="1">
      <c r="J213" s="231"/>
    </row>
    <row r="214" ht="12.75" customHeight="1">
      <c r="J214" s="231"/>
    </row>
    <row r="215" ht="12.75" customHeight="1">
      <c r="J215" s="231"/>
    </row>
    <row r="216" ht="12.75" customHeight="1">
      <c r="J216" s="231"/>
    </row>
    <row r="217" ht="12.75" customHeight="1">
      <c r="J217" s="231"/>
    </row>
    <row r="218" ht="12.75" customHeight="1">
      <c r="J218" s="231"/>
    </row>
    <row r="219" ht="12.75" customHeight="1">
      <c r="J219" s="231"/>
    </row>
    <row r="220" ht="12.75" customHeight="1">
      <c r="J220" s="231"/>
    </row>
    <row r="221" ht="12.75" customHeight="1">
      <c r="J221" s="231"/>
    </row>
    <row r="222" ht="12.75" customHeight="1">
      <c r="J222" s="231"/>
    </row>
    <row r="223" ht="12.75" customHeight="1">
      <c r="J223" s="231"/>
    </row>
    <row r="224" ht="12.75" customHeight="1">
      <c r="J224" s="231"/>
    </row>
    <row r="225" ht="12.75" customHeight="1">
      <c r="J225" s="231"/>
    </row>
    <row r="226" ht="12.75" customHeight="1">
      <c r="J226" s="231"/>
    </row>
    <row r="227" ht="12.75" customHeight="1">
      <c r="J227" s="231"/>
    </row>
    <row r="228" ht="12.75" customHeight="1">
      <c r="J228" s="231"/>
    </row>
    <row r="229" ht="12.75" customHeight="1">
      <c r="J229" s="231"/>
    </row>
    <row r="230" ht="12.75" customHeight="1">
      <c r="J230" s="231"/>
    </row>
    <row r="231" ht="12.75" customHeight="1">
      <c r="J231" s="231"/>
    </row>
    <row r="232" ht="12.75" customHeight="1">
      <c r="J232" s="231"/>
    </row>
    <row r="233" ht="12.75" customHeight="1">
      <c r="J233" s="231"/>
    </row>
    <row r="234" ht="12.75" customHeight="1">
      <c r="J234" s="231"/>
    </row>
    <row r="235" ht="12.75" customHeight="1">
      <c r="J235" s="231"/>
    </row>
    <row r="236" ht="12.75" customHeight="1">
      <c r="J236" s="231"/>
    </row>
    <row r="237" ht="12.75" customHeight="1">
      <c r="J237" s="231"/>
    </row>
    <row r="238" ht="12.75" customHeight="1">
      <c r="J238" s="231"/>
    </row>
    <row r="239" ht="12.75" customHeight="1">
      <c r="J239" s="231"/>
    </row>
    <row r="240" ht="12.75" customHeight="1">
      <c r="J240" s="231"/>
    </row>
    <row r="241" ht="12.75" customHeight="1">
      <c r="J241" s="231"/>
    </row>
    <row r="242" ht="12.75" customHeight="1">
      <c r="J242" s="231"/>
    </row>
    <row r="243" ht="12.75" customHeight="1">
      <c r="J243" s="231"/>
    </row>
    <row r="244" ht="12.75" customHeight="1">
      <c r="J244" s="231"/>
    </row>
    <row r="245" ht="12.75" customHeight="1">
      <c r="J245" s="231"/>
    </row>
    <row r="246" ht="12.75" customHeight="1">
      <c r="J246" s="231"/>
    </row>
    <row r="247" ht="12.75" customHeight="1">
      <c r="J247" s="231"/>
    </row>
    <row r="248" ht="12.75" customHeight="1">
      <c r="J248" s="231"/>
    </row>
    <row r="249" ht="12.75" customHeight="1">
      <c r="J249" s="231"/>
    </row>
    <row r="250" ht="12.75" customHeight="1">
      <c r="J250" s="231"/>
    </row>
    <row r="251" ht="12.75" customHeight="1">
      <c r="J251" s="231"/>
    </row>
    <row r="252" ht="12.75" customHeight="1">
      <c r="J252" s="231"/>
    </row>
    <row r="253" ht="12.75" customHeight="1">
      <c r="J253" s="231"/>
    </row>
    <row r="254" ht="12.75" customHeight="1">
      <c r="J254" s="231"/>
    </row>
    <row r="255" ht="12.75" customHeight="1">
      <c r="J255" s="231"/>
    </row>
    <row r="256" ht="12.75" customHeight="1">
      <c r="J256" s="231"/>
    </row>
    <row r="257" ht="12.75" customHeight="1">
      <c r="J257" s="231"/>
    </row>
    <row r="258" ht="12.75" customHeight="1">
      <c r="J258" s="231"/>
    </row>
    <row r="259" ht="12.75" customHeight="1">
      <c r="J259" s="231"/>
    </row>
    <row r="260" ht="12.75" customHeight="1">
      <c r="J260" s="231"/>
    </row>
    <row r="261" ht="12.75" customHeight="1">
      <c r="J261" s="231"/>
    </row>
    <row r="262" ht="12.75" customHeight="1">
      <c r="J262" s="231"/>
    </row>
    <row r="263" ht="12.75" customHeight="1">
      <c r="J263" s="231"/>
    </row>
    <row r="264" ht="12.75" customHeight="1">
      <c r="J264" s="231"/>
    </row>
    <row r="265" ht="12.75" customHeight="1">
      <c r="J265" s="231"/>
    </row>
    <row r="266" ht="12.75" customHeight="1">
      <c r="J266" s="231"/>
    </row>
    <row r="267" ht="12.75" customHeight="1">
      <c r="J267" s="231"/>
    </row>
    <row r="268" ht="12.75" customHeight="1">
      <c r="J268" s="231"/>
    </row>
    <row r="269" ht="12.75" customHeight="1">
      <c r="J269" s="231"/>
    </row>
    <row r="270" ht="12.75" customHeight="1">
      <c r="J270" s="231"/>
    </row>
    <row r="271" ht="12.75" customHeight="1">
      <c r="J271" s="231"/>
    </row>
    <row r="272" ht="12.75" customHeight="1">
      <c r="J272" s="231"/>
    </row>
    <row r="273" ht="12.75" customHeight="1">
      <c r="J273" s="231"/>
    </row>
    <row r="274" ht="12.75" customHeight="1">
      <c r="J274" s="231"/>
    </row>
    <row r="275" ht="12.75" customHeight="1">
      <c r="J275" s="231"/>
    </row>
    <row r="276" ht="12.75" customHeight="1">
      <c r="J276" s="231"/>
    </row>
    <row r="277" ht="12.75" customHeight="1">
      <c r="J277" s="231"/>
    </row>
    <row r="278" ht="12.75" customHeight="1">
      <c r="J278" s="231"/>
    </row>
    <row r="279" ht="12.75" customHeight="1">
      <c r="J279" s="231"/>
    </row>
    <row r="280" ht="12.75" customHeight="1">
      <c r="J280" s="231"/>
    </row>
    <row r="281" ht="12.75" customHeight="1">
      <c r="J281" s="231"/>
    </row>
    <row r="282" ht="12.75" customHeight="1">
      <c r="J282" s="231"/>
    </row>
    <row r="283" ht="12.75" customHeight="1">
      <c r="J283" s="231"/>
    </row>
    <row r="284" ht="12.75" customHeight="1">
      <c r="J284" s="231"/>
    </row>
    <row r="285" ht="12.75" customHeight="1">
      <c r="J285" s="231"/>
    </row>
    <row r="286" ht="12.75" customHeight="1">
      <c r="J286" s="231"/>
    </row>
    <row r="287" ht="12.75" customHeight="1">
      <c r="J287" s="231"/>
    </row>
    <row r="288" ht="12.75" customHeight="1">
      <c r="J288" s="231"/>
    </row>
    <row r="289" ht="12.75" customHeight="1">
      <c r="J289" s="231"/>
    </row>
    <row r="290" ht="12.75" customHeight="1">
      <c r="J290" s="231"/>
    </row>
    <row r="291" ht="12.75" customHeight="1">
      <c r="J291" s="231"/>
    </row>
    <row r="292" ht="12.75" customHeight="1">
      <c r="J292" s="231"/>
    </row>
    <row r="293" ht="12.75" customHeight="1">
      <c r="J293" s="231"/>
    </row>
    <row r="294" ht="12.75" customHeight="1">
      <c r="J294" s="231"/>
    </row>
    <row r="295" ht="12.75" customHeight="1">
      <c r="J295" s="231"/>
    </row>
    <row r="296" ht="12.75" customHeight="1">
      <c r="J296" s="231"/>
    </row>
    <row r="297" ht="12.75" customHeight="1">
      <c r="J297" s="231"/>
    </row>
    <row r="298" ht="12.75" customHeight="1">
      <c r="J298" s="231"/>
    </row>
    <row r="299" ht="12.75" customHeight="1">
      <c r="J299" s="231"/>
    </row>
    <row r="300" ht="12.75" customHeight="1">
      <c r="J300" s="231"/>
    </row>
    <row r="301" ht="12.75" customHeight="1">
      <c r="J301" s="231"/>
    </row>
    <row r="302" ht="12.75" customHeight="1">
      <c r="J302" s="231"/>
    </row>
    <row r="303" ht="12.75" customHeight="1">
      <c r="J303" s="231"/>
    </row>
    <row r="304" ht="12.75" customHeight="1">
      <c r="J304" s="231"/>
    </row>
    <row r="305" ht="12.75" customHeight="1">
      <c r="J305" s="231"/>
    </row>
    <row r="306" ht="12.75" customHeight="1">
      <c r="J306" s="231"/>
    </row>
    <row r="307" ht="12.75" customHeight="1">
      <c r="J307" s="231"/>
    </row>
    <row r="308" ht="12.75" customHeight="1">
      <c r="J308" s="231"/>
    </row>
    <row r="309" ht="12.75" customHeight="1">
      <c r="J309" s="231"/>
    </row>
    <row r="310" ht="12.75" customHeight="1">
      <c r="J310" s="231"/>
    </row>
    <row r="311" ht="12.75" customHeight="1">
      <c r="J311" s="231"/>
    </row>
    <row r="312" ht="12.75" customHeight="1">
      <c r="J312" s="231"/>
    </row>
    <row r="313" ht="12.75" customHeight="1">
      <c r="J313" s="231"/>
    </row>
    <row r="314" ht="12.75" customHeight="1">
      <c r="J314" s="231"/>
    </row>
    <row r="315" ht="12.75" customHeight="1">
      <c r="J315" s="231"/>
    </row>
    <row r="316" ht="12.75" customHeight="1">
      <c r="J316" s="231"/>
    </row>
    <row r="317" ht="12.75" customHeight="1">
      <c r="J317" s="231"/>
    </row>
    <row r="318" ht="12.75" customHeight="1">
      <c r="J318" s="231"/>
    </row>
    <row r="319" ht="12.75" customHeight="1">
      <c r="J319" s="231"/>
    </row>
    <row r="320" ht="12.75" customHeight="1">
      <c r="J320" s="231"/>
    </row>
    <row r="321" ht="12.75" customHeight="1">
      <c r="J321" s="231"/>
    </row>
    <row r="322" ht="12.75" customHeight="1">
      <c r="J322" s="231"/>
    </row>
    <row r="323" ht="12.75" customHeight="1">
      <c r="J323" s="231"/>
    </row>
    <row r="324" ht="12.75" customHeight="1">
      <c r="J324" s="231"/>
    </row>
    <row r="325" ht="12.75" customHeight="1">
      <c r="J325" s="231"/>
    </row>
    <row r="326" ht="12.75" customHeight="1">
      <c r="J326" s="231"/>
    </row>
    <row r="327" ht="12.75" customHeight="1">
      <c r="J327" s="231"/>
    </row>
    <row r="328" ht="12.75" customHeight="1">
      <c r="J328" s="231"/>
    </row>
    <row r="329" ht="12.75" customHeight="1">
      <c r="J329" s="231"/>
    </row>
    <row r="330" ht="12.75" customHeight="1">
      <c r="J330" s="231"/>
    </row>
    <row r="331" ht="12.75" customHeight="1">
      <c r="J331" s="231"/>
    </row>
    <row r="332" ht="12.75" customHeight="1">
      <c r="J332" s="231"/>
    </row>
    <row r="333" ht="12.75" customHeight="1">
      <c r="J333" s="231"/>
    </row>
    <row r="334" ht="12.75" customHeight="1">
      <c r="J334" s="231"/>
    </row>
    <row r="335" ht="12.75" customHeight="1">
      <c r="J335" s="231"/>
    </row>
    <row r="336" ht="12.75" customHeight="1">
      <c r="J336" s="231"/>
    </row>
    <row r="337" ht="12.75" customHeight="1">
      <c r="J337" s="231"/>
    </row>
    <row r="338" ht="12.75" customHeight="1">
      <c r="J338" s="231"/>
    </row>
    <row r="339" ht="12.75" customHeight="1">
      <c r="J339" s="231"/>
    </row>
    <row r="340" ht="12.75" customHeight="1">
      <c r="J340" s="231"/>
    </row>
    <row r="341" ht="12.75" customHeight="1">
      <c r="J341" s="231"/>
    </row>
    <row r="342" ht="12.75" customHeight="1">
      <c r="J342" s="231"/>
    </row>
    <row r="343" ht="12.75" customHeight="1">
      <c r="J343" s="231"/>
    </row>
    <row r="344" ht="12.75" customHeight="1">
      <c r="J344" s="231"/>
    </row>
    <row r="345" ht="12.75" customHeight="1">
      <c r="J345" s="231"/>
    </row>
    <row r="346" ht="12.75" customHeight="1">
      <c r="J346" s="231"/>
    </row>
    <row r="347" ht="12.75" customHeight="1">
      <c r="J347" s="231"/>
    </row>
    <row r="348" ht="12.75" customHeight="1">
      <c r="J348" s="231"/>
    </row>
    <row r="349" ht="12.75" customHeight="1">
      <c r="J349" s="231"/>
    </row>
    <row r="350" ht="12.75" customHeight="1">
      <c r="J350" s="231"/>
    </row>
    <row r="351" ht="12.75" customHeight="1">
      <c r="J351" s="231"/>
    </row>
    <row r="352" ht="12.75" customHeight="1">
      <c r="J352" s="231"/>
    </row>
    <row r="353" ht="12.75" customHeight="1">
      <c r="J353" s="231"/>
    </row>
    <row r="354" ht="12.75" customHeight="1">
      <c r="J354" s="231"/>
    </row>
    <row r="355" ht="12.75" customHeight="1">
      <c r="J355" s="231"/>
    </row>
    <row r="356" ht="12.75" customHeight="1">
      <c r="J356" s="231"/>
    </row>
    <row r="357" ht="12.75" customHeight="1">
      <c r="J357" s="231"/>
    </row>
    <row r="358" ht="12.75" customHeight="1">
      <c r="J358" s="231"/>
    </row>
    <row r="359" ht="12.75" customHeight="1">
      <c r="J359" s="231"/>
    </row>
    <row r="360" ht="12.75" customHeight="1">
      <c r="J360" s="231"/>
    </row>
    <row r="361" ht="12.75" customHeight="1">
      <c r="J361" s="231"/>
    </row>
    <row r="362" ht="12.75" customHeight="1">
      <c r="J362" s="231"/>
    </row>
    <row r="363" ht="12.75" customHeight="1">
      <c r="J363" s="231"/>
    </row>
    <row r="364" ht="12.75" customHeight="1">
      <c r="J364" s="231"/>
    </row>
    <row r="365" ht="12.75" customHeight="1">
      <c r="J365" s="231"/>
    </row>
    <row r="366" ht="12.75" customHeight="1">
      <c r="J366" s="231"/>
    </row>
    <row r="367" ht="12.75" customHeight="1">
      <c r="J367" s="231"/>
    </row>
    <row r="368" ht="12.75" customHeight="1">
      <c r="J368" s="231"/>
    </row>
    <row r="369" ht="12.75" customHeight="1">
      <c r="J369" s="231"/>
    </row>
    <row r="370" ht="12.75" customHeight="1">
      <c r="J370" s="231"/>
    </row>
    <row r="371" ht="12.75" customHeight="1">
      <c r="J371" s="231"/>
    </row>
    <row r="372" ht="12.75" customHeight="1">
      <c r="J372" s="231"/>
    </row>
    <row r="373" ht="12.75" customHeight="1">
      <c r="J373" s="231"/>
    </row>
    <row r="374" ht="12.75" customHeight="1">
      <c r="J374" s="231"/>
    </row>
    <row r="375" ht="12.75" customHeight="1">
      <c r="J375" s="231"/>
    </row>
    <row r="376" ht="12.75" customHeight="1">
      <c r="J376" s="231"/>
    </row>
    <row r="377" ht="12.75" customHeight="1">
      <c r="J377" s="231"/>
    </row>
    <row r="378" ht="12.75" customHeight="1">
      <c r="J378" s="231"/>
    </row>
    <row r="379" ht="12.75" customHeight="1">
      <c r="J379" s="231"/>
    </row>
    <row r="380" ht="12.75" customHeight="1">
      <c r="J380" s="231"/>
    </row>
    <row r="381" ht="12.75" customHeight="1">
      <c r="J381" s="231"/>
    </row>
    <row r="382" ht="12.75" customHeight="1">
      <c r="J382" s="231"/>
    </row>
    <row r="383" ht="12.75" customHeight="1">
      <c r="J383" s="231"/>
    </row>
    <row r="384" ht="12.75" customHeight="1">
      <c r="J384" s="231"/>
    </row>
    <row r="385" ht="12.75" customHeight="1">
      <c r="J385" s="231"/>
    </row>
    <row r="386" ht="12.75" customHeight="1">
      <c r="J386" s="231"/>
    </row>
    <row r="387" ht="12.75" customHeight="1">
      <c r="J387" s="231"/>
    </row>
    <row r="388" ht="12.75" customHeight="1">
      <c r="J388" s="231"/>
    </row>
    <row r="389" ht="12.75" customHeight="1">
      <c r="J389" s="231"/>
    </row>
    <row r="390" ht="12.75" customHeight="1">
      <c r="J390" s="231"/>
    </row>
    <row r="391" ht="12.75" customHeight="1">
      <c r="J391" s="231"/>
    </row>
    <row r="392" ht="12.75" customHeight="1">
      <c r="J392" s="231"/>
    </row>
    <row r="393" ht="12.75" customHeight="1">
      <c r="J393" s="231"/>
    </row>
    <row r="394" ht="12.75" customHeight="1">
      <c r="J394" s="231"/>
    </row>
    <row r="395" ht="12.75" customHeight="1">
      <c r="J395" s="231"/>
    </row>
    <row r="396" ht="12.75" customHeight="1">
      <c r="J396" s="231"/>
    </row>
    <row r="397" ht="12.75" customHeight="1">
      <c r="J397" s="231"/>
    </row>
    <row r="398" ht="12.75" customHeight="1">
      <c r="J398" s="231"/>
    </row>
    <row r="399" ht="12.75" customHeight="1">
      <c r="J399" s="231"/>
    </row>
    <row r="400" ht="12.75" customHeight="1">
      <c r="J400" s="231"/>
    </row>
    <row r="401" ht="12.75" customHeight="1">
      <c r="J401" s="231"/>
    </row>
    <row r="402" ht="12.75" customHeight="1">
      <c r="J402" s="231"/>
    </row>
    <row r="403" ht="12.75" customHeight="1">
      <c r="J403" s="231"/>
    </row>
    <row r="404" ht="12.75" customHeight="1">
      <c r="J404" s="231"/>
    </row>
    <row r="405" ht="12.75" customHeight="1">
      <c r="J405" s="231"/>
    </row>
    <row r="406" ht="12.75" customHeight="1">
      <c r="J406" s="231"/>
    </row>
    <row r="407" ht="12.75" customHeight="1">
      <c r="J407" s="231"/>
    </row>
    <row r="408" ht="12.75" customHeight="1">
      <c r="J408" s="231"/>
    </row>
    <row r="409" ht="12.75" customHeight="1">
      <c r="J409" s="231"/>
    </row>
    <row r="410" ht="12.75" customHeight="1">
      <c r="J410" s="231"/>
    </row>
    <row r="411" ht="12.75" customHeight="1">
      <c r="J411" s="231"/>
    </row>
    <row r="412" ht="12.75" customHeight="1">
      <c r="J412" s="231"/>
    </row>
    <row r="413" ht="12.75" customHeight="1">
      <c r="J413" s="231"/>
    </row>
    <row r="414" ht="12.75" customHeight="1">
      <c r="J414" s="231"/>
    </row>
    <row r="415" ht="12.75" customHeight="1">
      <c r="J415" s="231"/>
    </row>
    <row r="416" ht="12.75" customHeight="1">
      <c r="J416" s="231"/>
    </row>
    <row r="417" ht="12.75" customHeight="1">
      <c r="J417" s="231"/>
    </row>
    <row r="418" ht="12.75" customHeight="1">
      <c r="J418" s="231"/>
    </row>
    <row r="419" ht="12.75" customHeight="1">
      <c r="J419" s="231"/>
    </row>
    <row r="420" ht="12.75" customHeight="1">
      <c r="J420" s="231"/>
    </row>
    <row r="421" ht="12.75" customHeight="1">
      <c r="J421" s="231"/>
    </row>
    <row r="422" ht="12.75" customHeight="1">
      <c r="J422" s="231"/>
    </row>
    <row r="423" ht="12.75" customHeight="1">
      <c r="J423" s="231"/>
    </row>
    <row r="424" ht="12.75" customHeight="1">
      <c r="J424" s="231"/>
    </row>
    <row r="425" ht="12.75" customHeight="1">
      <c r="J425" s="231"/>
    </row>
    <row r="426" ht="12.75" customHeight="1">
      <c r="J426" s="231"/>
    </row>
    <row r="427" ht="12.75" customHeight="1">
      <c r="J427" s="231"/>
    </row>
    <row r="428" ht="12.75" customHeight="1">
      <c r="J428" s="231"/>
    </row>
    <row r="429" ht="12.75" customHeight="1">
      <c r="J429" s="231"/>
    </row>
    <row r="430" ht="12.75" customHeight="1">
      <c r="J430" s="231"/>
    </row>
    <row r="431" ht="12.75" customHeight="1">
      <c r="J431" s="231"/>
    </row>
    <row r="432" ht="12.75" customHeight="1">
      <c r="J432" s="231"/>
    </row>
    <row r="433" ht="12.75" customHeight="1">
      <c r="J433" s="231"/>
    </row>
    <row r="434" ht="12.75" customHeight="1">
      <c r="J434" s="231"/>
    </row>
    <row r="435" ht="12.75" customHeight="1">
      <c r="J435" s="231"/>
    </row>
    <row r="436" ht="12.75" customHeight="1">
      <c r="J436" s="231"/>
    </row>
    <row r="437" ht="12.75" customHeight="1">
      <c r="J437" s="231"/>
    </row>
    <row r="438" ht="12.75" customHeight="1">
      <c r="J438" s="231"/>
    </row>
    <row r="439" ht="12.75" customHeight="1">
      <c r="J439" s="231"/>
    </row>
    <row r="440" ht="12.75" customHeight="1">
      <c r="J440" s="231"/>
    </row>
    <row r="441" ht="12.75" customHeight="1">
      <c r="J441" s="231"/>
    </row>
    <row r="442" ht="12.75" customHeight="1">
      <c r="J442" s="231"/>
    </row>
    <row r="443" ht="12.75" customHeight="1">
      <c r="J443" s="231"/>
    </row>
    <row r="444" ht="12.75" customHeight="1">
      <c r="J444" s="231"/>
    </row>
    <row r="445" ht="12.75" customHeight="1">
      <c r="J445" s="231"/>
    </row>
    <row r="446" ht="12.75" customHeight="1">
      <c r="J446" s="231"/>
    </row>
    <row r="447" ht="12.75" customHeight="1">
      <c r="J447" s="231"/>
    </row>
    <row r="448" ht="12.75" customHeight="1">
      <c r="J448" s="231"/>
    </row>
    <row r="449" ht="12.75" customHeight="1">
      <c r="J449" s="231"/>
    </row>
    <row r="450" ht="12.75" customHeight="1">
      <c r="J450" s="231"/>
    </row>
    <row r="451" ht="12.75" customHeight="1">
      <c r="J451" s="231"/>
    </row>
    <row r="452" ht="12.75" customHeight="1">
      <c r="J452" s="231"/>
    </row>
    <row r="453" ht="12.75" customHeight="1">
      <c r="J453" s="231"/>
    </row>
    <row r="454" ht="12.75" customHeight="1">
      <c r="J454" s="231"/>
    </row>
    <row r="455" ht="12.75" customHeight="1">
      <c r="J455" s="231"/>
    </row>
    <row r="456" ht="12.75" customHeight="1">
      <c r="J456" s="231"/>
    </row>
    <row r="457" ht="12.75" customHeight="1">
      <c r="J457" s="231"/>
    </row>
    <row r="458" ht="12.75" customHeight="1">
      <c r="J458" s="231"/>
    </row>
    <row r="459" ht="12.75" customHeight="1">
      <c r="J459" s="231"/>
    </row>
    <row r="460" ht="12.75" customHeight="1">
      <c r="J460" s="231"/>
    </row>
    <row r="461" ht="12.75" customHeight="1">
      <c r="J461" s="231"/>
    </row>
    <row r="462" ht="12.75" customHeight="1">
      <c r="J462" s="231"/>
    </row>
    <row r="463" ht="12.75" customHeight="1">
      <c r="J463" s="231"/>
    </row>
    <row r="464" ht="12.75" customHeight="1">
      <c r="J464" s="231"/>
    </row>
    <row r="465" ht="12.75" customHeight="1">
      <c r="J465" s="231"/>
    </row>
    <row r="466" ht="12.75" customHeight="1">
      <c r="J466" s="231"/>
    </row>
    <row r="467" ht="12.75" customHeight="1">
      <c r="J467" s="231"/>
    </row>
    <row r="468" ht="12.75" customHeight="1">
      <c r="J468" s="231"/>
    </row>
    <row r="469" ht="12.75" customHeight="1">
      <c r="J469" s="231"/>
    </row>
    <row r="470" ht="12.75" customHeight="1">
      <c r="J470" s="231"/>
    </row>
    <row r="471" ht="12.75" customHeight="1">
      <c r="J471" s="231"/>
    </row>
    <row r="472" ht="12.75" customHeight="1">
      <c r="J472" s="231"/>
    </row>
    <row r="473" ht="12.75" customHeight="1">
      <c r="J473" s="231"/>
    </row>
    <row r="474" ht="12.75" customHeight="1">
      <c r="J474" s="231"/>
    </row>
    <row r="475" ht="12.75" customHeight="1">
      <c r="J475" s="231"/>
    </row>
    <row r="476" ht="12.75" customHeight="1">
      <c r="J476" s="231"/>
    </row>
    <row r="477" ht="12.75" customHeight="1">
      <c r="J477" s="231"/>
    </row>
    <row r="478" ht="12.75" customHeight="1">
      <c r="J478" s="231"/>
    </row>
    <row r="479" ht="12.75" customHeight="1">
      <c r="J479" s="231"/>
    </row>
    <row r="480" ht="12.75" customHeight="1">
      <c r="J480" s="231"/>
    </row>
    <row r="481" ht="12.75" customHeight="1">
      <c r="J481" s="231"/>
    </row>
    <row r="482" ht="12.75" customHeight="1">
      <c r="J482" s="231"/>
    </row>
    <row r="483" ht="12.75" customHeight="1">
      <c r="J483" s="231"/>
    </row>
    <row r="484" ht="12.75" customHeight="1">
      <c r="J484" s="231"/>
    </row>
    <row r="485" ht="12.75" customHeight="1">
      <c r="J485" s="231"/>
    </row>
    <row r="486" ht="12.75" customHeight="1">
      <c r="J486" s="231"/>
    </row>
    <row r="487" ht="12.75" customHeight="1">
      <c r="J487" s="231"/>
    </row>
    <row r="488" ht="12.75" customHeight="1">
      <c r="J488" s="231"/>
    </row>
    <row r="489" ht="12.75" customHeight="1">
      <c r="J489" s="231"/>
    </row>
    <row r="490" ht="12.75" customHeight="1">
      <c r="J490" s="231"/>
    </row>
    <row r="491" ht="12.75" customHeight="1">
      <c r="J491" s="231"/>
    </row>
    <row r="492" ht="12.75" customHeight="1">
      <c r="J492" s="231"/>
    </row>
    <row r="493" ht="12.75" customHeight="1">
      <c r="J493" s="231"/>
    </row>
    <row r="494" ht="12.75" customHeight="1">
      <c r="J494" s="231"/>
    </row>
    <row r="495" ht="12.75" customHeight="1">
      <c r="J495" s="231"/>
    </row>
    <row r="496" ht="12.75" customHeight="1">
      <c r="J496" s="231"/>
    </row>
    <row r="497" ht="12.75" customHeight="1">
      <c r="J497" s="231"/>
    </row>
    <row r="498" ht="12.75" customHeight="1">
      <c r="J498" s="231"/>
    </row>
    <row r="499" ht="12.75" customHeight="1">
      <c r="J499" s="231"/>
    </row>
    <row r="500" ht="12.75" customHeight="1">
      <c r="J500" s="231"/>
    </row>
    <row r="501" ht="12.75" customHeight="1">
      <c r="J501" s="231"/>
    </row>
    <row r="502" ht="12.75" customHeight="1">
      <c r="J502" s="231"/>
    </row>
    <row r="503" ht="12.75" customHeight="1">
      <c r="J503" s="231"/>
    </row>
    <row r="504" ht="12.75" customHeight="1">
      <c r="J504" s="231"/>
    </row>
    <row r="505" ht="12.75" customHeight="1">
      <c r="J505" s="231"/>
    </row>
    <row r="506" ht="12.75" customHeight="1">
      <c r="J506" s="231"/>
    </row>
    <row r="507" ht="12.75" customHeight="1">
      <c r="J507" s="231"/>
    </row>
    <row r="508" ht="12.75" customHeight="1">
      <c r="J508" s="231"/>
    </row>
    <row r="509" ht="12.75" customHeight="1">
      <c r="J509" s="231"/>
    </row>
    <row r="510" ht="12.75" customHeight="1">
      <c r="J510" s="231"/>
    </row>
    <row r="511" ht="12.75" customHeight="1">
      <c r="J511" s="231"/>
    </row>
    <row r="512" ht="12.75" customHeight="1">
      <c r="J512" s="231"/>
    </row>
    <row r="513" ht="12.75" customHeight="1">
      <c r="J513" s="231"/>
    </row>
    <row r="514" ht="12.75" customHeight="1">
      <c r="J514" s="231"/>
    </row>
    <row r="515" ht="12.75" customHeight="1">
      <c r="J515" s="231"/>
    </row>
    <row r="516" ht="12.75" customHeight="1">
      <c r="J516" s="231"/>
    </row>
    <row r="517" ht="12.75" customHeight="1">
      <c r="J517" s="231"/>
    </row>
    <row r="518" ht="12.75" customHeight="1">
      <c r="J518" s="231"/>
    </row>
    <row r="519" ht="12.75" customHeight="1">
      <c r="J519" s="231"/>
    </row>
    <row r="520" ht="12.75" customHeight="1">
      <c r="J520" s="231"/>
    </row>
    <row r="521" ht="12.75" customHeight="1">
      <c r="J521" s="231"/>
    </row>
    <row r="522" ht="12.75" customHeight="1">
      <c r="J522" s="231"/>
    </row>
    <row r="523" ht="12.75" customHeight="1">
      <c r="J523" s="231"/>
    </row>
    <row r="524" ht="12.75" customHeight="1">
      <c r="J524" s="231"/>
    </row>
    <row r="525" ht="12.75" customHeight="1">
      <c r="J525" s="231"/>
    </row>
    <row r="526" ht="12.75" customHeight="1">
      <c r="J526" s="231"/>
    </row>
    <row r="527" ht="12.75" customHeight="1">
      <c r="J527" s="231"/>
    </row>
    <row r="528" ht="12.75" customHeight="1">
      <c r="J528" s="231"/>
    </row>
    <row r="529" ht="12.75" customHeight="1">
      <c r="J529" s="231"/>
    </row>
    <row r="530" ht="12.75" customHeight="1">
      <c r="J530" s="231"/>
    </row>
    <row r="531" ht="12.75" customHeight="1">
      <c r="J531" s="231"/>
    </row>
    <row r="532" ht="12.75" customHeight="1">
      <c r="J532" s="231"/>
    </row>
    <row r="533" ht="12.75" customHeight="1">
      <c r="J533" s="231"/>
    </row>
    <row r="534" ht="12.75" customHeight="1">
      <c r="J534" s="231"/>
    </row>
    <row r="535" ht="12.75" customHeight="1">
      <c r="J535" s="231"/>
    </row>
    <row r="536" ht="12.75" customHeight="1">
      <c r="J536" s="231"/>
    </row>
    <row r="537" ht="12.75" customHeight="1">
      <c r="J537" s="231"/>
    </row>
    <row r="538" ht="12.75" customHeight="1">
      <c r="J538" s="231"/>
    </row>
    <row r="539" ht="12.75" customHeight="1">
      <c r="J539" s="231"/>
    </row>
    <row r="540" ht="12.75" customHeight="1">
      <c r="J540" s="231"/>
    </row>
    <row r="541" ht="12.75" customHeight="1">
      <c r="J541" s="231"/>
    </row>
    <row r="542" ht="12.75" customHeight="1">
      <c r="J542" s="231"/>
    </row>
    <row r="543" ht="12.75" customHeight="1">
      <c r="J543" s="231"/>
    </row>
    <row r="544" ht="12.75" customHeight="1">
      <c r="J544" s="231"/>
    </row>
    <row r="545" ht="12.75" customHeight="1">
      <c r="J545" s="231"/>
    </row>
    <row r="546" ht="12.75" customHeight="1">
      <c r="J546" s="231"/>
    </row>
    <row r="547" ht="12.75" customHeight="1">
      <c r="J547" s="231"/>
    </row>
    <row r="548" ht="12.75" customHeight="1">
      <c r="J548" s="231"/>
    </row>
    <row r="549" ht="12.75" customHeight="1">
      <c r="J549" s="231"/>
    </row>
    <row r="550" ht="12.75" customHeight="1">
      <c r="J550" s="231"/>
    </row>
    <row r="551" ht="12.75" customHeight="1">
      <c r="J551" s="231"/>
    </row>
    <row r="552" ht="12.75" customHeight="1">
      <c r="J552" s="231"/>
    </row>
    <row r="553" ht="12.75" customHeight="1">
      <c r="J553" s="231"/>
    </row>
    <row r="554" ht="12.75" customHeight="1">
      <c r="J554" s="231"/>
    </row>
    <row r="555" ht="12.75" customHeight="1">
      <c r="J555" s="231"/>
    </row>
    <row r="556" ht="12.75" customHeight="1">
      <c r="J556" s="231"/>
    </row>
    <row r="557" ht="12.75" customHeight="1">
      <c r="J557" s="231"/>
    </row>
    <row r="558" ht="12.75" customHeight="1">
      <c r="J558" s="231"/>
    </row>
    <row r="559" ht="12.75" customHeight="1">
      <c r="J559" s="231"/>
    </row>
    <row r="560" ht="12.75" customHeight="1">
      <c r="J560" s="231"/>
    </row>
    <row r="561" ht="12.75" customHeight="1">
      <c r="J561" s="231"/>
    </row>
    <row r="562" ht="12.75" customHeight="1">
      <c r="J562" s="231"/>
    </row>
    <row r="563" ht="12.75" customHeight="1">
      <c r="J563" s="231"/>
    </row>
    <row r="564" ht="12.75" customHeight="1">
      <c r="J564" s="231"/>
    </row>
    <row r="565" ht="12.75" customHeight="1">
      <c r="J565" s="231"/>
    </row>
    <row r="566" ht="12.75" customHeight="1">
      <c r="J566" s="231"/>
    </row>
    <row r="567" ht="12.75" customHeight="1">
      <c r="J567" s="231"/>
    </row>
    <row r="568" ht="12.75" customHeight="1">
      <c r="J568" s="231"/>
    </row>
    <row r="569" ht="12.75" customHeight="1">
      <c r="J569" s="231"/>
    </row>
    <row r="570" ht="12.75" customHeight="1">
      <c r="J570" s="231"/>
    </row>
    <row r="571" ht="12.75" customHeight="1">
      <c r="J571" s="231"/>
    </row>
    <row r="572" ht="12.75" customHeight="1">
      <c r="J572" s="231"/>
    </row>
    <row r="573" ht="12.75" customHeight="1">
      <c r="J573" s="231"/>
    </row>
    <row r="574" ht="12.75" customHeight="1">
      <c r="J574" s="231"/>
    </row>
    <row r="575" ht="12.75" customHeight="1">
      <c r="J575" s="231"/>
    </row>
    <row r="576" ht="12.75" customHeight="1">
      <c r="J576" s="231"/>
    </row>
    <row r="577" ht="12.75" customHeight="1">
      <c r="J577" s="231"/>
    </row>
    <row r="578" ht="12.75" customHeight="1">
      <c r="J578" s="231"/>
    </row>
    <row r="579" ht="12.75" customHeight="1">
      <c r="J579" s="231"/>
    </row>
    <row r="580" ht="12.75" customHeight="1">
      <c r="J580" s="231"/>
    </row>
    <row r="581" ht="12.75" customHeight="1">
      <c r="J581" s="231"/>
    </row>
    <row r="582" ht="12.75" customHeight="1">
      <c r="J582" s="231"/>
    </row>
    <row r="583" ht="12.75" customHeight="1">
      <c r="J583" s="231"/>
    </row>
    <row r="584" ht="12.75" customHeight="1">
      <c r="J584" s="231"/>
    </row>
    <row r="585" ht="12.75" customHeight="1">
      <c r="J585" s="231"/>
    </row>
    <row r="586" ht="12.75" customHeight="1">
      <c r="J586" s="231"/>
    </row>
    <row r="587" ht="12.75" customHeight="1">
      <c r="J587" s="231"/>
    </row>
    <row r="588" ht="12.75" customHeight="1">
      <c r="J588" s="231"/>
    </row>
    <row r="589" ht="12.75" customHeight="1">
      <c r="J589" s="231"/>
    </row>
    <row r="590" ht="12.75" customHeight="1">
      <c r="J590" s="231"/>
    </row>
    <row r="591" ht="12.75" customHeight="1">
      <c r="J591" s="231"/>
    </row>
    <row r="592" ht="12.75" customHeight="1">
      <c r="J592" s="231"/>
    </row>
    <row r="593" ht="12.75" customHeight="1">
      <c r="J593" s="231"/>
    </row>
    <row r="594" ht="12.75" customHeight="1">
      <c r="J594" s="231"/>
    </row>
    <row r="595" ht="12.75" customHeight="1">
      <c r="J595" s="231"/>
    </row>
    <row r="596" ht="12.75" customHeight="1">
      <c r="J596" s="231"/>
    </row>
    <row r="597" ht="12.75" customHeight="1">
      <c r="J597" s="231"/>
    </row>
    <row r="598" ht="12.75" customHeight="1">
      <c r="J598" s="231"/>
    </row>
    <row r="599" ht="12.75" customHeight="1">
      <c r="J599" s="231"/>
    </row>
    <row r="600" ht="12.75" customHeight="1">
      <c r="J600" s="231"/>
    </row>
    <row r="601" ht="12.75" customHeight="1">
      <c r="J601" s="231"/>
    </row>
    <row r="602" ht="12.75" customHeight="1">
      <c r="J602" s="231"/>
    </row>
    <row r="603" ht="12.75" customHeight="1">
      <c r="J603" s="231"/>
    </row>
    <row r="604" ht="12.75" customHeight="1">
      <c r="J604" s="231"/>
    </row>
    <row r="605" ht="12.75" customHeight="1">
      <c r="J605" s="231"/>
    </row>
    <row r="606" ht="12.75" customHeight="1">
      <c r="J606" s="231"/>
    </row>
    <row r="607" ht="12.75" customHeight="1">
      <c r="J607" s="231"/>
    </row>
    <row r="608" ht="12.75" customHeight="1">
      <c r="J608" s="231"/>
    </row>
    <row r="609" ht="12.75" customHeight="1">
      <c r="J609" s="231"/>
    </row>
    <row r="610" ht="12.75" customHeight="1">
      <c r="J610" s="231"/>
    </row>
    <row r="611" ht="12.75" customHeight="1">
      <c r="J611" s="231"/>
    </row>
    <row r="612" ht="12.75" customHeight="1">
      <c r="J612" s="231"/>
    </row>
    <row r="613" ht="12.75" customHeight="1">
      <c r="J613" s="231"/>
    </row>
    <row r="614" ht="12.75" customHeight="1">
      <c r="J614" s="231"/>
    </row>
    <row r="615" ht="12.75" customHeight="1">
      <c r="J615" s="231"/>
    </row>
    <row r="616" ht="12.75" customHeight="1">
      <c r="J616" s="231"/>
    </row>
    <row r="617" ht="12.75" customHeight="1">
      <c r="J617" s="231"/>
    </row>
    <row r="618" ht="12.75" customHeight="1">
      <c r="J618" s="231"/>
    </row>
    <row r="619" ht="12.75" customHeight="1">
      <c r="J619" s="231"/>
    </row>
    <row r="620" ht="12.75" customHeight="1">
      <c r="J620" s="231"/>
    </row>
    <row r="621" ht="12.75" customHeight="1">
      <c r="J621" s="231"/>
    </row>
    <row r="622" ht="12.75" customHeight="1">
      <c r="J622" s="231"/>
    </row>
    <row r="623" ht="12.75" customHeight="1">
      <c r="J623" s="231"/>
    </row>
    <row r="624" ht="12.75" customHeight="1">
      <c r="J624" s="231"/>
    </row>
    <row r="625" ht="12.75" customHeight="1">
      <c r="J625" s="231"/>
    </row>
    <row r="626" ht="12.75" customHeight="1">
      <c r="J626" s="231"/>
    </row>
    <row r="627" ht="12.75" customHeight="1">
      <c r="J627" s="231"/>
    </row>
    <row r="628" ht="12.75" customHeight="1">
      <c r="J628" s="231"/>
    </row>
    <row r="629" ht="12.75" customHeight="1">
      <c r="J629" s="231"/>
    </row>
    <row r="630" ht="12.75" customHeight="1">
      <c r="J630" s="231"/>
    </row>
    <row r="631" ht="12.75" customHeight="1">
      <c r="J631" s="231"/>
    </row>
    <row r="632" ht="12.75" customHeight="1">
      <c r="J632" s="231"/>
    </row>
    <row r="633" ht="12.75" customHeight="1">
      <c r="J633" s="231"/>
    </row>
    <row r="634" ht="12.75" customHeight="1">
      <c r="J634" s="231"/>
    </row>
    <row r="635" ht="12.75" customHeight="1">
      <c r="J635" s="231"/>
    </row>
    <row r="636" ht="12.75" customHeight="1">
      <c r="J636" s="231"/>
    </row>
    <row r="637" ht="12.75" customHeight="1">
      <c r="J637" s="231"/>
    </row>
    <row r="638" ht="12.75" customHeight="1">
      <c r="J638" s="231"/>
    </row>
    <row r="639" ht="12.75" customHeight="1">
      <c r="J639" s="231"/>
    </row>
    <row r="640" ht="12.75" customHeight="1">
      <c r="J640" s="231"/>
    </row>
    <row r="641" ht="12.75" customHeight="1">
      <c r="J641" s="231"/>
    </row>
    <row r="642" ht="12.75" customHeight="1">
      <c r="J642" s="231"/>
    </row>
    <row r="643" ht="12.75" customHeight="1">
      <c r="J643" s="231"/>
    </row>
    <row r="644" ht="12.75" customHeight="1">
      <c r="J644" s="231"/>
    </row>
    <row r="645" ht="12.75" customHeight="1">
      <c r="J645" s="231"/>
    </row>
    <row r="646" ht="12.75" customHeight="1">
      <c r="J646" s="231"/>
    </row>
    <row r="647" ht="12.75" customHeight="1">
      <c r="J647" s="231"/>
    </row>
    <row r="648" ht="12.75" customHeight="1">
      <c r="J648" s="231"/>
    </row>
    <row r="649" ht="12.75" customHeight="1">
      <c r="J649" s="231"/>
    </row>
    <row r="650" ht="12.75" customHeight="1">
      <c r="J650" s="231"/>
    </row>
    <row r="651" ht="12.75" customHeight="1">
      <c r="J651" s="231"/>
    </row>
    <row r="652" ht="12.75" customHeight="1">
      <c r="J652" s="231"/>
    </row>
    <row r="653" ht="12.75" customHeight="1">
      <c r="J653" s="231"/>
    </row>
    <row r="654" ht="12.75" customHeight="1">
      <c r="J654" s="231"/>
    </row>
    <row r="655" ht="12.75" customHeight="1">
      <c r="J655" s="231"/>
    </row>
    <row r="656" ht="12.75" customHeight="1">
      <c r="J656" s="231"/>
    </row>
    <row r="657" ht="12.75" customHeight="1">
      <c r="J657" s="231"/>
    </row>
    <row r="658" ht="12.75" customHeight="1">
      <c r="J658" s="231"/>
    </row>
    <row r="659" ht="12.75" customHeight="1">
      <c r="J659" s="231"/>
    </row>
    <row r="660" ht="12.75" customHeight="1">
      <c r="J660" s="231"/>
    </row>
    <row r="661" ht="12.75" customHeight="1">
      <c r="J661" s="231"/>
    </row>
    <row r="662" ht="12.75" customHeight="1">
      <c r="J662" s="231"/>
    </row>
    <row r="663" ht="12.75" customHeight="1">
      <c r="J663" s="231"/>
    </row>
    <row r="664" ht="12.75" customHeight="1">
      <c r="J664" s="231"/>
    </row>
    <row r="665" ht="12.75" customHeight="1">
      <c r="J665" s="231"/>
    </row>
    <row r="666" ht="12.75" customHeight="1">
      <c r="J666" s="231"/>
    </row>
    <row r="667" ht="12.75" customHeight="1">
      <c r="J667" s="231"/>
    </row>
    <row r="668" ht="12.75" customHeight="1">
      <c r="J668" s="231"/>
    </row>
    <row r="669" ht="12.75" customHeight="1">
      <c r="J669" s="231"/>
    </row>
    <row r="670" ht="12.75" customHeight="1">
      <c r="J670" s="231"/>
    </row>
    <row r="671" ht="12.75" customHeight="1">
      <c r="J671" s="231"/>
    </row>
    <row r="672" ht="12.75" customHeight="1">
      <c r="J672" s="231"/>
    </row>
    <row r="673" ht="12.75" customHeight="1">
      <c r="J673" s="231"/>
    </row>
    <row r="674" ht="12.75" customHeight="1">
      <c r="J674" s="231"/>
    </row>
    <row r="675" ht="12.75" customHeight="1">
      <c r="J675" s="231"/>
    </row>
    <row r="676" ht="12.75" customHeight="1">
      <c r="J676" s="231"/>
    </row>
    <row r="677" ht="12.75" customHeight="1">
      <c r="J677" s="231"/>
    </row>
    <row r="678" ht="12.75" customHeight="1">
      <c r="J678" s="231"/>
    </row>
    <row r="679" ht="12.75" customHeight="1">
      <c r="J679" s="231"/>
    </row>
    <row r="680" ht="12.75" customHeight="1">
      <c r="J680" s="231"/>
    </row>
    <row r="681" ht="12.75" customHeight="1">
      <c r="J681" s="231"/>
    </row>
    <row r="682" ht="12.75" customHeight="1">
      <c r="J682" s="231"/>
    </row>
    <row r="683" ht="12.75" customHeight="1">
      <c r="J683" s="231"/>
    </row>
    <row r="684" ht="12.75" customHeight="1">
      <c r="J684" s="231"/>
    </row>
    <row r="685" ht="12.75" customHeight="1">
      <c r="J685" s="231"/>
    </row>
    <row r="686" ht="12.75" customHeight="1">
      <c r="J686" s="231"/>
    </row>
    <row r="687" ht="12.75" customHeight="1">
      <c r="J687" s="231"/>
    </row>
    <row r="688" ht="12.75" customHeight="1">
      <c r="J688" s="231"/>
    </row>
    <row r="689" ht="12.75" customHeight="1">
      <c r="J689" s="231"/>
    </row>
    <row r="690" ht="12.75" customHeight="1">
      <c r="J690" s="231"/>
    </row>
    <row r="691" ht="12.75" customHeight="1">
      <c r="J691" s="231"/>
    </row>
    <row r="692" ht="12.75" customHeight="1">
      <c r="J692" s="231"/>
    </row>
    <row r="693" ht="12.75" customHeight="1">
      <c r="J693" s="231"/>
    </row>
    <row r="694" ht="12.75" customHeight="1">
      <c r="J694" s="231"/>
    </row>
    <row r="695" ht="12.75" customHeight="1">
      <c r="J695" s="231"/>
    </row>
    <row r="696" ht="12.75" customHeight="1">
      <c r="J696" s="231"/>
    </row>
    <row r="697" ht="12.75" customHeight="1">
      <c r="J697" s="231"/>
    </row>
    <row r="698" ht="12.75" customHeight="1">
      <c r="J698" s="231"/>
    </row>
    <row r="699" ht="12.75" customHeight="1">
      <c r="J699" s="231"/>
    </row>
    <row r="700" ht="12.75" customHeight="1">
      <c r="J700" s="231"/>
    </row>
    <row r="701" ht="12.75" customHeight="1">
      <c r="J701" s="231"/>
    </row>
    <row r="702" ht="12.75" customHeight="1">
      <c r="J702" s="231"/>
    </row>
    <row r="703" ht="12.75" customHeight="1">
      <c r="J703" s="231"/>
    </row>
    <row r="704" ht="12.75" customHeight="1">
      <c r="J704" s="231"/>
    </row>
    <row r="705" ht="12.75" customHeight="1">
      <c r="J705" s="231"/>
    </row>
    <row r="706" ht="12.75" customHeight="1">
      <c r="J706" s="231"/>
    </row>
    <row r="707" ht="12.75" customHeight="1">
      <c r="J707" s="231"/>
    </row>
    <row r="708" ht="12.75" customHeight="1">
      <c r="J708" s="231"/>
    </row>
    <row r="709" ht="12.75" customHeight="1">
      <c r="J709" s="231"/>
    </row>
    <row r="710" ht="12.75" customHeight="1">
      <c r="J710" s="231"/>
    </row>
    <row r="711" ht="12.75" customHeight="1">
      <c r="J711" s="231"/>
    </row>
    <row r="712" ht="12.75" customHeight="1">
      <c r="J712" s="231"/>
    </row>
    <row r="713" ht="12.75" customHeight="1">
      <c r="J713" s="231"/>
    </row>
    <row r="714" ht="12.75" customHeight="1">
      <c r="J714" s="231"/>
    </row>
    <row r="715" ht="12.75" customHeight="1">
      <c r="J715" s="231"/>
    </row>
    <row r="716" ht="12.75" customHeight="1">
      <c r="J716" s="231"/>
    </row>
    <row r="717" ht="12.75" customHeight="1">
      <c r="J717" s="231"/>
    </row>
    <row r="718" ht="12.75" customHeight="1">
      <c r="J718" s="231"/>
    </row>
    <row r="719" ht="12.75" customHeight="1">
      <c r="J719" s="231"/>
    </row>
    <row r="720" ht="12.75" customHeight="1">
      <c r="J720" s="231"/>
    </row>
    <row r="721" ht="12.75" customHeight="1">
      <c r="J721" s="231"/>
    </row>
    <row r="722" ht="12.75" customHeight="1">
      <c r="J722" s="231"/>
    </row>
    <row r="723" ht="12.75" customHeight="1">
      <c r="J723" s="231"/>
    </row>
    <row r="724" ht="12.75" customHeight="1">
      <c r="J724" s="231"/>
    </row>
    <row r="725" ht="12.75" customHeight="1">
      <c r="J725" s="231"/>
    </row>
    <row r="726" ht="12.75" customHeight="1">
      <c r="J726" s="231"/>
    </row>
    <row r="727" ht="12.75" customHeight="1">
      <c r="J727" s="231"/>
    </row>
    <row r="728" ht="12.75" customHeight="1">
      <c r="J728" s="231"/>
    </row>
    <row r="729" ht="12.75" customHeight="1">
      <c r="J729" s="231"/>
    </row>
    <row r="730" ht="12.75" customHeight="1">
      <c r="J730" s="231"/>
    </row>
    <row r="731" ht="12.75" customHeight="1">
      <c r="J731" s="231"/>
    </row>
    <row r="732" ht="12.75" customHeight="1">
      <c r="J732" s="231"/>
    </row>
    <row r="733" ht="12.75" customHeight="1">
      <c r="J733" s="231"/>
    </row>
    <row r="734" ht="12.75" customHeight="1">
      <c r="J734" s="231"/>
    </row>
    <row r="735" ht="12.75" customHeight="1">
      <c r="J735" s="231"/>
    </row>
    <row r="736" ht="12.75" customHeight="1">
      <c r="J736" s="231"/>
    </row>
    <row r="737" ht="12.75" customHeight="1">
      <c r="J737" s="231"/>
    </row>
    <row r="738" ht="12.75" customHeight="1">
      <c r="J738" s="231"/>
    </row>
    <row r="739" ht="12.75" customHeight="1">
      <c r="J739" s="231"/>
    </row>
    <row r="740" ht="12.75" customHeight="1">
      <c r="J740" s="231"/>
    </row>
    <row r="741" ht="12.75" customHeight="1">
      <c r="J741" s="231"/>
    </row>
    <row r="742" ht="12.75" customHeight="1">
      <c r="J742" s="231"/>
    </row>
    <row r="743" ht="12.75" customHeight="1">
      <c r="J743" s="231"/>
    </row>
    <row r="744" ht="12.75" customHeight="1">
      <c r="J744" s="231"/>
    </row>
    <row r="745" ht="12.75" customHeight="1">
      <c r="J745" s="231"/>
    </row>
    <row r="746" ht="12.75" customHeight="1">
      <c r="J746" s="231"/>
    </row>
    <row r="747" ht="12.75" customHeight="1">
      <c r="J747" s="231"/>
    </row>
    <row r="748" ht="12.75" customHeight="1">
      <c r="J748" s="231"/>
    </row>
    <row r="749" ht="12.75" customHeight="1">
      <c r="J749" s="231"/>
    </row>
    <row r="750" ht="12.75" customHeight="1">
      <c r="J750" s="231"/>
    </row>
    <row r="751" ht="12.75" customHeight="1">
      <c r="J751" s="231"/>
    </row>
    <row r="752" ht="12.75" customHeight="1">
      <c r="J752" s="231"/>
    </row>
    <row r="753" ht="12.75" customHeight="1">
      <c r="J753" s="231"/>
    </row>
    <row r="754" ht="12.75" customHeight="1">
      <c r="J754" s="231"/>
    </row>
    <row r="755" ht="12.75" customHeight="1">
      <c r="J755" s="231"/>
    </row>
    <row r="756" ht="12.75" customHeight="1">
      <c r="J756" s="231"/>
    </row>
    <row r="757" ht="12.75" customHeight="1">
      <c r="J757" s="231"/>
    </row>
    <row r="758" ht="12.75" customHeight="1">
      <c r="J758" s="231"/>
    </row>
    <row r="759" ht="12.75" customHeight="1">
      <c r="J759" s="231"/>
    </row>
    <row r="760" ht="12.75" customHeight="1">
      <c r="J760" s="231"/>
    </row>
    <row r="761" ht="12.75" customHeight="1">
      <c r="J761" s="231"/>
    </row>
    <row r="762" ht="12.75" customHeight="1">
      <c r="J762" s="231"/>
    </row>
    <row r="763" ht="12.75" customHeight="1">
      <c r="J763" s="231"/>
    </row>
    <row r="764" ht="12.75" customHeight="1">
      <c r="J764" s="231"/>
    </row>
    <row r="765" ht="12.75" customHeight="1">
      <c r="J765" s="231"/>
    </row>
    <row r="766" ht="12.75" customHeight="1">
      <c r="J766" s="231"/>
    </row>
    <row r="767" ht="12.75" customHeight="1">
      <c r="J767" s="231"/>
    </row>
    <row r="768" ht="12.75" customHeight="1">
      <c r="J768" s="231"/>
    </row>
    <row r="769" ht="12.75" customHeight="1">
      <c r="J769" s="231"/>
    </row>
    <row r="770" ht="12.75" customHeight="1">
      <c r="J770" s="231"/>
    </row>
    <row r="771" ht="12.75" customHeight="1">
      <c r="J771" s="231"/>
    </row>
    <row r="772" ht="12.75" customHeight="1">
      <c r="J772" s="231"/>
    </row>
    <row r="773" ht="12.75" customHeight="1">
      <c r="J773" s="231"/>
    </row>
    <row r="774" ht="12.75" customHeight="1">
      <c r="J774" s="231"/>
    </row>
    <row r="775" ht="12.75" customHeight="1">
      <c r="J775" s="231"/>
    </row>
    <row r="776" ht="12.75" customHeight="1">
      <c r="J776" s="231"/>
    </row>
    <row r="777" ht="12.75" customHeight="1">
      <c r="J777" s="231"/>
    </row>
    <row r="778" ht="12.75" customHeight="1">
      <c r="J778" s="231"/>
    </row>
    <row r="779" ht="12.75" customHeight="1">
      <c r="J779" s="231"/>
    </row>
    <row r="780" ht="12.75" customHeight="1">
      <c r="J780" s="231"/>
    </row>
    <row r="781" ht="12.75" customHeight="1">
      <c r="J781" s="231"/>
    </row>
    <row r="782" ht="12.75" customHeight="1">
      <c r="J782" s="231"/>
    </row>
    <row r="783" ht="12.75" customHeight="1">
      <c r="J783" s="231"/>
    </row>
    <row r="784" ht="12.75" customHeight="1">
      <c r="J784" s="231"/>
    </row>
    <row r="785" ht="12.75" customHeight="1">
      <c r="J785" s="231"/>
    </row>
    <row r="786" ht="12.75" customHeight="1">
      <c r="J786" s="231"/>
    </row>
    <row r="787" ht="12.75" customHeight="1">
      <c r="J787" s="231"/>
    </row>
    <row r="788" ht="12.75" customHeight="1">
      <c r="J788" s="231"/>
    </row>
    <row r="789" ht="12.75" customHeight="1">
      <c r="J789" s="231"/>
    </row>
    <row r="790" ht="12.75" customHeight="1">
      <c r="J790" s="231"/>
    </row>
    <row r="791" ht="12.75" customHeight="1">
      <c r="J791" s="231"/>
    </row>
    <row r="792" ht="12.75" customHeight="1">
      <c r="J792" s="231"/>
    </row>
    <row r="793" ht="12.75" customHeight="1">
      <c r="J793" s="231"/>
    </row>
    <row r="794" ht="12.75" customHeight="1">
      <c r="J794" s="231"/>
    </row>
    <row r="795" ht="12.75" customHeight="1">
      <c r="J795" s="231"/>
    </row>
    <row r="796" ht="12.75" customHeight="1">
      <c r="J796" s="231"/>
    </row>
    <row r="797" ht="12.75" customHeight="1">
      <c r="J797" s="231"/>
    </row>
    <row r="798" ht="12.75" customHeight="1">
      <c r="J798" s="231"/>
    </row>
    <row r="799" ht="12.75" customHeight="1">
      <c r="J799" s="231"/>
    </row>
    <row r="800" ht="12.75" customHeight="1">
      <c r="J800" s="231"/>
    </row>
    <row r="801" ht="12.75" customHeight="1">
      <c r="J801" s="231"/>
    </row>
    <row r="802" ht="12.75" customHeight="1">
      <c r="J802" s="231"/>
    </row>
    <row r="803" ht="12.75" customHeight="1">
      <c r="J803" s="231"/>
    </row>
    <row r="804" ht="12.75" customHeight="1">
      <c r="J804" s="231"/>
    </row>
    <row r="805" ht="12.75" customHeight="1">
      <c r="J805" s="231"/>
    </row>
    <row r="806" ht="12.75" customHeight="1">
      <c r="J806" s="231"/>
    </row>
    <row r="807" ht="12.75" customHeight="1">
      <c r="J807" s="231"/>
    </row>
    <row r="808" ht="12.75" customHeight="1">
      <c r="J808" s="231"/>
    </row>
    <row r="809" ht="12.75" customHeight="1">
      <c r="J809" s="231"/>
    </row>
    <row r="810" ht="12.75" customHeight="1">
      <c r="J810" s="231"/>
    </row>
    <row r="811" ht="12.75" customHeight="1">
      <c r="J811" s="231"/>
    </row>
    <row r="812" ht="12.75" customHeight="1">
      <c r="J812" s="231"/>
    </row>
    <row r="813" ht="12.75" customHeight="1">
      <c r="J813" s="231"/>
    </row>
    <row r="814" ht="12.75" customHeight="1">
      <c r="J814" s="231"/>
    </row>
    <row r="815" ht="12.75" customHeight="1">
      <c r="J815" s="231"/>
    </row>
    <row r="816" ht="12.75" customHeight="1">
      <c r="J816" s="231"/>
    </row>
    <row r="817" ht="12.75" customHeight="1">
      <c r="J817" s="231"/>
    </row>
    <row r="818" ht="12.75" customHeight="1">
      <c r="J818" s="231"/>
    </row>
    <row r="819" ht="12.75" customHeight="1">
      <c r="J819" s="231"/>
    </row>
    <row r="820" ht="12.75" customHeight="1">
      <c r="J820" s="231"/>
    </row>
    <row r="821" ht="12.75" customHeight="1">
      <c r="J821" s="231"/>
    </row>
    <row r="822" ht="12.75" customHeight="1">
      <c r="J822" s="231"/>
    </row>
    <row r="823" ht="12.75" customHeight="1">
      <c r="J823" s="231"/>
    </row>
    <row r="824" ht="12.75" customHeight="1">
      <c r="J824" s="231"/>
    </row>
    <row r="825" ht="12.75" customHeight="1">
      <c r="J825" s="231"/>
    </row>
    <row r="826" ht="12.75" customHeight="1">
      <c r="J826" s="231"/>
    </row>
    <row r="827" ht="12.75" customHeight="1">
      <c r="J827" s="231"/>
    </row>
    <row r="828" ht="12.75" customHeight="1">
      <c r="J828" s="231"/>
    </row>
    <row r="829" ht="12.75" customHeight="1">
      <c r="J829" s="231"/>
    </row>
    <row r="830" ht="12.75" customHeight="1">
      <c r="J830" s="231"/>
    </row>
    <row r="831" ht="12.75" customHeight="1">
      <c r="J831" s="231"/>
    </row>
    <row r="832" ht="12.75" customHeight="1">
      <c r="J832" s="231"/>
    </row>
    <row r="833" ht="12.75" customHeight="1">
      <c r="J833" s="231"/>
    </row>
    <row r="834" ht="12.75" customHeight="1">
      <c r="J834" s="231"/>
    </row>
    <row r="835" ht="12.75" customHeight="1">
      <c r="J835" s="231"/>
    </row>
    <row r="836" ht="12.75" customHeight="1">
      <c r="J836" s="231"/>
    </row>
    <row r="837" ht="12.75" customHeight="1">
      <c r="J837" s="231"/>
    </row>
    <row r="838" ht="12.75" customHeight="1">
      <c r="J838" s="231"/>
    </row>
    <row r="839" ht="12.75" customHeight="1">
      <c r="J839" s="231"/>
    </row>
    <row r="840" ht="12.75" customHeight="1">
      <c r="J840" s="231"/>
    </row>
    <row r="841" ht="12.75" customHeight="1">
      <c r="J841" s="231"/>
    </row>
    <row r="842" ht="12.75" customHeight="1">
      <c r="J842" s="231"/>
    </row>
    <row r="843" ht="12.75" customHeight="1">
      <c r="J843" s="231"/>
    </row>
    <row r="844" ht="12.75" customHeight="1">
      <c r="J844" s="231"/>
    </row>
    <row r="845" ht="12.75" customHeight="1">
      <c r="J845" s="231"/>
    </row>
    <row r="846" ht="12.75" customHeight="1">
      <c r="J846" s="231"/>
    </row>
    <row r="847" ht="12.75" customHeight="1">
      <c r="J847" s="231"/>
    </row>
    <row r="848" ht="12.75" customHeight="1">
      <c r="J848" s="231"/>
    </row>
    <row r="849" ht="12.75" customHeight="1">
      <c r="J849" s="231"/>
    </row>
    <row r="850" ht="12.75" customHeight="1">
      <c r="J850" s="231"/>
    </row>
    <row r="851" ht="12.75" customHeight="1">
      <c r="J851" s="231"/>
    </row>
    <row r="852" ht="12.75" customHeight="1">
      <c r="J852" s="231"/>
    </row>
    <row r="853" ht="12.75" customHeight="1">
      <c r="J853" s="231"/>
    </row>
    <row r="854" ht="12.75" customHeight="1">
      <c r="J854" s="231"/>
    </row>
    <row r="855" ht="12.75" customHeight="1">
      <c r="J855" s="231"/>
    </row>
    <row r="856" ht="12.75" customHeight="1">
      <c r="J856" s="231"/>
    </row>
    <row r="857" ht="12.75" customHeight="1">
      <c r="J857" s="231"/>
    </row>
    <row r="858" ht="12.75" customHeight="1">
      <c r="J858" s="231"/>
    </row>
    <row r="859" ht="12.75" customHeight="1">
      <c r="J859" s="231"/>
    </row>
    <row r="860" ht="12.75" customHeight="1">
      <c r="J860" s="231"/>
    </row>
    <row r="861" ht="12.75" customHeight="1">
      <c r="J861" s="231"/>
    </row>
    <row r="862" ht="12.75" customHeight="1">
      <c r="J862" s="231"/>
    </row>
    <row r="863" ht="12.75" customHeight="1">
      <c r="J863" s="231"/>
    </row>
    <row r="864" ht="12.75" customHeight="1">
      <c r="J864" s="231"/>
    </row>
    <row r="865" ht="12.75" customHeight="1">
      <c r="J865" s="231"/>
    </row>
    <row r="866" ht="12.75" customHeight="1">
      <c r="J866" s="231"/>
    </row>
    <row r="867" ht="12.75" customHeight="1">
      <c r="J867" s="231"/>
    </row>
    <row r="868" ht="12.75" customHeight="1">
      <c r="J868" s="231"/>
    </row>
    <row r="869" ht="12.75" customHeight="1">
      <c r="J869" s="231"/>
    </row>
    <row r="870" ht="12.75" customHeight="1">
      <c r="J870" s="231"/>
    </row>
    <row r="871" ht="12.75" customHeight="1">
      <c r="J871" s="231"/>
    </row>
    <row r="872" ht="12.75" customHeight="1">
      <c r="J872" s="231"/>
    </row>
    <row r="873" ht="12.75" customHeight="1">
      <c r="J873" s="231"/>
    </row>
    <row r="874" ht="12.75" customHeight="1">
      <c r="J874" s="231"/>
    </row>
    <row r="875" ht="12.75" customHeight="1">
      <c r="J875" s="231"/>
    </row>
    <row r="876" ht="12.75" customHeight="1">
      <c r="J876" s="231"/>
    </row>
    <row r="877" ht="12.75" customHeight="1">
      <c r="J877" s="231"/>
    </row>
    <row r="878" ht="12.75" customHeight="1">
      <c r="J878" s="231"/>
    </row>
    <row r="879" ht="12.75" customHeight="1">
      <c r="J879" s="231"/>
    </row>
    <row r="880" ht="12.75" customHeight="1">
      <c r="J880" s="231"/>
    </row>
    <row r="881" ht="12.75" customHeight="1">
      <c r="J881" s="231"/>
    </row>
    <row r="882" ht="12.75" customHeight="1">
      <c r="J882" s="231"/>
    </row>
    <row r="883" ht="12.75" customHeight="1">
      <c r="J883" s="231"/>
    </row>
    <row r="884" ht="12.75" customHeight="1">
      <c r="J884" s="231"/>
    </row>
    <row r="885" ht="12.75" customHeight="1">
      <c r="J885" s="231"/>
    </row>
    <row r="886" ht="12.75" customHeight="1">
      <c r="J886" s="231"/>
    </row>
    <row r="887" ht="12.75" customHeight="1">
      <c r="J887" s="231"/>
    </row>
    <row r="888" ht="12.75" customHeight="1">
      <c r="J888" s="231"/>
    </row>
    <row r="889" ht="12.75" customHeight="1">
      <c r="J889" s="231"/>
    </row>
    <row r="890" ht="12.75" customHeight="1">
      <c r="J890" s="231"/>
    </row>
    <row r="891" ht="12.75" customHeight="1">
      <c r="J891" s="231"/>
    </row>
    <row r="892" ht="12.75" customHeight="1">
      <c r="J892" s="231"/>
    </row>
    <row r="893" ht="12.75" customHeight="1">
      <c r="J893" s="231"/>
    </row>
    <row r="894" ht="12.75" customHeight="1">
      <c r="J894" s="231"/>
    </row>
    <row r="895" ht="12.75" customHeight="1">
      <c r="J895" s="231"/>
    </row>
    <row r="896" ht="12.75" customHeight="1">
      <c r="J896" s="231"/>
    </row>
    <row r="897" ht="12.75" customHeight="1">
      <c r="J897" s="231"/>
    </row>
    <row r="898" ht="12.75" customHeight="1">
      <c r="J898" s="231"/>
    </row>
    <row r="899" ht="12.75" customHeight="1">
      <c r="J899" s="231"/>
    </row>
    <row r="900" ht="12.75" customHeight="1">
      <c r="J900" s="231"/>
    </row>
    <row r="901" ht="12.75" customHeight="1">
      <c r="J901" s="231"/>
    </row>
    <row r="902" ht="12.75" customHeight="1">
      <c r="J902" s="231"/>
    </row>
    <row r="903" ht="12.75" customHeight="1">
      <c r="J903" s="231"/>
    </row>
    <row r="904" ht="12.75" customHeight="1">
      <c r="J904" s="231"/>
    </row>
    <row r="905" ht="12.75" customHeight="1">
      <c r="J905" s="231"/>
    </row>
    <row r="906" ht="12.75" customHeight="1">
      <c r="J906" s="231"/>
    </row>
    <row r="907" ht="12.75" customHeight="1">
      <c r="J907" s="231"/>
    </row>
    <row r="908" ht="12.75" customHeight="1">
      <c r="J908" s="231"/>
    </row>
    <row r="909" ht="12.75" customHeight="1">
      <c r="J909" s="231"/>
    </row>
    <row r="910" ht="12.75" customHeight="1">
      <c r="J910" s="231"/>
    </row>
    <row r="911" ht="12.75" customHeight="1">
      <c r="J911" s="231"/>
    </row>
    <row r="912" ht="12.75" customHeight="1">
      <c r="J912" s="231"/>
    </row>
    <row r="913" ht="12.75" customHeight="1">
      <c r="J913" s="231"/>
    </row>
    <row r="914" ht="12.75" customHeight="1">
      <c r="J914" s="231"/>
    </row>
    <row r="915" ht="12.75" customHeight="1">
      <c r="J915" s="231"/>
    </row>
    <row r="916" ht="12.75" customHeight="1">
      <c r="J916" s="231"/>
    </row>
    <row r="917" ht="12.75" customHeight="1">
      <c r="J917" s="231"/>
    </row>
    <row r="918" ht="12.75" customHeight="1">
      <c r="J918" s="231"/>
    </row>
    <row r="919" ht="12.75" customHeight="1">
      <c r="J919" s="231"/>
    </row>
    <row r="920" ht="12.75" customHeight="1">
      <c r="J920" s="231"/>
    </row>
    <row r="921" ht="12.75" customHeight="1">
      <c r="J921" s="231"/>
    </row>
    <row r="922" ht="12.75" customHeight="1">
      <c r="J922" s="231"/>
    </row>
    <row r="923" ht="12.75" customHeight="1">
      <c r="J923" s="231"/>
    </row>
    <row r="924" ht="12.75" customHeight="1">
      <c r="J924" s="231"/>
    </row>
    <row r="925" ht="12.75" customHeight="1">
      <c r="J925" s="231"/>
    </row>
    <row r="926" ht="12.75" customHeight="1">
      <c r="J926" s="231"/>
    </row>
    <row r="927" ht="12.75" customHeight="1">
      <c r="J927" s="231"/>
    </row>
    <row r="928" ht="12.75" customHeight="1">
      <c r="J928" s="231"/>
    </row>
    <row r="929" ht="12.75" customHeight="1">
      <c r="J929" s="231"/>
    </row>
    <row r="930" ht="12.75" customHeight="1">
      <c r="J930" s="231"/>
    </row>
    <row r="931" ht="12.75" customHeight="1">
      <c r="J931" s="231"/>
    </row>
    <row r="932" ht="12.75" customHeight="1">
      <c r="J932" s="231"/>
    </row>
    <row r="933" ht="12.75" customHeight="1">
      <c r="J933" s="231"/>
    </row>
    <row r="934" ht="12.75" customHeight="1">
      <c r="J934" s="231"/>
    </row>
    <row r="935" ht="12.75" customHeight="1">
      <c r="J935" s="231"/>
    </row>
    <row r="936" ht="12.75" customHeight="1">
      <c r="J936" s="231"/>
    </row>
    <row r="937" ht="12.75" customHeight="1">
      <c r="J937" s="231"/>
    </row>
    <row r="938" ht="12.75" customHeight="1">
      <c r="J938" s="231"/>
    </row>
    <row r="939" ht="12.75" customHeight="1">
      <c r="J939" s="231"/>
    </row>
    <row r="940" ht="12.75" customHeight="1">
      <c r="J940" s="231"/>
    </row>
    <row r="941" ht="12.75" customHeight="1">
      <c r="J941" s="231"/>
    </row>
    <row r="942" ht="12.75" customHeight="1">
      <c r="J942" s="231"/>
    </row>
    <row r="943" ht="12.75" customHeight="1">
      <c r="J943" s="231"/>
    </row>
    <row r="944" ht="12.75" customHeight="1">
      <c r="J944" s="231"/>
    </row>
    <row r="945" ht="12.75" customHeight="1">
      <c r="J945" s="231"/>
    </row>
    <row r="946" ht="12.75" customHeight="1">
      <c r="J946" s="231"/>
    </row>
    <row r="947" ht="12.75" customHeight="1">
      <c r="J947" s="231"/>
    </row>
    <row r="948" ht="12.75" customHeight="1">
      <c r="J948" s="231"/>
    </row>
    <row r="949" ht="12.75" customHeight="1">
      <c r="J949" s="231"/>
    </row>
    <row r="950" ht="12.75" customHeight="1">
      <c r="J950" s="231"/>
    </row>
    <row r="951" ht="12.75" customHeight="1">
      <c r="J951" s="231"/>
    </row>
    <row r="952" ht="12.75" customHeight="1">
      <c r="J952" s="231"/>
    </row>
    <row r="953" ht="12.75" customHeight="1">
      <c r="J953" s="231"/>
    </row>
    <row r="954" ht="12.75" customHeight="1">
      <c r="J954" s="231"/>
    </row>
    <row r="955" ht="12.75" customHeight="1">
      <c r="J955" s="231"/>
    </row>
    <row r="956" ht="12.75" customHeight="1">
      <c r="J956" s="231"/>
    </row>
    <row r="957" ht="12.75" customHeight="1">
      <c r="J957" s="231"/>
    </row>
    <row r="958" ht="12.75" customHeight="1">
      <c r="J958" s="231"/>
    </row>
    <row r="959" ht="12.75" customHeight="1">
      <c r="J959" s="231"/>
    </row>
    <row r="960" ht="12.75" customHeight="1">
      <c r="J960" s="231"/>
    </row>
    <row r="961" ht="12.75" customHeight="1">
      <c r="J961" s="231"/>
    </row>
    <row r="962" ht="12.75" customHeight="1">
      <c r="J962" s="231"/>
    </row>
    <row r="963" ht="12.75" customHeight="1">
      <c r="J963" s="231"/>
    </row>
    <row r="964" ht="12.75" customHeight="1">
      <c r="J964" s="231"/>
    </row>
    <row r="965" ht="12.75" customHeight="1">
      <c r="J965" s="231"/>
    </row>
    <row r="966" ht="12.75" customHeight="1">
      <c r="J966" s="231"/>
    </row>
    <row r="967" ht="12.75" customHeight="1">
      <c r="J967" s="231"/>
    </row>
    <row r="968" ht="12.75" customHeight="1">
      <c r="J968" s="231"/>
    </row>
    <row r="969" ht="12.75" customHeight="1">
      <c r="J969" s="231"/>
    </row>
    <row r="970" ht="12.75" customHeight="1">
      <c r="J970" s="231"/>
    </row>
    <row r="971" ht="12.75" customHeight="1">
      <c r="J971" s="231"/>
    </row>
    <row r="972" ht="12.75" customHeight="1">
      <c r="J972" s="231"/>
    </row>
    <row r="973" ht="12.75" customHeight="1">
      <c r="J973" s="231"/>
    </row>
    <row r="974" ht="12.75" customHeight="1">
      <c r="J974" s="231"/>
    </row>
    <row r="975" ht="12.75" customHeight="1">
      <c r="J975" s="231"/>
    </row>
    <row r="976" ht="12.75" customHeight="1">
      <c r="J976" s="231"/>
    </row>
    <row r="977" ht="12.75" customHeight="1">
      <c r="J977" s="231"/>
    </row>
    <row r="978" ht="12.75" customHeight="1">
      <c r="J978" s="231"/>
    </row>
    <row r="979" ht="12.75" customHeight="1">
      <c r="J979" s="231"/>
    </row>
    <row r="980" ht="12.75" customHeight="1">
      <c r="J980" s="231"/>
    </row>
    <row r="981" ht="12.75" customHeight="1">
      <c r="J981" s="231"/>
    </row>
    <row r="982" ht="12.75" customHeight="1">
      <c r="J982" s="231"/>
    </row>
    <row r="983" ht="12.75" customHeight="1">
      <c r="J983" s="231"/>
    </row>
    <row r="984" ht="12.75" customHeight="1">
      <c r="J984" s="231"/>
    </row>
    <row r="985" ht="12.75" customHeight="1">
      <c r="J985" s="231"/>
    </row>
    <row r="986" ht="12.75" customHeight="1">
      <c r="J986" s="231"/>
    </row>
    <row r="987" ht="12.75" customHeight="1">
      <c r="J987" s="231"/>
    </row>
    <row r="988" ht="12.75" customHeight="1">
      <c r="J988" s="231"/>
    </row>
    <row r="989" ht="12.75" customHeight="1">
      <c r="J989" s="231"/>
    </row>
    <row r="990" ht="12.75" customHeight="1">
      <c r="J990" s="231"/>
    </row>
    <row r="991" ht="12.75" customHeight="1">
      <c r="J991" s="231"/>
    </row>
    <row r="992" ht="12.75" customHeight="1">
      <c r="J992" s="231"/>
    </row>
    <row r="993" ht="12.75" customHeight="1">
      <c r="J993" s="231"/>
    </row>
    <row r="994" ht="12.75" customHeight="1">
      <c r="J994" s="231"/>
    </row>
    <row r="995" ht="12.75" customHeight="1">
      <c r="J995" s="231"/>
    </row>
    <row r="996" ht="12.75" customHeight="1">
      <c r="J996" s="231"/>
    </row>
    <row r="997" ht="12.75" customHeight="1">
      <c r="J997" s="231"/>
    </row>
    <row r="998" ht="12.75" customHeight="1">
      <c r="J998" s="231"/>
    </row>
    <row r="999" ht="12.75" customHeight="1">
      <c r="J999" s="231"/>
    </row>
    <row r="1000" ht="12.75" customHeight="1">
      <c r="J1000" s="231"/>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1" t="s">
        <v>1443</v>
      </c>
      <c r="B1" s="221" t="s">
        <v>1454</v>
      </c>
      <c r="D1" s="1" t="s">
        <v>1752</v>
      </c>
    </row>
    <row r="2" ht="12.75" customHeight="1">
      <c r="A2" s="1" t="s">
        <v>10</v>
      </c>
      <c r="B2" s="202" t="s">
        <v>1499</v>
      </c>
      <c r="D2" s="1" t="s">
        <v>1753</v>
      </c>
    </row>
    <row r="3" ht="12.75" customHeight="1">
      <c r="A3" s="1" t="s">
        <v>15</v>
      </c>
      <c r="B3" s="202" t="s">
        <v>1499</v>
      </c>
      <c r="D3" s="221" t="s">
        <v>3</v>
      </c>
      <c r="E3" s="221" t="s">
        <v>1754</v>
      </c>
      <c r="F3" s="221">
        <f>COUNTIF($F$4:$F$30,"N")</f>
        <v>16</v>
      </c>
      <c r="G3" s="221"/>
      <c r="H3" s="221"/>
      <c r="I3" s="221"/>
      <c r="J3" s="221">
        <f>COUNTIF($J$4:$J$30,"N")</f>
        <v>8</v>
      </c>
    </row>
    <row r="4" ht="12.75" customHeight="1">
      <c r="A4" s="1" t="s">
        <v>20</v>
      </c>
      <c r="B4" s="202" t="s">
        <v>1499</v>
      </c>
      <c r="D4" s="1" t="s">
        <v>500</v>
      </c>
      <c r="E4" s="246">
        <v>0.86</v>
      </c>
      <c r="F4" s="247" t="str">
        <f t="shared" ref="F4:F30" si="1">VLOOKUP(D4,$A$2:$B$101,2,FALSE)</f>
        <v>N</v>
      </c>
      <c r="G4" s="1" t="s">
        <v>198</v>
      </c>
      <c r="H4" s="246" t="s">
        <v>598</v>
      </c>
      <c r="I4" s="246">
        <v>1.28</v>
      </c>
      <c r="J4" s="247" t="str">
        <f t="shared" ref="J4:J17" si="2">VLOOKUP(G4,$A$2:$B$101,2,FALSE)</f>
        <v>N</v>
      </c>
      <c r="K4" s="248"/>
    </row>
    <row r="5" ht="12.75" customHeight="1">
      <c r="A5" s="1" t="s">
        <v>26</v>
      </c>
      <c r="B5" s="1" t="s">
        <v>1498</v>
      </c>
      <c r="D5" s="1" t="s">
        <v>84</v>
      </c>
      <c r="E5" s="246">
        <v>1.14</v>
      </c>
      <c r="F5" s="247" t="str">
        <f t="shared" si="1"/>
        <v>N</v>
      </c>
      <c r="G5" s="1" t="s">
        <v>427</v>
      </c>
      <c r="H5" s="246" t="s">
        <v>598</v>
      </c>
      <c r="I5" s="246">
        <v>1.46</v>
      </c>
      <c r="J5" s="247" t="str">
        <f t="shared" si="2"/>
        <v>Y</v>
      </c>
      <c r="K5" s="249"/>
    </row>
    <row r="6" ht="12.75" customHeight="1">
      <c r="A6" s="202" t="s">
        <v>31</v>
      </c>
      <c r="B6" s="202" t="s">
        <v>1498</v>
      </c>
      <c r="D6" s="1" t="s">
        <v>345</v>
      </c>
      <c r="E6" s="246">
        <v>1.32</v>
      </c>
      <c r="F6" s="247" t="str">
        <f t="shared" si="1"/>
        <v>Y</v>
      </c>
      <c r="G6" s="1" t="s">
        <v>345</v>
      </c>
      <c r="H6" s="246" t="s">
        <v>598</v>
      </c>
      <c r="I6" s="246">
        <v>1.71</v>
      </c>
      <c r="J6" s="247" t="str">
        <f t="shared" si="2"/>
        <v>Y</v>
      </c>
      <c r="K6" s="249"/>
    </row>
    <row r="7" ht="12.75" customHeight="1">
      <c r="A7" s="202" t="s">
        <v>38</v>
      </c>
      <c r="B7" s="1" t="s">
        <v>1499</v>
      </c>
      <c r="D7" s="1" t="s">
        <v>357</v>
      </c>
      <c r="E7" s="246">
        <v>1.36</v>
      </c>
      <c r="F7" s="247" t="str">
        <f t="shared" si="1"/>
        <v>N</v>
      </c>
      <c r="G7" s="1" t="s">
        <v>441</v>
      </c>
      <c r="H7" s="246" t="s">
        <v>598</v>
      </c>
      <c r="I7" s="246">
        <v>1.72</v>
      </c>
      <c r="J7" s="247" t="str">
        <f t="shared" si="2"/>
        <v>N</v>
      </c>
      <c r="K7" s="249"/>
    </row>
    <row r="8" ht="12.75" customHeight="1">
      <c r="A8" s="1" t="s">
        <v>897</v>
      </c>
      <c r="B8" s="1" t="s">
        <v>1499</v>
      </c>
      <c r="D8" s="1" t="s">
        <v>435</v>
      </c>
      <c r="E8" s="246">
        <v>1.37</v>
      </c>
      <c r="F8" s="247" t="str">
        <f t="shared" si="1"/>
        <v>N</v>
      </c>
      <c r="G8" s="1" t="s">
        <v>193</v>
      </c>
      <c r="H8" s="246" t="s">
        <v>598</v>
      </c>
      <c r="I8" s="246">
        <v>1.77</v>
      </c>
      <c r="J8" s="247" t="str">
        <f t="shared" si="2"/>
        <v>N</v>
      </c>
      <c r="K8" s="249"/>
    </row>
    <row r="9" ht="12.75" customHeight="1">
      <c r="A9" s="1" t="s">
        <v>51</v>
      </c>
      <c r="B9" s="1" t="s">
        <v>1499</v>
      </c>
      <c r="D9" s="1" t="s">
        <v>51</v>
      </c>
      <c r="E9" s="246">
        <v>1.38</v>
      </c>
      <c r="F9" s="247" t="str">
        <f t="shared" si="1"/>
        <v>N</v>
      </c>
      <c r="G9" s="1" t="s">
        <v>406</v>
      </c>
      <c r="H9" s="246" t="s">
        <v>598</v>
      </c>
      <c r="I9" s="246">
        <v>1.87</v>
      </c>
      <c r="J9" s="247" t="str">
        <f t="shared" si="2"/>
        <v>Y</v>
      </c>
      <c r="K9" s="249"/>
    </row>
    <row r="10" ht="12.75" customHeight="1">
      <c r="A10" s="1" t="s">
        <v>58</v>
      </c>
      <c r="B10" s="202" t="s">
        <v>1498</v>
      </c>
      <c r="D10" s="1" t="s">
        <v>427</v>
      </c>
      <c r="E10" s="246">
        <v>1.4</v>
      </c>
      <c r="F10" s="247" t="str">
        <f t="shared" si="1"/>
        <v>Y</v>
      </c>
      <c r="G10" s="1" t="s">
        <v>495</v>
      </c>
      <c r="H10" s="246" t="s">
        <v>598</v>
      </c>
      <c r="I10" s="246">
        <v>1.87</v>
      </c>
      <c r="J10" s="247" t="str">
        <f t="shared" si="2"/>
        <v>N</v>
      </c>
      <c r="K10" s="249"/>
    </row>
    <row r="11" ht="12.75" customHeight="1">
      <c r="A11" s="1" t="s">
        <v>62</v>
      </c>
      <c r="B11" s="1" t="s">
        <v>1499</v>
      </c>
      <c r="D11" s="1" t="s">
        <v>225</v>
      </c>
      <c r="E11" s="246">
        <v>1.4</v>
      </c>
      <c r="F11" s="247" t="str">
        <f t="shared" si="1"/>
        <v>N</v>
      </c>
      <c r="G11" s="1" t="s">
        <v>283</v>
      </c>
      <c r="H11" s="246" t="s">
        <v>598</v>
      </c>
      <c r="I11" s="246">
        <v>1.87</v>
      </c>
      <c r="J11" s="247" t="str">
        <f t="shared" si="2"/>
        <v>N</v>
      </c>
      <c r="K11" s="249"/>
    </row>
    <row r="12" ht="12.75" customHeight="1">
      <c r="A12" s="202" t="s">
        <v>67</v>
      </c>
      <c r="B12" s="1" t="s">
        <v>1499</v>
      </c>
      <c r="D12" s="1" t="s">
        <v>31</v>
      </c>
      <c r="E12" s="246">
        <v>1.45</v>
      </c>
      <c r="F12" s="247" t="str">
        <f t="shared" si="1"/>
        <v>Y</v>
      </c>
      <c r="G12" s="1" t="s">
        <v>384</v>
      </c>
      <c r="H12" s="246" t="s">
        <v>598</v>
      </c>
      <c r="I12" s="246">
        <v>1.94</v>
      </c>
      <c r="J12" s="247" t="str">
        <f t="shared" si="2"/>
        <v>N</v>
      </c>
      <c r="K12" s="249"/>
    </row>
    <row r="13" ht="12.75" customHeight="1">
      <c r="A13" s="202" t="s">
        <v>73</v>
      </c>
      <c r="B13" s="202" t="s">
        <v>1499</v>
      </c>
      <c r="D13" s="1" t="s">
        <v>310</v>
      </c>
      <c r="E13" s="246">
        <v>1.8</v>
      </c>
      <c r="F13" s="247" t="str">
        <f t="shared" si="1"/>
        <v>N</v>
      </c>
      <c r="G13" s="1" t="s">
        <v>150</v>
      </c>
      <c r="H13" s="246" t="s">
        <v>598</v>
      </c>
      <c r="I13" s="246">
        <v>1.98</v>
      </c>
      <c r="J13" s="247" t="str">
        <f t="shared" si="2"/>
        <v>N</v>
      </c>
      <c r="K13" s="249"/>
    </row>
    <row r="14" ht="12.75" customHeight="1">
      <c r="A14" s="1" t="s">
        <v>78</v>
      </c>
      <c r="B14" s="1" t="s">
        <v>1499</v>
      </c>
      <c r="D14" s="1" t="s">
        <v>198</v>
      </c>
      <c r="E14" s="246">
        <v>1.85</v>
      </c>
      <c r="F14" s="247" t="str">
        <f t="shared" si="1"/>
        <v>N</v>
      </c>
      <c r="G14" s="1" t="s">
        <v>182</v>
      </c>
      <c r="H14" s="246" t="s">
        <v>598</v>
      </c>
      <c r="I14" s="246">
        <v>2.16</v>
      </c>
      <c r="J14" s="247" t="str">
        <f t="shared" si="2"/>
        <v>Y</v>
      </c>
      <c r="K14" s="249"/>
    </row>
    <row r="15" ht="12.75" customHeight="1">
      <c r="A15" s="1" t="s">
        <v>84</v>
      </c>
      <c r="B15" s="1" t="s">
        <v>1499</v>
      </c>
      <c r="D15" s="1" t="s">
        <v>412</v>
      </c>
      <c r="E15" s="246">
        <v>1.92</v>
      </c>
      <c r="F15" s="247" t="str">
        <f t="shared" si="1"/>
        <v>Y</v>
      </c>
      <c r="G15" s="1" t="s">
        <v>400</v>
      </c>
      <c r="H15" s="246" t="s">
        <v>598</v>
      </c>
      <c r="I15" s="246">
        <v>2.26</v>
      </c>
      <c r="J15" s="247" t="str">
        <f t="shared" si="2"/>
        <v>Y</v>
      </c>
      <c r="K15" s="249"/>
    </row>
    <row r="16" ht="12.75" customHeight="1">
      <c r="A16" s="1" t="s">
        <v>90</v>
      </c>
      <c r="B16" s="1" t="s">
        <v>1498</v>
      </c>
      <c r="D16" s="1" t="s">
        <v>20</v>
      </c>
      <c r="E16" s="246">
        <v>1.92</v>
      </c>
      <c r="F16" s="247" t="str">
        <f t="shared" si="1"/>
        <v>N</v>
      </c>
      <c r="G16" s="1" t="s">
        <v>162</v>
      </c>
      <c r="H16" s="246" t="s">
        <v>598</v>
      </c>
      <c r="I16" s="246">
        <v>2.34</v>
      </c>
      <c r="J16" s="247" t="str">
        <f t="shared" si="2"/>
        <v>Y</v>
      </c>
      <c r="K16" s="249"/>
    </row>
    <row r="17" ht="12.75" customHeight="1">
      <c r="A17" s="1" t="s">
        <v>96</v>
      </c>
      <c r="B17" s="1" t="s">
        <v>1499</v>
      </c>
      <c r="D17" s="1" t="s">
        <v>322</v>
      </c>
      <c r="E17" s="246">
        <v>1.95</v>
      </c>
      <c r="F17" s="247" t="str">
        <f t="shared" si="1"/>
        <v>Y</v>
      </c>
      <c r="G17" s="1" t="s">
        <v>310</v>
      </c>
      <c r="H17" s="246" t="s">
        <v>598</v>
      </c>
      <c r="I17" s="246">
        <v>3.2</v>
      </c>
      <c r="J17" s="247" t="str">
        <f t="shared" si="2"/>
        <v>N</v>
      </c>
      <c r="K17" s="249"/>
    </row>
    <row r="18" ht="12.75" customHeight="1">
      <c r="A18" s="202" t="s">
        <v>101</v>
      </c>
      <c r="B18" s="1" t="s">
        <v>1499</v>
      </c>
      <c r="D18" s="1" t="s">
        <v>452</v>
      </c>
      <c r="E18" s="246">
        <v>1.98</v>
      </c>
      <c r="F18" s="247" t="str">
        <f t="shared" si="1"/>
        <v>Y</v>
      </c>
      <c r="H18" s="246">
        <v>528.0</v>
      </c>
      <c r="I18" s="250"/>
      <c r="J18" s="250"/>
      <c r="K18" s="251"/>
    </row>
    <row r="19" ht="12.75" customHeight="1">
      <c r="A19" s="202" t="s">
        <v>105</v>
      </c>
      <c r="B19" s="1" t="s">
        <v>1498</v>
      </c>
      <c r="D19" s="1" t="s">
        <v>441</v>
      </c>
      <c r="E19" s="246">
        <v>2.02</v>
      </c>
      <c r="F19" s="247" t="str">
        <f t="shared" si="1"/>
        <v>N</v>
      </c>
      <c r="H19" s="246"/>
    </row>
    <row r="20" ht="12.75" customHeight="1">
      <c r="A20" s="202" t="s">
        <v>111</v>
      </c>
      <c r="B20" s="1" t="s">
        <v>1499</v>
      </c>
      <c r="D20" s="1" t="s">
        <v>260</v>
      </c>
      <c r="E20" s="246">
        <v>2.04</v>
      </c>
      <c r="F20" s="247" t="str">
        <f t="shared" si="1"/>
        <v>N</v>
      </c>
      <c r="H20" s="246"/>
    </row>
    <row r="21" ht="12.75" customHeight="1">
      <c r="A21" s="202" t="s">
        <v>117</v>
      </c>
      <c r="B21" s="1" t="s">
        <v>1499</v>
      </c>
      <c r="D21" s="1" t="s">
        <v>105</v>
      </c>
      <c r="E21" s="246">
        <v>2.05</v>
      </c>
      <c r="F21" s="247" t="str">
        <f t="shared" si="1"/>
        <v>Y</v>
      </c>
      <c r="H21" s="246"/>
    </row>
    <row r="22" ht="12.75" customHeight="1">
      <c r="A22" s="202" t="s">
        <v>122</v>
      </c>
      <c r="B22" s="1" t="s">
        <v>1499</v>
      </c>
      <c r="D22" s="1" t="s">
        <v>406</v>
      </c>
      <c r="E22" s="246">
        <v>2.07</v>
      </c>
      <c r="F22" s="247" t="str">
        <f t="shared" si="1"/>
        <v>Y</v>
      </c>
      <c r="H22" s="246"/>
    </row>
    <row r="23" ht="12.75" customHeight="1">
      <c r="A23" s="202" t="s">
        <v>125</v>
      </c>
      <c r="B23" s="1" t="s">
        <v>1499</v>
      </c>
      <c r="D23" s="1" t="s">
        <v>193</v>
      </c>
      <c r="E23" s="246">
        <v>2.07</v>
      </c>
      <c r="F23" s="247" t="str">
        <f t="shared" si="1"/>
        <v>N</v>
      </c>
      <c r="H23" s="246"/>
    </row>
    <row r="24" ht="12.75" customHeight="1">
      <c r="A24" s="202" t="s">
        <v>130</v>
      </c>
      <c r="B24" s="1" t="s">
        <v>1499</v>
      </c>
      <c r="D24" s="1" t="s">
        <v>90</v>
      </c>
      <c r="E24" s="246">
        <v>2.16</v>
      </c>
      <c r="F24" s="247" t="str">
        <f t="shared" si="1"/>
        <v>Y</v>
      </c>
      <c r="H24" s="246"/>
    </row>
    <row r="25" ht="12.75" customHeight="1">
      <c r="A25" s="202" t="s">
        <v>136</v>
      </c>
      <c r="B25" s="1" t="s">
        <v>1499</v>
      </c>
      <c r="D25" s="1" t="s">
        <v>73</v>
      </c>
      <c r="E25" s="246">
        <v>2.21</v>
      </c>
      <c r="F25" s="247" t="str">
        <f t="shared" si="1"/>
        <v>N</v>
      </c>
      <c r="H25" s="246"/>
    </row>
    <row r="26" ht="12.75" customHeight="1">
      <c r="A26" s="202" t="s">
        <v>139</v>
      </c>
      <c r="B26" s="1" t="s">
        <v>1499</v>
      </c>
      <c r="D26" s="1" t="s">
        <v>242</v>
      </c>
      <c r="E26" s="246">
        <v>2.21</v>
      </c>
      <c r="F26" s="247" t="str">
        <f t="shared" si="1"/>
        <v>N</v>
      </c>
      <c r="H26" s="246"/>
    </row>
    <row r="27" ht="12.75" customHeight="1">
      <c r="A27" s="202" t="s">
        <v>142</v>
      </c>
      <c r="B27" s="1" t="s">
        <v>1499</v>
      </c>
      <c r="D27" s="1" t="s">
        <v>394</v>
      </c>
      <c r="E27" s="246">
        <v>2.28</v>
      </c>
      <c r="F27" s="247" t="str">
        <f t="shared" si="1"/>
        <v>Y</v>
      </c>
      <c r="H27" s="246"/>
    </row>
    <row r="28" ht="12.75" customHeight="1">
      <c r="A28" s="202" t="s">
        <v>144</v>
      </c>
      <c r="B28" s="1" t="s">
        <v>1498</v>
      </c>
      <c r="D28" s="1" t="s">
        <v>172</v>
      </c>
      <c r="E28" s="246">
        <v>2.61</v>
      </c>
      <c r="F28" s="247" t="str">
        <f t="shared" si="1"/>
        <v>N</v>
      </c>
      <c r="H28" s="246"/>
    </row>
    <row r="29" ht="12.75" customHeight="1">
      <c r="A29" s="202" t="s">
        <v>150</v>
      </c>
      <c r="B29" s="1" t="s">
        <v>1499</v>
      </c>
      <c r="D29" s="1" t="s">
        <v>167</v>
      </c>
      <c r="E29" s="246">
        <v>2.63</v>
      </c>
      <c r="F29" s="247" t="str">
        <f t="shared" si="1"/>
        <v>N</v>
      </c>
      <c r="H29" s="246"/>
    </row>
    <row r="30" ht="12.75" customHeight="1">
      <c r="A30" s="202" t="s">
        <v>156</v>
      </c>
      <c r="B30" s="1" t="s">
        <v>1498</v>
      </c>
      <c r="D30" s="1" t="s">
        <v>368</v>
      </c>
      <c r="E30" s="252">
        <v>3.2</v>
      </c>
      <c r="F30" s="247" t="str">
        <f t="shared" si="1"/>
        <v>Y</v>
      </c>
      <c r="H30" s="252"/>
    </row>
    <row r="31" ht="12.75" customHeight="1">
      <c r="A31" s="243" t="s">
        <v>162</v>
      </c>
      <c r="B31" s="1" t="s">
        <v>1498</v>
      </c>
    </row>
    <row r="32" ht="12.75" customHeight="1">
      <c r="A32" s="243" t="s">
        <v>167</v>
      </c>
      <c r="B32" s="1" t="s">
        <v>1499</v>
      </c>
    </row>
    <row r="33" ht="12.75" customHeight="1">
      <c r="A33" s="243" t="s">
        <v>172</v>
      </c>
      <c r="B33" s="1" t="s">
        <v>1499</v>
      </c>
    </row>
    <row r="34" ht="12.75" customHeight="1">
      <c r="A34" s="243" t="s">
        <v>177</v>
      </c>
      <c r="B34" s="1" t="s">
        <v>1499</v>
      </c>
    </row>
    <row r="35" ht="12.75" customHeight="1">
      <c r="A35" s="202" t="s">
        <v>182</v>
      </c>
      <c r="B35" s="1" t="s">
        <v>1498</v>
      </c>
    </row>
    <row r="36" ht="12.75" customHeight="1">
      <c r="A36" s="202" t="s">
        <v>188</v>
      </c>
      <c r="B36" s="1" t="s">
        <v>1499</v>
      </c>
    </row>
    <row r="37" ht="12.75" customHeight="1">
      <c r="A37" s="202" t="s">
        <v>190</v>
      </c>
      <c r="B37" s="1" t="s">
        <v>1499</v>
      </c>
    </row>
    <row r="38" ht="12.75" customHeight="1">
      <c r="A38" s="202" t="s">
        <v>193</v>
      </c>
      <c r="B38" s="1" t="s">
        <v>1499</v>
      </c>
    </row>
    <row r="39" ht="12.75" customHeight="1">
      <c r="A39" s="202" t="s">
        <v>198</v>
      </c>
      <c r="B39" s="1" t="s">
        <v>1499</v>
      </c>
    </row>
    <row r="40" ht="12.75" customHeight="1">
      <c r="A40" s="202" t="s">
        <v>203</v>
      </c>
      <c r="B40" s="1" t="s">
        <v>1499</v>
      </c>
    </row>
    <row r="41" ht="12.75" customHeight="1">
      <c r="A41" s="202" t="s">
        <v>208</v>
      </c>
      <c r="B41" s="1" t="s">
        <v>1499</v>
      </c>
    </row>
    <row r="42" ht="12.75" customHeight="1">
      <c r="A42" s="202" t="s">
        <v>210</v>
      </c>
      <c r="B42" s="202" t="s">
        <v>1499</v>
      </c>
    </row>
    <row r="43" ht="12.75" customHeight="1">
      <c r="A43" s="202" t="s">
        <v>215</v>
      </c>
      <c r="B43" s="202" t="s">
        <v>1499</v>
      </c>
    </row>
    <row r="44" ht="12.75" customHeight="1">
      <c r="A44" s="202" t="s">
        <v>217</v>
      </c>
      <c r="B44" s="202" t="s">
        <v>1498</v>
      </c>
    </row>
    <row r="45" ht="12.75" customHeight="1">
      <c r="A45" s="202" t="s">
        <v>220</v>
      </c>
      <c r="B45" s="202" t="s">
        <v>1499</v>
      </c>
    </row>
    <row r="46" ht="12.75" customHeight="1">
      <c r="A46" s="202" t="s">
        <v>225</v>
      </c>
      <c r="B46" s="202" t="s">
        <v>1499</v>
      </c>
    </row>
    <row r="47" ht="12.75" customHeight="1">
      <c r="A47" s="202" t="s">
        <v>231</v>
      </c>
      <c r="B47" s="202" t="s">
        <v>1499</v>
      </c>
    </row>
    <row r="48" ht="12.75" customHeight="1">
      <c r="A48" s="202" t="s">
        <v>236</v>
      </c>
      <c r="B48" s="202" t="s">
        <v>1499</v>
      </c>
    </row>
    <row r="49" ht="12.75" customHeight="1">
      <c r="A49" s="202" t="s">
        <v>242</v>
      </c>
      <c r="B49" s="202" t="s">
        <v>1499</v>
      </c>
    </row>
    <row r="50" ht="12.75" customHeight="1">
      <c r="A50" s="202" t="s">
        <v>248</v>
      </c>
      <c r="B50" s="202" t="s">
        <v>1499</v>
      </c>
    </row>
    <row r="51" ht="12.75" customHeight="1">
      <c r="A51" s="202" t="s">
        <v>254</v>
      </c>
      <c r="B51" s="1" t="s">
        <v>1499</v>
      </c>
    </row>
    <row r="52" ht="12.75" customHeight="1">
      <c r="A52" s="202" t="s">
        <v>260</v>
      </c>
      <c r="B52" s="240" t="s">
        <v>1499</v>
      </c>
    </row>
    <row r="53" ht="12.75" customHeight="1">
      <c r="A53" s="202" t="s">
        <v>265</v>
      </c>
      <c r="B53" s="1" t="s">
        <v>1499</v>
      </c>
    </row>
    <row r="54" ht="12.75" customHeight="1">
      <c r="A54" s="202" t="s">
        <v>271</v>
      </c>
      <c r="B54" s="1" t="s">
        <v>1499</v>
      </c>
    </row>
    <row r="55" ht="12.75" customHeight="1">
      <c r="A55" s="202" t="s">
        <v>277</v>
      </c>
      <c r="B55" s="1" t="s">
        <v>1499</v>
      </c>
    </row>
    <row r="56" ht="12.75" customHeight="1">
      <c r="A56" s="202" t="s">
        <v>283</v>
      </c>
      <c r="B56" s="1" t="s">
        <v>1499</v>
      </c>
    </row>
    <row r="57" ht="12.75" customHeight="1">
      <c r="A57" s="202" t="s">
        <v>289</v>
      </c>
      <c r="B57" s="1" t="s">
        <v>1499</v>
      </c>
    </row>
    <row r="58" ht="12.75" customHeight="1">
      <c r="A58" s="202" t="s">
        <v>295</v>
      </c>
      <c r="B58" s="1" t="s">
        <v>1499</v>
      </c>
    </row>
    <row r="59" ht="12.75" customHeight="1">
      <c r="A59" s="202" t="s">
        <v>298</v>
      </c>
      <c r="B59" s="1" t="s">
        <v>1498</v>
      </c>
    </row>
    <row r="60" ht="12.75" customHeight="1">
      <c r="A60" s="202" t="s">
        <v>304</v>
      </c>
      <c r="B60" s="1" t="s">
        <v>1499</v>
      </c>
    </row>
    <row r="61" ht="12.75" customHeight="1">
      <c r="A61" s="202" t="s">
        <v>310</v>
      </c>
      <c r="B61" s="1" t="s">
        <v>1499</v>
      </c>
    </row>
    <row r="62" ht="12.75" customHeight="1">
      <c r="A62" s="202" t="s">
        <v>316</v>
      </c>
      <c r="B62" s="1" t="s">
        <v>1498</v>
      </c>
    </row>
    <row r="63" ht="12.75" customHeight="1">
      <c r="A63" s="202" t="s">
        <v>322</v>
      </c>
      <c r="B63" s="1" t="s">
        <v>1498</v>
      </c>
    </row>
    <row r="64" ht="12.75" customHeight="1">
      <c r="A64" s="202" t="s">
        <v>328</v>
      </c>
      <c r="B64" s="1" t="s">
        <v>1499</v>
      </c>
    </row>
    <row r="65" ht="12.75" customHeight="1">
      <c r="A65" s="202" t="s">
        <v>333</v>
      </c>
      <c r="B65" s="1" t="s">
        <v>1499</v>
      </c>
    </row>
    <row r="66" ht="12.75" customHeight="1">
      <c r="A66" s="202" t="s">
        <v>339</v>
      </c>
      <c r="B66" s="1" t="s">
        <v>1499</v>
      </c>
    </row>
    <row r="67" ht="12.75" customHeight="1">
      <c r="A67" s="202" t="s">
        <v>345</v>
      </c>
      <c r="B67" s="240" t="s">
        <v>1498</v>
      </c>
    </row>
    <row r="68" ht="12.75" customHeight="1">
      <c r="A68" s="202" t="s">
        <v>351</v>
      </c>
      <c r="B68" s="1" t="s">
        <v>1498</v>
      </c>
    </row>
    <row r="69" ht="12.75" customHeight="1">
      <c r="A69" s="202" t="s">
        <v>357</v>
      </c>
      <c r="B69" s="1" t="s">
        <v>1499</v>
      </c>
    </row>
    <row r="70" ht="12.75" customHeight="1">
      <c r="A70" s="202" t="s">
        <v>362</v>
      </c>
      <c r="B70" s="1" t="s">
        <v>1499</v>
      </c>
    </row>
    <row r="71" ht="12.75" customHeight="1">
      <c r="A71" s="202" t="s">
        <v>365</v>
      </c>
      <c r="B71" s="1" t="s">
        <v>1499</v>
      </c>
    </row>
    <row r="72" ht="12.75" customHeight="1">
      <c r="A72" s="202" t="s">
        <v>368</v>
      </c>
      <c r="B72" s="1" t="s">
        <v>1498</v>
      </c>
    </row>
    <row r="73" ht="12.75" customHeight="1">
      <c r="A73" s="202" t="s">
        <v>374</v>
      </c>
      <c r="B73" s="1" t="s">
        <v>1499</v>
      </c>
    </row>
    <row r="74" ht="12.75" customHeight="1">
      <c r="A74" s="202" t="s">
        <v>379</v>
      </c>
      <c r="B74" s="1" t="s">
        <v>1499</v>
      </c>
    </row>
    <row r="75" ht="12.75" customHeight="1">
      <c r="A75" s="202" t="s">
        <v>384</v>
      </c>
      <c r="B75" s="1" t="s">
        <v>1499</v>
      </c>
    </row>
    <row r="76" ht="12.75" customHeight="1">
      <c r="A76" s="202" t="s">
        <v>389</v>
      </c>
      <c r="B76" s="240" t="s">
        <v>1498</v>
      </c>
    </row>
    <row r="77" ht="12.75" customHeight="1">
      <c r="A77" s="202" t="s">
        <v>394</v>
      </c>
      <c r="B77" s="1" t="s">
        <v>1498</v>
      </c>
    </row>
    <row r="78" ht="12.75" customHeight="1">
      <c r="A78" s="202" t="s">
        <v>400</v>
      </c>
      <c r="B78" s="1" t="s">
        <v>1498</v>
      </c>
    </row>
    <row r="79" ht="12.75" customHeight="1">
      <c r="A79" s="202" t="s">
        <v>406</v>
      </c>
      <c r="B79" s="1" t="s">
        <v>1498</v>
      </c>
    </row>
    <row r="80" ht="12.75" customHeight="1">
      <c r="A80" s="202" t="s">
        <v>412</v>
      </c>
      <c r="B80" s="1" t="s">
        <v>1498</v>
      </c>
    </row>
    <row r="81" ht="12.75" customHeight="1">
      <c r="A81" s="202" t="s">
        <v>418</v>
      </c>
      <c r="B81" s="1" t="s">
        <v>1499</v>
      </c>
    </row>
    <row r="82" ht="12.75" customHeight="1">
      <c r="A82" s="202" t="s">
        <v>424</v>
      </c>
      <c r="B82" s="1" t="s">
        <v>1499</v>
      </c>
    </row>
    <row r="83" ht="12.75" customHeight="1">
      <c r="A83" s="202" t="s">
        <v>427</v>
      </c>
      <c r="B83" s="240" t="s">
        <v>1498</v>
      </c>
    </row>
    <row r="84" ht="12.75" customHeight="1">
      <c r="A84" s="202" t="s">
        <v>432</v>
      </c>
      <c r="B84" s="240" t="s">
        <v>1498</v>
      </c>
    </row>
    <row r="85" ht="12.75" customHeight="1">
      <c r="A85" s="202" t="s">
        <v>435</v>
      </c>
      <c r="B85" s="240" t="s">
        <v>1499</v>
      </c>
    </row>
    <row r="86" ht="12.75" customHeight="1">
      <c r="A86" s="202" t="s">
        <v>441</v>
      </c>
      <c r="B86" s="1" t="s">
        <v>1499</v>
      </c>
    </row>
    <row r="87" ht="12.75" customHeight="1">
      <c r="A87" s="202" t="s">
        <v>446</v>
      </c>
      <c r="B87" s="1" t="s">
        <v>1498</v>
      </c>
    </row>
    <row r="88" ht="12.75" customHeight="1">
      <c r="A88" s="202" t="s">
        <v>452</v>
      </c>
      <c r="B88" s="1" t="s">
        <v>1498</v>
      </c>
    </row>
    <row r="89" ht="12.75" customHeight="1">
      <c r="A89" s="202" t="s">
        <v>458</v>
      </c>
      <c r="B89" s="1" t="s">
        <v>1499</v>
      </c>
    </row>
    <row r="90" ht="12.75" customHeight="1">
      <c r="A90" s="202" t="s">
        <v>463</v>
      </c>
      <c r="B90" s="1" t="s">
        <v>1499</v>
      </c>
    </row>
    <row r="91" ht="12.75" customHeight="1">
      <c r="A91" s="202" t="s">
        <v>469</v>
      </c>
      <c r="B91" s="1" t="s">
        <v>1499</v>
      </c>
    </row>
    <row r="92" ht="12.75" customHeight="1">
      <c r="A92" s="202" t="s">
        <v>475</v>
      </c>
      <c r="B92" s="1" t="s">
        <v>1499</v>
      </c>
    </row>
    <row r="93" ht="12.75" customHeight="1">
      <c r="A93" s="202" t="s">
        <v>478</v>
      </c>
      <c r="B93" s="240" t="s">
        <v>1498</v>
      </c>
    </row>
    <row r="94" ht="12.75" customHeight="1">
      <c r="A94" s="202" t="s">
        <v>484</v>
      </c>
      <c r="B94" s="1" t="s">
        <v>1499</v>
      </c>
    </row>
    <row r="95" ht="12.75" customHeight="1">
      <c r="A95" s="202" t="s">
        <v>489</v>
      </c>
      <c r="B95" s="1" t="s">
        <v>1499</v>
      </c>
    </row>
    <row r="96" ht="12.75" customHeight="1">
      <c r="A96" s="202" t="s">
        <v>495</v>
      </c>
      <c r="B96" s="1" t="s">
        <v>1499</v>
      </c>
    </row>
    <row r="97" ht="12.75" customHeight="1">
      <c r="A97" s="202" t="s">
        <v>500</v>
      </c>
      <c r="B97" s="1" t="s">
        <v>1499</v>
      </c>
    </row>
    <row r="98" ht="12.75" customHeight="1">
      <c r="A98" s="202" t="s">
        <v>506</v>
      </c>
      <c r="B98" s="1" t="s">
        <v>1499</v>
      </c>
    </row>
    <row r="99" ht="12.75" customHeight="1">
      <c r="A99" s="202" t="s">
        <v>512</v>
      </c>
      <c r="B99" s="1" t="s">
        <v>1499</v>
      </c>
    </row>
    <row r="100" ht="12.75" customHeight="1">
      <c r="A100" s="202" t="s">
        <v>518</v>
      </c>
      <c r="B100" s="1" t="s">
        <v>1498</v>
      </c>
    </row>
    <row r="101" ht="12.75" customHeight="1">
      <c r="A101" s="202"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3" t="s">
        <v>1755</v>
      </c>
      <c r="C1" s="253" t="s">
        <v>1756</v>
      </c>
      <c r="D1" s="253" t="s">
        <v>1757</v>
      </c>
      <c r="E1" s="253" t="s">
        <v>1758</v>
      </c>
      <c r="F1" s="254" t="s">
        <v>1759</v>
      </c>
      <c r="G1" s="254" t="s">
        <v>1760</v>
      </c>
      <c r="H1" s="254" t="s">
        <v>1761</v>
      </c>
      <c r="I1" s="254" t="s">
        <v>1762</v>
      </c>
      <c r="J1" s="254" t="s">
        <v>1763</v>
      </c>
      <c r="K1" s="254" t="s">
        <v>1764</v>
      </c>
      <c r="L1" s="255" t="s">
        <v>1765</v>
      </c>
      <c r="M1" s="254" t="s">
        <v>877</v>
      </c>
      <c r="O1" s="254" t="s">
        <v>1766</v>
      </c>
      <c r="P1" s="254" t="s">
        <v>1767</v>
      </c>
      <c r="Q1" s="254" t="s">
        <v>1768</v>
      </c>
    </row>
    <row r="2" ht="12.75" customHeight="1">
      <c r="A2" s="256" t="s">
        <v>1302</v>
      </c>
      <c r="B2" s="25">
        <f>COUNTIFS(company!$C:$C, sector!$A2,company!$Z:$Z,"NR", company!$AF:$AF,"NR")</f>
        <v>5</v>
      </c>
      <c r="C2" s="25">
        <f t="shared" ref="C2:C12" si="1">M2-B2</f>
        <v>3</v>
      </c>
      <c r="D2" s="25">
        <f>COUNTIFS(company!$L:$L,"N",company!$C:$C,sector!$A2 )</f>
        <v>4</v>
      </c>
      <c r="E2" s="25">
        <f>COUNTIFS(company!$L:$L,"Y",company!$C:$C,sector!$A2 )</f>
        <v>4</v>
      </c>
      <c r="F2" s="25">
        <f>COUNTIFS(company!$M:$M,"N",company!$C:$C,sector!$A2 )</f>
        <v>6</v>
      </c>
      <c r="G2" s="25">
        <f>COUNTIFS(company!$M:$M,"Y",company!$C:$C,sector!$A2 )</f>
        <v>2</v>
      </c>
      <c r="H2" s="25">
        <f>COUNTIFS(company!$R:$R,"N",company!$C:$C,sector!$A2 )</f>
        <v>6</v>
      </c>
      <c r="I2" s="25">
        <f>COUNTIFS(company!$R:$R,"Y",company!$C:$C,sector!$A2 )</f>
        <v>2</v>
      </c>
      <c r="J2" s="25">
        <f>COUNTIFS(company!$C:$C,sector!$A2,company!$H:$H,"Y")</f>
        <v>0</v>
      </c>
      <c r="K2" s="25">
        <f>COUNTIFS(company!$C:$C,sector!$A2,company!$H:$H,"N")</f>
        <v>0</v>
      </c>
      <c r="L2" s="62"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6" t="s">
        <v>1376</v>
      </c>
      <c r="B3" s="25">
        <f>COUNTIFS(company!$C:$C, sector!$A3,company!$Z:$Z,"NR", company!$AF:$AF,"NR")</f>
        <v>1</v>
      </c>
      <c r="C3" s="25">
        <f t="shared" si="1"/>
        <v>8</v>
      </c>
      <c r="D3" s="25">
        <f>COUNTIFS(company!$L:$L,"N",company!$C:$C,sector!$A3 )</f>
        <v>4</v>
      </c>
      <c r="E3" s="25">
        <f>COUNTIFS(company!$L:$L,"Y",company!$C:$C,sector!$A3 )</f>
        <v>5</v>
      </c>
      <c r="F3" s="25">
        <f>COUNTIFS(company!$M:$M,"N",company!$C:$C,sector!$A3 )</f>
        <v>5</v>
      </c>
      <c r="G3" s="25">
        <f>COUNTIFS(company!$M:$M,"Y",company!$C:$C,sector!$A3 )</f>
        <v>4</v>
      </c>
      <c r="H3" s="25">
        <f>COUNTIFS(company!$R:$R,"N",company!$C:$C,sector!$A3 )</f>
        <v>4</v>
      </c>
      <c r="I3" s="25">
        <f>COUNTIFS(company!$R:$R,"Y",company!$C:$C,sector!$A3 )</f>
        <v>5</v>
      </c>
      <c r="J3" s="25">
        <f>COUNTIFS(company!$C:$C,sector!$A3,company!$H:$H,"Y")</f>
        <v>0</v>
      </c>
      <c r="K3" s="25">
        <f>COUNTIFS(company!$C:$C,sector!$A3,company!$H:$H,"N")</f>
        <v>0</v>
      </c>
      <c r="L3" s="62" t="str">
        <f t="shared" si="2"/>
        <v>#DIV/0!</v>
      </c>
      <c r="M3" s="1">
        <f t="shared" si="3"/>
        <v>9</v>
      </c>
      <c r="O3" s="1" t="b">
        <f t="shared" si="4"/>
        <v>1</v>
      </c>
      <c r="P3" s="1" t="b">
        <f t="shared" si="5"/>
        <v>1</v>
      </c>
      <c r="Q3" s="1" t="b">
        <f t="shared" si="6"/>
        <v>1</v>
      </c>
    </row>
    <row r="4" ht="12.75" customHeight="1">
      <c r="A4" s="256" t="s">
        <v>1306</v>
      </c>
      <c r="B4" s="25">
        <f>COUNTIFS(company!$C:$C, sector!$A4,company!$Z:$Z,"NR", company!$AF:$AF,"NR")</f>
        <v>2</v>
      </c>
      <c r="C4" s="25">
        <f t="shared" si="1"/>
        <v>9</v>
      </c>
      <c r="D4" s="25">
        <f>COUNTIFS(company!$L:$L,"N",company!$C:$C,sector!$A4 )</f>
        <v>9</v>
      </c>
      <c r="E4" s="25">
        <f>COUNTIFS(company!$L:$L,"Y",company!$C:$C,sector!$A4 )</f>
        <v>2</v>
      </c>
      <c r="F4" s="25">
        <f>COUNTIFS(company!$M:$M,"N",company!$C:$C,sector!$A4 )</f>
        <v>2</v>
      </c>
      <c r="G4" s="25">
        <f>COUNTIFS(company!$M:$M,"Y",company!$C:$C,sector!$A4 )</f>
        <v>9</v>
      </c>
      <c r="H4" s="25">
        <f>COUNTIFS(company!$R:$R,"N",company!$C:$C,sector!$A4 )</f>
        <v>8</v>
      </c>
      <c r="I4" s="25">
        <f>COUNTIFS(company!$R:$R,"Y",company!$C:$C,sector!$A4 )</f>
        <v>3</v>
      </c>
      <c r="J4" s="25">
        <f>COUNTIFS(company!$C:$C,sector!$A4,company!$H:$H,"Y")</f>
        <v>0</v>
      </c>
      <c r="K4" s="25">
        <f>COUNTIFS(company!$C:$C,sector!$A4,company!$H:$H,"N")</f>
        <v>0</v>
      </c>
      <c r="L4" s="62" t="str">
        <f t="shared" si="2"/>
        <v>#DIV/0!</v>
      </c>
      <c r="M4" s="1">
        <f t="shared" si="3"/>
        <v>11</v>
      </c>
      <c r="O4" s="1" t="b">
        <f t="shared" si="4"/>
        <v>1</v>
      </c>
      <c r="P4" s="1" t="b">
        <f t="shared" si="5"/>
        <v>1</v>
      </c>
      <c r="Q4" s="1" t="b">
        <f t="shared" si="6"/>
        <v>1</v>
      </c>
    </row>
    <row r="5" ht="12.75" customHeight="1">
      <c r="A5" s="256" t="s">
        <v>1350</v>
      </c>
      <c r="B5" s="25">
        <f>COUNTIFS(company!$C:$C, sector!$A5,company!$Z:$Z,"NR", company!$AF:$AF,"NR")</f>
        <v>2</v>
      </c>
      <c r="C5" s="25">
        <f t="shared" si="1"/>
        <v>4</v>
      </c>
      <c r="D5" s="25">
        <f>COUNTIFS(company!$L:$L,"N",company!$C:$C,sector!$A5 )</f>
        <v>5</v>
      </c>
      <c r="E5" s="25">
        <f>COUNTIFS(company!$L:$L,"Y",company!$C:$C,sector!$A5 )</f>
        <v>1</v>
      </c>
      <c r="F5" s="25">
        <f>COUNTIFS(company!$M:$M,"N",company!$C:$C,sector!$A5 )</f>
        <v>5</v>
      </c>
      <c r="G5" s="25">
        <f>COUNTIFS(company!$M:$M,"Y",company!$C:$C,sector!$A5 )</f>
        <v>1</v>
      </c>
      <c r="H5" s="25">
        <f>COUNTIFS(company!$R:$R,"N",company!$C:$C,sector!$A5 )</f>
        <v>6</v>
      </c>
      <c r="I5" s="25">
        <f>COUNTIFS(company!$R:$R,"Y",company!$C:$C,sector!$A5 )</f>
        <v>0</v>
      </c>
      <c r="J5" s="25">
        <f>COUNTIFS(company!$C:$C,sector!$A5,company!$H:$H,"Y")</f>
        <v>0</v>
      </c>
      <c r="K5" s="25">
        <f>COUNTIFS(company!$C:$C,sector!$A5,company!$H:$H,"N")</f>
        <v>0</v>
      </c>
      <c r="L5" s="62" t="str">
        <f t="shared" si="2"/>
        <v>#DIV/0!</v>
      </c>
      <c r="M5" s="1">
        <f t="shared" si="3"/>
        <v>6</v>
      </c>
      <c r="O5" s="1" t="b">
        <f t="shared" si="4"/>
        <v>1</v>
      </c>
      <c r="P5" s="1" t="b">
        <f t="shared" si="5"/>
        <v>1</v>
      </c>
      <c r="Q5" s="1" t="b">
        <f t="shared" si="6"/>
        <v>1</v>
      </c>
    </row>
    <row r="6" ht="12.75" customHeight="1">
      <c r="A6" s="256" t="s">
        <v>1298</v>
      </c>
      <c r="B6" s="25">
        <f>COUNTIFS(company!$C:$C, sector!$A6,company!$Z:$Z,"NR", company!$AF:$AF,"NR")</f>
        <v>2</v>
      </c>
      <c r="C6" s="25">
        <f t="shared" si="1"/>
        <v>16</v>
      </c>
      <c r="D6" s="25">
        <f>COUNTIFS(company!$L:$L,"N",company!$C:$C,sector!$A6 )</f>
        <v>11</v>
      </c>
      <c r="E6" s="25">
        <f>COUNTIFS(company!$L:$L,"Y",company!$C:$C,sector!$A6 )</f>
        <v>7</v>
      </c>
      <c r="F6" s="25">
        <f>COUNTIFS(company!$M:$M,"N",company!$C:$C,sector!$A6 )</f>
        <v>16</v>
      </c>
      <c r="G6" s="25">
        <f>COUNTIFS(company!$M:$M,"Y",company!$C:$C,sector!$A6 )</f>
        <v>2</v>
      </c>
      <c r="H6" s="25">
        <f>COUNTIFS(company!$R:$R,"N",company!$C:$C,sector!$A6 )</f>
        <v>7</v>
      </c>
      <c r="I6" s="25">
        <f>COUNTIFS(company!$R:$R,"Y",company!$C:$C,sector!$A6 )</f>
        <v>11</v>
      </c>
      <c r="J6" s="25">
        <f>COUNTIFS(company!$C:$C,sector!$A6,company!$H:$H,"Y")</f>
        <v>0</v>
      </c>
      <c r="K6" s="25">
        <f>COUNTIFS(company!$C:$C,sector!$A6,company!$H:$H,"N")</f>
        <v>0</v>
      </c>
      <c r="L6" s="62" t="str">
        <f t="shared" si="2"/>
        <v>#DIV/0!</v>
      </c>
      <c r="M6" s="1">
        <f t="shared" si="3"/>
        <v>18</v>
      </c>
      <c r="O6" s="1" t="b">
        <f t="shared" si="4"/>
        <v>1</v>
      </c>
      <c r="P6" s="1" t="b">
        <f t="shared" si="5"/>
        <v>1</v>
      </c>
      <c r="Q6" s="1" t="b">
        <f t="shared" si="6"/>
        <v>1</v>
      </c>
    </row>
    <row r="7" ht="12.75" customHeight="1">
      <c r="A7" s="256" t="s">
        <v>1283</v>
      </c>
      <c r="B7" s="25">
        <f>COUNTIFS(company!$C:$C, sector!$A7,company!$Z:$Z,"NR", company!$AF:$AF,"NR")</f>
        <v>3</v>
      </c>
      <c r="C7" s="25">
        <f t="shared" si="1"/>
        <v>13</v>
      </c>
      <c r="D7" s="25">
        <f>COUNTIFS(company!$L:$L,"N",company!$C:$C,sector!$A7 )</f>
        <v>15</v>
      </c>
      <c r="E7" s="25">
        <f>COUNTIFS(company!$L:$L,"Y",company!$C:$C,sector!$A7 )</f>
        <v>1</v>
      </c>
      <c r="F7" s="25">
        <f>COUNTIFS(company!$M:$M,"N",company!$C:$C,sector!$A7 )</f>
        <v>13</v>
      </c>
      <c r="G7" s="25">
        <f>COUNTIFS(company!$M:$M,"Y",company!$C:$C,sector!$A7 )</f>
        <v>3</v>
      </c>
      <c r="H7" s="25">
        <f>COUNTIFS(company!$R:$R,"N",company!$C:$C,sector!$A7 )</f>
        <v>13</v>
      </c>
      <c r="I7" s="25">
        <f>COUNTIFS(company!$R:$R,"Y",company!$C:$C,sector!$A7 )</f>
        <v>3</v>
      </c>
      <c r="J7" s="25">
        <f>COUNTIFS(company!$C:$C,sector!$A7,company!$H:$H,"Y")</f>
        <v>0</v>
      </c>
      <c r="K7" s="25">
        <f>COUNTIFS(company!$C:$C,sector!$A7,company!$H:$H,"N")</f>
        <v>0</v>
      </c>
      <c r="L7" s="62" t="str">
        <f t="shared" si="2"/>
        <v>#DIV/0!</v>
      </c>
      <c r="M7" s="1">
        <f t="shared" si="3"/>
        <v>16</v>
      </c>
      <c r="O7" s="1" t="b">
        <f t="shared" si="4"/>
        <v>1</v>
      </c>
      <c r="P7" s="1" t="b">
        <f t="shared" si="5"/>
        <v>1</v>
      </c>
      <c r="Q7" s="1" t="b">
        <f t="shared" si="6"/>
        <v>1</v>
      </c>
    </row>
    <row r="8" ht="12.75" customHeight="1">
      <c r="A8" s="256" t="s">
        <v>1276</v>
      </c>
      <c r="B8" s="25">
        <f>COUNTIFS(company!$C:$C, sector!$A8,company!$Z:$Z,"NR", company!$AF:$AF,"NR")</f>
        <v>3</v>
      </c>
      <c r="C8" s="25">
        <f t="shared" si="1"/>
        <v>9</v>
      </c>
      <c r="D8" s="25">
        <f>COUNTIFS(company!$L:$L,"N",company!$C:$C,sector!$A8 )</f>
        <v>12</v>
      </c>
      <c r="E8" s="25">
        <f>COUNTIFS(company!$L:$L,"Y",company!$C:$C,sector!$A8 )</f>
        <v>0</v>
      </c>
      <c r="F8" s="25">
        <f>COUNTIFS(company!$M:$M,"N",company!$C:$C,sector!$A8 )</f>
        <v>11</v>
      </c>
      <c r="G8" s="25">
        <f>COUNTIFS(company!$M:$M,"Y",company!$C:$C,sector!$A8 )</f>
        <v>1</v>
      </c>
      <c r="H8" s="25">
        <f>COUNTIFS(company!$R:$R,"N",company!$C:$C,sector!$A8 )</f>
        <v>11</v>
      </c>
      <c r="I8" s="25">
        <f>COUNTIFS(company!$R:$R,"Y",company!$C:$C,sector!$A8 )</f>
        <v>1</v>
      </c>
      <c r="J8" s="25">
        <f>COUNTIFS(company!$C:$C,sector!$A8,company!$H:$H,"Y")</f>
        <v>0</v>
      </c>
      <c r="K8" s="25">
        <f>COUNTIFS(company!$C:$C,sector!$A8,company!$H:$H,"N")</f>
        <v>0</v>
      </c>
      <c r="L8" s="62" t="str">
        <f t="shared" si="2"/>
        <v>#DIV/0!</v>
      </c>
      <c r="M8" s="1">
        <f t="shared" si="3"/>
        <v>12</v>
      </c>
      <c r="O8" s="1" t="b">
        <f t="shared" si="4"/>
        <v>1</v>
      </c>
      <c r="P8" s="1" t="b">
        <f t="shared" si="5"/>
        <v>1</v>
      </c>
      <c r="Q8" s="1" t="b">
        <f t="shared" si="6"/>
        <v>1</v>
      </c>
    </row>
    <row r="9" ht="12.75" customHeight="1">
      <c r="A9" s="256" t="s">
        <v>939</v>
      </c>
      <c r="B9" s="25">
        <f>COUNTIFS(company!$C:$C, sector!$A9,company!$Z:$Z,"NR", company!$AF:$AF,"NR")</f>
        <v>0</v>
      </c>
      <c r="C9" s="25">
        <f t="shared" si="1"/>
        <v>2</v>
      </c>
      <c r="D9" s="25">
        <f>COUNTIFS(company!$L:$L,"N",company!$C:$C,sector!$A9 )</f>
        <v>0</v>
      </c>
      <c r="E9" s="25">
        <f>COUNTIFS(company!$L:$L,"Y",company!$C:$C,sector!$A9 )</f>
        <v>2</v>
      </c>
      <c r="F9" s="25">
        <f>COUNTIFS(company!$M:$M,"N",company!$C:$C,sector!$A9 )</f>
        <v>2</v>
      </c>
      <c r="G9" s="25">
        <f>COUNTIFS(company!$M:$M,"Y",company!$C:$C,sector!$A9 )</f>
        <v>0</v>
      </c>
      <c r="H9" s="25">
        <f>COUNTIFS(company!$R:$R,"N",company!$C:$C,sector!$A9 )</f>
        <v>2</v>
      </c>
      <c r="I9" s="25">
        <f>COUNTIFS(company!$R:$R,"Y",company!$C:$C,sector!$A9 )</f>
        <v>0</v>
      </c>
      <c r="J9" s="25">
        <f>COUNTIFS(company!$C:$C,sector!$A9,company!$H:$H,"Y")</f>
        <v>0</v>
      </c>
      <c r="K9" s="25">
        <f>COUNTIFS(company!$C:$C,sector!$A9,company!$H:$H,"N")</f>
        <v>0</v>
      </c>
      <c r="L9" s="62" t="str">
        <f t="shared" si="2"/>
        <v>#DIV/0!</v>
      </c>
      <c r="M9" s="1">
        <f t="shared" si="3"/>
        <v>2</v>
      </c>
      <c r="O9" s="1" t="b">
        <f t="shared" si="4"/>
        <v>1</v>
      </c>
      <c r="P9" s="1" t="b">
        <f t="shared" si="5"/>
        <v>1</v>
      </c>
      <c r="Q9" s="1" t="b">
        <f t="shared" si="6"/>
        <v>1</v>
      </c>
    </row>
    <row r="10" ht="12.75" customHeight="1">
      <c r="A10" s="256" t="s">
        <v>1314</v>
      </c>
      <c r="B10" s="25">
        <f>COUNTIFS(company!$C:$C, sector!$A10,company!$Z:$Z,"NR", company!$AF:$AF,"NR")</f>
        <v>1</v>
      </c>
      <c r="C10" s="25">
        <f t="shared" si="1"/>
        <v>1</v>
      </c>
      <c r="D10" s="25">
        <f>COUNTIFS(company!$L:$L,"N",company!$C:$C,sector!$A10 )</f>
        <v>2</v>
      </c>
      <c r="E10" s="25">
        <f>COUNTIFS(company!$L:$L,"Y",company!$C:$C,sector!$A10 )</f>
        <v>0</v>
      </c>
      <c r="F10" s="25">
        <f>COUNTIFS(company!$M:$M,"N",company!$C:$C,sector!$A10 )</f>
        <v>2</v>
      </c>
      <c r="G10" s="25">
        <f>COUNTIFS(company!$M:$M,"Y",company!$C:$C,sector!$A10 )</f>
        <v>0</v>
      </c>
      <c r="H10" s="25">
        <f>COUNTIFS(company!$R:$R,"N",company!$C:$C,sector!$A10 )</f>
        <v>2</v>
      </c>
      <c r="I10" s="25">
        <f>COUNTIFS(company!$R:$R,"Y",company!$C:$C,sector!$A10 )</f>
        <v>0</v>
      </c>
      <c r="J10" s="25">
        <f>COUNTIFS(company!$C:$C,sector!$A10,company!$H:$H,"Y")</f>
        <v>0</v>
      </c>
      <c r="K10" s="25">
        <f>COUNTIFS(company!$C:$C,sector!$A10,company!$H:$H,"N")</f>
        <v>0</v>
      </c>
      <c r="L10" s="62" t="str">
        <f t="shared" si="2"/>
        <v>#DIV/0!</v>
      </c>
      <c r="M10" s="1">
        <f t="shared" si="3"/>
        <v>2</v>
      </c>
      <c r="O10" s="1" t="b">
        <f t="shared" si="4"/>
        <v>1</v>
      </c>
      <c r="P10" s="1" t="b">
        <f t="shared" si="5"/>
        <v>1</v>
      </c>
      <c r="Q10" s="1" t="b">
        <f t="shared" si="6"/>
        <v>1</v>
      </c>
    </row>
    <row r="11" ht="12.75" customHeight="1">
      <c r="A11" s="256" t="s">
        <v>1291</v>
      </c>
      <c r="B11" s="25">
        <f>COUNTIFS(company!$C:$C, sector!$A11,company!$Z:$Z,"NR", company!$AF:$AF,"NR")</f>
        <v>1</v>
      </c>
      <c r="C11" s="25">
        <f t="shared" si="1"/>
        <v>11</v>
      </c>
      <c r="D11" s="25">
        <f>COUNTIFS(company!$L:$L,"N",company!$C:$C,sector!$A11 )</f>
        <v>9</v>
      </c>
      <c r="E11" s="25">
        <f>COUNTIFS(company!$L:$L,"Y",company!$C:$C,sector!$A11 )</f>
        <v>3</v>
      </c>
      <c r="F11" s="25">
        <f>COUNTIFS(company!$M:$M,"N",company!$C:$C,sector!$A11 )</f>
        <v>7</v>
      </c>
      <c r="G11" s="25">
        <f>COUNTIFS(company!$M:$M,"Y",company!$C:$C,sector!$A11 )</f>
        <v>5</v>
      </c>
      <c r="H11" s="25">
        <f>COUNTIFS(company!$R:$R,"N",company!$C:$C,sector!$A11 )</f>
        <v>7</v>
      </c>
      <c r="I11" s="25">
        <f>COUNTIFS(company!$R:$R,"Y",company!$C:$C,sector!$A11 )</f>
        <v>5</v>
      </c>
      <c r="J11" s="25">
        <f>COUNTIFS(company!$C:$C,sector!$A11,company!$H:$H,"Y")</f>
        <v>0</v>
      </c>
      <c r="K11" s="25">
        <f>COUNTIFS(company!$C:$C,sector!$A11,company!$H:$H,"N")</f>
        <v>0</v>
      </c>
      <c r="L11" s="62" t="str">
        <f t="shared" si="2"/>
        <v>#DIV/0!</v>
      </c>
      <c r="M11" s="1">
        <f t="shared" si="3"/>
        <v>12</v>
      </c>
      <c r="O11" s="1" t="b">
        <f t="shared" si="4"/>
        <v>1</v>
      </c>
      <c r="P11" s="1" t="b">
        <f t="shared" si="5"/>
        <v>1</v>
      </c>
      <c r="Q11" s="1" t="b">
        <f t="shared" si="6"/>
        <v>1</v>
      </c>
    </row>
    <row r="12" ht="12.75" customHeight="1">
      <c r="A12" s="256" t="s">
        <v>1364</v>
      </c>
      <c r="B12" s="25">
        <f>COUNTIFS(company!$C:$C, sector!$A12,company!$Z:$Z,"NR", company!$AF:$AF,"NR")</f>
        <v>1</v>
      </c>
      <c r="C12" s="25">
        <f t="shared" si="1"/>
        <v>3</v>
      </c>
      <c r="D12" s="25">
        <f>COUNTIFS(company!$L:$L,"N",company!$C:$C,sector!$A12 )</f>
        <v>3</v>
      </c>
      <c r="E12" s="25">
        <f>COUNTIFS(company!$L:$L,"Y",company!$C:$C,sector!$A12 )</f>
        <v>1</v>
      </c>
      <c r="F12" s="25">
        <f>COUNTIFS(company!$M:$M,"N",company!$C:$C,sector!$A12 )</f>
        <v>4</v>
      </c>
      <c r="G12" s="25">
        <f>COUNTIFS(company!$M:$M,"Y",company!$C:$C,sector!$A12 )</f>
        <v>0</v>
      </c>
      <c r="H12" s="25">
        <f>COUNTIFS(company!$R:$R,"N",company!$C:$C,sector!$A12 )</f>
        <v>4</v>
      </c>
      <c r="I12" s="25">
        <f>COUNTIFS(company!$R:$R,"Y",company!$C:$C,sector!$A12 )</f>
        <v>0</v>
      </c>
      <c r="J12" s="25">
        <f>COUNTIFS(company!$C:$C,sector!$A12,company!$H:$H,"Y")</f>
        <v>0</v>
      </c>
      <c r="K12" s="25">
        <f>COUNTIFS(company!$C:$C,sector!$A12,company!$H:$H,"N")</f>
        <v>0</v>
      </c>
      <c r="L12" s="62" t="str">
        <f t="shared" si="2"/>
        <v>#DIV/0!</v>
      </c>
      <c r="M12" s="1">
        <f t="shared" si="3"/>
        <v>4</v>
      </c>
      <c r="O12" s="1" t="b">
        <f t="shared" si="4"/>
        <v>1</v>
      </c>
      <c r="P12" s="1" t="b">
        <f t="shared" si="5"/>
        <v>1</v>
      </c>
      <c r="Q12" s="1" t="b">
        <f t="shared" si="6"/>
        <v>1</v>
      </c>
    </row>
    <row r="13" ht="12.75" customHeight="1">
      <c r="A13" s="257" t="s">
        <v>576</v>
      </c>
      <c r="B13" s="258">
        <f t="shared" ref="B13:K13" si="7">SUM(B2:B12)</f>
        <v>21</v>
      </c>
      <c r="C13" s="258">
        <f t="shared" si="7"/>
        <v>79</v>
      </c>
      <c r="D13" s="258">
        <f t="shared" si="7"/>
        <v>74</v>
      </c>
      <c r="E13" s="258">
        <f t="shared" si="7"/>
        <v>26</v>
      </c>
      <c r="F13" s="258">
        <f t="shared" si="7"/>
        <v>73</v>
      </c>
      <c r="G13" s="258">
        <f t="shared" si="7"/>
        <v>27</v>
      </c>
      <c r="H13" s="258">
        <f t="shared" si="7"/>
        <v>70</v>
      </c>
      <c r="I13" s="258">
        <f t="shared" si="7"/>
        <v>30</v>
      </c>
      <c r="J13" s="258">
        <f t="shared" si="7"/>
        <v>0</v>
      </c>
      <c r="K13" s="258">
        <f t="shared" si="7"/>
        <v>0</v>
      </c>
      <c r="L13" s="259" t="str">
        <f t="shared" si="2"/>
        <v>#DIV/0!</v>
      </c>
      <c r="M13" s="258">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0" t="s">
        <v>13</v>
      </c>
      <c r="C1" s="261" t="str">
        <f>VLOOKUP(A1,companies!$B:$D,3,FALSE)</f>
        <v> US88579Y1010</v>
      </c>
      <c r="D1" s="1" t="b">
        <f t="shared" ref="D1:D26" si="1">C1=B1</f>
        <v>0</v>
      </c>
    </row>
    <row r="2" ht="12.75" customHeight="1">
      <c r="A2" s="1" t="s">
        <v>15</v>
      </c>
      <c r="B2" s="260" t="s">
        <v>18</v>
      </c>
      <c r="C2" s="261" t="str">
        <f>VLOOKUP(A2,companies!$B:$D,3,FALSE)</f>
        <v> US0028241000</v>
      </c>
      <c r="D2" s="1" t="b">
        <f t="shared" si="1"/>
        <v>0</v>
      </c>
    </row>
    <row r="3" ht="12.75" customHeight="1">
      <c r="A3" s="1" t="s">
        <v>20</v>
      </c>
      <c r="B3" s="260" t="s">
        <v>24</v>
      </c>
      <c r="C3" s="261" t="str">
        <f>VLOOKUP(A3,companies!$B:$D,3,FALSE)</f>
        <v> US00287Y1091</v>
      </c>
      <c r="D3" s="1" t="b">
        <f t="shared" si="1"/>
        <v>0</v>
      </c>
    </row>
    <row r="4" ht="12.75" customHeight="1">
      <c r="A4" s="1" t="s">
        <v>26</v>
      </c>
      <c r="B4" s="260" t="s">
        <v>29</v>
      </c>
      <c r="C4" s="261" t="str">
        <f>VLOOKUP(A4,companies!$B:$D,3,FALSE)</f>
        <v> IE00B4BNMY34</v>
      </c>
      <c r="D4" s="1" t="b">
        <f t="shared" si="1"/>
        <v>0</v>
      </c>
    </row>
    <row r="5" ht="12.75" customHeight="1">
      <c r="A5" s="202" t="s">
        <v>31</v>
      </c>
      <c r="B5" s="260" t="s">
        <v>35</v>
      </c>
      <c r="C5" s="261" t="str">
        <f>VLOOKUP(A5,companies!$B:$D,3,FALSE)</f>
        <v> US00724F1012</v>
      </c>
      <c r="D5" s="1" t="b">
        <f t="shared" si="1"/>
        <v>0</v>
      </c>
    </row>
    <row r="6" ht="12.75" customHeight="1">
      <c r="A6" s="202" t="s">
        <v>38</v>
      </c>
      <c r="B6" s="262" t="s">
        <v>42</v>
      </c>
      <c r="C6" s="261" t="str">
        <f>VLOOKUP(A6,companies!$B:$D,3,FALSE)</f>
        <v> US0200021014</v>
      </c>
      <c r="D6" s="1" t="b">
        <f t="shared" si="1"/>
        <v>0</v>
      </c>
    </row>
    <row r="7" ht="12.75" customHeight="1">
      <c r="A7" s="1" t="s">
        <v>897</v>
      </c>
      <c r="B7" s="263" t="s">
        <v>48</v>
      </c>
      <c r="C7" s="264" t="str">
        <f>VLOOKUP(A7,companies!$B:$D,3,FALSE)</f>
        <v>#N/A</v>
      </c>
      <c r="D7" s="1" t="str">
        <f t="shared" si="1"/>
        <v>#N/A</v>
      </c>
    </row>
    <row r="8" ht="12.75" customHeight="1">
      <c r="A8" s="1" t="s">
        <v>51</v>
      </c>
      <c r="B8" s="265" t="s">
        <v>55</v>
      </c>
      <c r="C8" s="261" t="str">
        <f>VLOOKUP(A8,companies!$B:$D,3,FALSE)</f>
        <v> US02209S1033</v>
      </c>
      <c r="D8" s="1" t="b">
        <f t="shared" si="1"/>
        <v>0</v>
      </c>
    </row>
    <row r="9" ht="12.75" customHeight="1">
      <c r="A9" s="1" t="s">
        <v>58</v>
      </c>
      <c r="B9" s="265" t="s">
        <v>60</v>
      </c>
      <c r="C9" s="261" t="str">
        <f>VLOOKUP(A9,companies!$B:$D,3,FALSE)</f>
        <v>US0231351067</v>
      </c>
      <c r="D9" s="1" t="b">
        <f t="shared" si="1"/>
        <v>1</v>
      </c>
    </row>
    <row r="10" ht="12.75" customHeight="1">
      <c r="A10" s="1" t="s">
        <v>62</v>
      </c>
      <c r="B10" s="265" t="s">
        <v>65</v>
      </c>
      <c r="C10" s="261" t="str">
        <f>VLOOKUP(A10,companies!$B:$D,3,FALSE)</f>
        <v> US0258161092</v>
      </c>
      <c r="D10" s="1" t="b">
        <f t="shared" si="1"/>
        <v>0</v>
      </c>
    </row>
    <row r="11" ht="12.75" customHeight="1">
      <c r="A11" s="202" t="s">
        <v>67</v>
      </c>
      <c r="B11" s="265" t="s">
        <v>71</v>
      </c>
      <c r="C11" s="261" t="str">
        <f>VLOOKUP(A11,companies!$B:$D,3,FALSE)</f>
        <v> US0268747849</v>
      </c>
      <c r="D11" s="1" t="b">
        <f t="shared" si="1"/>
        <v>0</v>
      </c>
    </row>
    <row r="12" ht="12.75" customHeight="1">
      <c r="A12" s="202" t="s">
        <v>73</v>
      </c>
      <c r="B12" s="265" t="s">
        <v>76</v>
      </c>
      <c r="C12" s="261" t="str">
        <f>VLOOKUP(A12,companies!$B:$D,3,FALSE)</f>
        <v> US03027X1000</v>
      </c>
      <c r="D12" s="1" t="b">
        <f t="shared" si="1"/>
        <v>0</v>
      </c>
    </row>
    <row r="13" ht="12.75" customHeight="1">
      <c r="A13" s="1" t="s">
        <v>78</v>
      </c>
      <c r="B13" s="265" t="s">
        <v>82</v>
      </c>
      <c r="C13" s="261" t="str">
        <f>VLOOKUP(A13,companies!$B:$D,3,FALSE)</f>
        <v> US0311621009</v>
      </c>
      <c r="D13" s="1" t="b">
        <f t="shared" si="1"/>
        <v>0</v>
      </c>
    </row>
    <row r="14" ht="12.75" customHeight="1">
      <c r="A14" s="1" t="s">
        <v>84</v>
      </c>
      <c r="B14" s="265" t="s">
        <v>88</v>
      </c>
      <c r="C14" s="261" t="str">
        <f>VLOOKUP(A14,companies!$B:$D,3,FALSE)</f>
        <v> US0378331005</v>
      </c>
      <c r="D14" s="1" t="b">
        <f t="shared" si="1"/>
        <v>0</v>
      </c>
    </row>
    <row r="15" ht="12.75" customHeight="1">
      <c r="A15" s="1" t="s">
        <v>90</v>
      </c>
      <c r="B15" s="265" t="s">
        <v>94</v>
      </c>
      <c r="C15" s="261" t="str">
        <f>VLOOKUP(A15,companies!$B:$D,3,FALSE)</f>
        <v> US00206R1023</v>
      </c>
      <c r="D15" s="1" t="b">
        <f t="shared" si="1"/>
        <v>0</v>
      </c>
    </row>
    <row r="16" ht="12.75" customHeight="1">
      <c r="A16" s="1" t="s">
        <v>96</v>
      </c>
      <c r="B16" s="265" t="s">
        <v>99</v>
      </c>
      <c r="C16" s="261" t="str">
        <f>VLOOKUP(A16,companies!$B:$D,3,FALSE)</f>
        <v> US0605051046</v>
      </c>
      <c r="D16" s="1" t="b">
        <f t="shared" si="1"/>
        <v>0</v>
      </c>
    </row>
    <row r="17" ht="12.75" customHeight="1">
      <c r="A17" s="202" t="s">
        <v>101</v>
      </c>
      <c r="B17" s="265" t="s">
        <v>103</v>
      </c>
      <c r="C17" s="261" t="str">
        <f>VLOOKUP(A17,companies!$B:$D,3,FALSE)</f>
        <v>US0846707026</v>
      </c>
      <c r="D17" s="1" t="b">
        <f t="shared" si="1"/>
        <v>1</v>
      </c>
    </row>
    <row r="18" ht="12.75" customHeight="1">
      <c r="A18" s="202" t="s">
        <v>105</v>
      </c>
      <c r="B18" s="265" t="s">
        <v>109</v>
      </c>
      <c r="C18" s="261" t="str">
        <f>VLOOKUP(A18,companies!$B:$D,3,FALSE)</f>
        <v> US09062X1037</v>
      </c>
      <c r="D18" s="1" t="b">
        <f t="shared" si="1"/>
        <v>0</v>
      </c>
    </row>
    <row r="19" ht="12.75" customHeight="1">
      <c r="A19" s="202" t="s">
        <v>111</v>
      </c>
      <c r="B19" s="262" t="s">
        <v>115</v>
      </c>
      <c r="C19" s="261" t="str">
        <f>VLOOKUP(A19,companies!$B:$D,3,FALSE)</f>
        <v> US09247X1019</v>
      </c>
      <c r="D19" s="1" t="b">
        <f t="shared" si="1"/>
        <v>0</v>
      </c>
    </row>
    <row r="20" ht="12.75" customHeight="1">
      <c r="A20" s="202" t="s">
        <v>117</v>
      </c>
      <c r="B20" s="265" t="s">
        <v>120</v>
      </c>
      <c r="C20" s="261" t="str">
        <f>VLOOKUP(A20,companies!$B:$D,3,FALSE)</f>
        <v> US0970231058</v>
      </c>
      <c r="D20" s="1" t="b">
        <f t="shared" si="1"/>
        <v>0</v>
      </c>
    </row>
    <row r="21" ht="12.75" customHeight="1">
      <c r="A21" s="202" t="s">
        <v>122</v>
      </c>
      <c r="B21" s="265" t="s">
        <v>124</v>
      </c>
      <c r="C21" s="261" t="str">
        <f>VLOOKUP(A21,companies!$B:$D,3,FALSE)</f>
        <v>US09857L1089</v>
      </c>
      <c r="D21" s="1" t="b">
        <f t="shared" si="1"/>
        <v>1</v>
      </c>
    </row>
    <row r="22" ht="12.75" customHeight="1">
      <c r="A22" s="202" t="s">
        <v>125</v>
      </c>
      <c r="B22" s="265" t="s">
        <v>128</v>
      </c>
      <c r="C22" s="261" t="str">
        <f>VLOOKUP(A22,companies!$B:$D,3,FALSE)</f>
        <v> US1101221083</v>
      </c>
      <c r="D22" s="1" t="b">
        <f t="shared" si="1"/>
        <v>0</v>
      </c>
    </row>
    <row r="23" ht="12.75" customHeight="1">
      <c r="A23" s="202" t="s">
        <v>130</v>
      </c>
      <c r="B23" s="265" t="s">
        <v>134</v>
      </c>
      <c r="C23" s="261" t="str">
        <f>VLOOKUP(A23,companies!$B:$D,3,FALSE)</f>
        <v> US14040H1059</v>
      </c>
      <c r="D23" s="1" t="b">
        <f t="shared" si="1"/>
        <v>0</v>
      </c>
    </row>
    <row r="24" ht="12.75" customHeight="1">
      <c r="A24" s="202" t="s">
        <v>136</v>
      </c>
      <c r="B24" s="265" t="s">
        <v>138</v>
      </c>
      <c r="C24" s="261" t="str">
        <f>VLOOKUP(A24,companies!$B:$D,3,FALSE)</f>
        <v>US1491231015</v>
      </c>
      <c r="D24" s="1" t="b">
        <f t="shared" si="1"/>
        <v>1</v>
      </c>
    </row>
    <row r="25" ht="12.75" customHeight="1">
      <c r="A25" s="202" t="s">
        <v>139</v>
      </c>
      <c r="B25" s="265" t="s">
        <v>141</v>
      </c>
      <c r="C25" s="261" t="str">
        <f>VLOOKUP(A25,companies!$B:$D,3,FALSE)</f>
        <v>US16119P1084</v>
      </c>
      <c r="D25" s="1" t="b">
        <f t="shared" si="1"/>
        <v>1</v>
      </c>
    </row>
    <row r="26" ht="12.75" customHeight="1">
      <c r="A26" s="202" t="s">
        <v>142</v>
      </c>
      <c r="B26" s="265" t="s">
        <v>143</v>
      </c>
      <c r="C26" s="261"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