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G1145\Documents\tracker\"/>
    </mc:Choice>
  </mc:AlternateContent>
  <xr:revisionPtr revIDLastSave="0" documentId="13_ncr:1_{2657461C-C98D-4DCF-B6FE-EC1ADCE44F31}" xr6:coauthVersionLast="45" xr6:coauthVersionMax="45" xr10:uidLastSave="{00000000-0000-0000-0000-000000000000}"/>
  <bookViews>
    <workbookView xWindow="-28920" yWindow="30" windowWidth="29040" windowHeight="15840" activeTab="1" xr2:uid="{00000000-000D-0000-FFFF-FFFF00000000}"/>
  </bookViews>
  <sheets>
    <sheet name="Sheet2" sheetId="11" r:id="rId1"/>
    <sheet name="company" sheetId="9" r:id="rId2"/>
    <sheet name="sector" sheetId="10" r:id="rId3"/>
    <sheet name="assumption" sheetId="12" r:id="rId4"/>
  </sheets>
  <definedNames>
    <definedName name="_xlnm._FilterDatabase" localSheetId="1" hidden="1">company!$A$1:$BC$101</definedName>
    <definedName name="_xlcn.WorksheetConnection_CompanyTracker_MengSustainabilityProject.xlsxTable11" hidden="1">Table1[]</definedName>
    <definedName name="k_cost">assumption!$B$2</definedName>
    <definedName name="k_rev_max">assumption!$B$3</definedName>
  </definedNames>
  <calcPr calcId="191029"/>
  <pivotCaches>
    <pivotCache cacheId="4" r:id="rId5"/>
  </pivotCaches>
  <extLst>
    <ext xmlns:x15="http://schemas.microsoft.com/office/spreadsheetml/2010/11/main" uri="{FCE2AD5D-F65C-4FA6-A056-5C36A1767C68}">
      <x15:dataModel>
        <x15:modelTables>
          <x15:modelTable id="Table1" name="Table1" connection="WorksheetConnection_Company Tracker _ Meng Sustainability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9" l="1"/>
  <c r="G12" i="9"/>
  <c r="G13" i="9"/>
  <c r="G18" i="9"/>
  <c r="G22" i="9"/>
  <c r="G23" i="9"/>
  <c r="G25" i="9"/>
  <c r="G26" i="9"/>
  <c r="G30" i="9"/>
  <c r="G32" i="9"/>
  <c r="G34" i="9"/>
  <c r="G36" i="9"/>
  <c r="G41" i="9"/>
  <c r="G43" i="9"/>
  <c r="G44" i="9"/>
  <c r="G47" i="9"/>
  <c r="G58" i="9"/>
  <c r="G70" i="9"/>
  <c r="G71" i="9"/>
  <c r="G84" i="9"/>
  <c r="G89" i="9"/>
  <c r="G91" i="9"/>
  <c r="G92" i="9"/>
  <c r="F9" i="9"/>
  <c r="F12" i="9"/>
  <c r="H12" i="9" s="1"/>
  <c r="F13" i="9"/>
  <c r="F18" i="9"/>
  <c r="H18" i="9" s="1"/>
  <c r="F22" i="9"/>
  <c r="F23" i="9"/>
  <c r="F25" i="9"/>
  <c r="H25" i="9" s="1"/>
  <c r="F26" i="9"/>
  <c r="F30" i="9"/>
  <c r="F32" i="9"/>
  <c r="F34" i="9"/>
  <c r="F36" i="9"/>
  <c r="F41" i="9"/>
  <c r="F43" i="9"/>
  <c r="F44" i="9"/>
  <c r="H44" i="9" s="1"/>
  <c r="F47" i="9"/>
  <c r="F58" i="9"/>
  <c r="F70" i="9"/>
  <c r="F71" i="9"/>
  <c r="F84" i="9"/>
  <c r="F89" i="9"/>
  <c r="F91" i="9"/>
  <c r="F92" i="9"/>
  <c r="H92" i="9" s="1"/>
  <c r="H58" i="9" l="1"/>
  <c r="H9" i="9"/>
  <c r="H30" i="9"/>
  <c r="H71" i="9"/>
  <c r="H34" i="9"/>
  <c r="H13" i="9"/>
  <c r="H26" i="9"/>
  <c r="H43" i="9"/>
  <c r="H89" i="9"/>
  <c r="H41" i="9"/>
  <c r="H22" i="9"/>
  <c r="H84" i="9"/>
  <c r="H36" i="9"/>
  <c r="H91" i="9"/>
  <c r="H70" i="9"/>
  <c r="H32" i="9"/>
  <c r="H23" i="9"/>
  <c r="H47" i="9"/>
  <c r="I12" i="10"/>
  <c r="H12" i="10"/>
  <c r="I11" i="10"/>
  <c r="H11" i="10"/>
  <c r="I10" i="10"/>
  <c r="H10" i="10"/>
  <c r="I9" i="10"/>
  <c r="H9" i="10"/>
  <c r="I8" i="10"/>
  <c r="H8" i="10"/>
  <c r="I7" i="10"/>
  <c r="H7" i="10"/>
  <c r="I6" i="10"/>
  <c r="H6" i="10"/>
  <c r="I5" i="10"/>
  <c r="H5" i="10"/>
  <c r="I4" i="10"/>
  <c r="H4" i="10"/>
  <c r="I3" i="10"/>
  <c r="H3" i="10"/>
  <c r="I2" i="10"/>
  <c r="H2" i="10"/>
  <c r="E12" i="10"/>
  <c r="D12" i="10"/>
  <c r="E11" i="10"/>
  <c r="D11" i="10"/>
  <c r="E10" i="10"/>
  <c r="D10" i="10"/>
  <c r="E9" i="10"/>
  <c r="D9" i="10"/>
  <c r="E8" i="10"/>
  <c r="D8" i="10"/>
  <c r="E7" i="10"/>
  <c r="D7" i="10"/>
  <c r="E6" i="10"/>
  <c r="D6" i="10"/>
  <c r="E5" i="10"/>
  <c r="D5" i="10"/>
  <c r="E4" i="10"/>
  <c r="D4" i="10"/>
  <c r="E3" i="10"/>
  <c r="D3" i="10"/>
  <c r="E2" i="10"/>
  <c r="D2" i="10"/>
  <c r="G12" i="10"/>
  <c r="F12" i="10"/>
  <c r="G11" i="10"/>
  <c r="F11" i="10"/>
  <c r="G10" i="10"/>
  <c r="F10" i="10"/>
  <c r="G9" i="10"/>
  <c r="F9" i="10"/>
  <c r="G8" i="10"/>
  <c r="F8" i="10"/>
  <c r="G7" i="10"/>
  <c r="F7" i="10"/>
  <c r="G6" i="10"/>
  <c r="F6" i="10"/>
  <c r="G5" i="10"/>
  <c r="F5" i="10"/>
  <c r="G4" i="10"/>
  <c r="F4" i="10"/>
  <c r="G3" i="10"/>
  <c r="F3" i="10"/>
  <c r="G2" i="10"/>
  <c r="F2" i="10"/>
  <c r="M10" i="10" l="1"/>
  <c r="M5" i="10"/>
  <c r="M9" i="10"/>
  <c r="M2" i="10"/>
  <c r="M6" i="10"/>
  <c r="M7" i="10"/>
  <c r="M11" i="10"/>
  <c r="M3" i="10"/>
  <c r="M4" i="10"/>
  <c r="M8" i="10"/>
  <c r="M12" i="10"/>
  <c r="G13" i="10"/>
  <c r="D13" i="10"/>
  <c r="P11" i="10"/>
  <c r="P8" i="10"/>
  <c r="P9" i="10"/>
  <c r="P5" i="10"/>
  <c r="P2" i="10"/>
  <c r="P3" i="10"/>
  <c r="P7" i="10"/>
  <c r="O4" i="10"/>
  <c r="O8" i="10"/>
  <c r="O12" i="10"/>
  <c r="P4" i="10"/>
  <c r="P12" i="10"/>
  <c r="O5" i="10"/>
  <c r="O9" i="10"/>
  <c r="H13" i="10"/>
  <c r="I13" i="10"/>
  <c r="O6" i="10"/>
  <c r="O10" i="10"/>
  <c r="P6" i="10"/>
  <c r="P10" i="10"/>
  <c r="O3" i="10"/>
  <c r="O7" i="10"/>
  <c r="O11" i="10"/>
  <c r="O2" i="10"/>
  <c r="E13" i="10"/>
  <c r="F13" i="10"/>
  <c r="AW82" i="9"/>
  <c r="AQ82" i="9"/>
  <c r="AK82" i="9"/>
  <c r="AE82" i="9"/>
  <c r="AW58" i="9"/>
  <c r="AQ58" i="9"/>
  <c r="AK58" i="9"/>
  <c r="AE58" i="9"/>
  <c r="M13" i="10" l="1"/>
  <c r="AF101" i="9"/>
  <c r="Z101" i="9"/>
  <c r="AF100" i="9"/>
  <c r="Z100" i="9"/>
  <c r="AF98" i="9"/>
  <c r="Z98" i="9"/>
  <c r="Z97" i="9"/>
  <c r="Z96" i="9"/>
  <c r="Z95" i="9"/>
  <c r="Z94" i="9"/>
  <c r="AE92" i="9"/>
  <c r="AF88" i="9"/>
  <c r="Z88" i="9"/>
  <c r="AX87" i="9"/>
  <c r="AR87" i="9"/>
  <c r="Z87" i="9"/>
  <c r="Z86" i="9"/>
  <c r="B12" i="10" s="1"/>
  <c r="C12" i="10" s="1"/>
  <c r="Z85" i="9"/>
  <c r="B10" i="10" s="1"/>
  <c r="Z82" i="9"/>
  <c r="Z80" i="9"/>
  <c r="AX78" i="9"/>
  <c r="AR78" i="9"/>
  <c r="AF78" i="9"/>
  <c r="Z78" i="9"/>
  <c r="AR77" i="9"/>
  <c r="AL77" i="9"/>
  <c r="AF77" i="9"/>
  <c r="Z77" i="9"/>
  <c r="AL75" i="9"/>
  <c r="Z75" i="9"/>
  <c r="Z74" i="9"/>
  <c r="B5" i="10" s="1"/>
  <c r="C5" i="10" s="1"/>
  <c r="AW71" i="9"/>
  <c r="AY71" i="9" s="1"/>
  <c r="AS71" i="9"/>
  <c r="AM71" i="9"/>
  <c r="AG71" i="9"/>
  <c r="AA71" i="9"/>
  <c r="AX69" i="9"/>
  <c r="AR69" i="9"/>
  <c r="Z69" i="9"/>
  <c r="Z68" i="9"/>
  <c r="AR65" i="9"/>
  <c r="AL65" i="9"/>
  <c r="Z65" i="9"/>
  <c r="AF64" i="9"/>
  <c r="Z64" i="9"/>
  <c r="Z63" i="9"/>
  <c r="Z62" i="9"/>
  <c r="AF61" i="9"/>
  <c r="Z61" i="9"/>
  <c r="AF59" i="9"/>
  <c r="Z59" i="9"/>
  <c r="AF54" i="9"/>
  <c r="AF53" i="9"/>
  <c r="Z53" i="9"/>
  <c r="B8" i="10" s="1"/>
  <c r="C8" i="10" s="1"/>
  <c r="Q8" i="10" s="1"/>
  <c r="AF52" i="9"/>
  <c r="Z52" i="9"/>
  <c r="AF50" i="9"/>
  <c r="Z50" i="9"/>
  <c r="AX48" i="9"/>
  <c r="AR48" i="9"/>
  <c r="AR46" i="9"/>
  <c r="Z46" i="9"/>
  <c r="B3" i="10" s="1"/>
  <c r="AX45" i="9"/>
  <c r="AR45" i="9"/>
  <c r="Z39" i="9"/>
  <c r="B9" i="10" s="1"/>
  <c r="C9" i="10" s="1"/>
  <c r="AR38" i="9"/>
  <c r="AL38" i="9"/>
  <c r="AF38" i="9"/>
  <c r="AX37" i="9"/>
  <c r="AR37" i="9"/>
  <c r="AL37" i="9"/>
  <c r="AK36" i="9"/>
  <c r="AL35" i="9"/>
  <c r="AF35" i="9"/>
  <c r="Z35" i="9"/>
  <c r="AR35" i="9"/>
  <c r="AX29" i="9"/>
  <c r="AR29" i="9"/>
  <c r="AL29" i="9"/>
  <c r="AF29" i="9"/>
  <c r="Z29" i="9"/>
  <c r="AX28" i="9"/>
  <c r="AR28" i="9"/>
  <c r="AL28" i="9"/>
  <c r="AF28" i="9"/>
  <c r="Z28" i="9"/>
  <c r="AW26" i="9"/>
  <c r="AQ26" i="9"/>
  <c r="AK26" i="9"/>
  <c r="AE26" i="9"/>
  <c r="AX24" i="9"/>
  <c r="AR24" i="9"/>
  <c r="AL24" i="9"/>
  <c r="AF24" i="9"/>
  <c r="Z24" i="9"/>
  <c r="AW23" i="9"/>
  <c r="Z20" i="9"/>
  <c r="Z19" i="9"/>
  <c r="AX17" i="9"/>
  <c r="AR17" i="9"/>
  <c r="Z17" i="9"/>
  <c r="AR15" i="9"/>
  <c r="Z15" i="9"/>
  <c r="AF14" i="9"/>
  <c r="Z14" i="9"/>
  <c r="AR11" i="9"/>
  <c r="AL11" i="9"/>
  <c r="AF11" i="9"/>
  <c r="AX11" i="9"/>
  <c r="Z11" i="9"/>
  <c r="AX9" i="9"/>
  <c r="AR9" i="9"/>
  <c r="Z8" i="9"/>
  <c r="B2" i="10" s="1"/>
  <c r="Z7" i="9"/>
  <c r="B6" i="10" s="1"/>
  <c r="AW6" i="9"/>
  <c r="AL6" i="9"/>
  <c r="Z6" i="9"/>
  <c r="AR5" i="9"/>
  <c r="AX4" i="9"/>
  <c r="AR4" i="9"/>
  <c r="AL4" i="9"/>
  <c r="AF4" i="9"/>
  <c r="Z4" i="9"/>
  <c r="AX2" i="9"/>
  <c r="Y3" i="9"/>
  <c r="Z3" i="9"/>
  <c r="T71" i="9" l="1"/>
  <c r="C2" i="10"/>
  <c r="Q2" i="10" s="1"/>
  <c r="B7" i="10"/>
  <c r="C7" i="10" s="1"/>
  <c r="Q7" i="10" s="1"/>
  <c r="B11" i="10"/>
  <c r="C11" i="10" s="1"/>
  <c r="Q11" i="10" s="1"/>
  <c r="C10" i="10"/>
  <c r="Q10" i="10" s="1"/>
  <c r="C6" i="10"/>
  <c r="Q6" i="10" s="1"/>
  <c r="Q12" i="10"/>
  <c r="Q9" i="10"/>
  <c r="C3" i="10"/>
  <c r="Q3" i="10" s="1"/>
  <c r="AA3" i="9"/>
  <c r="AQ2" i="9"/>
  <c r="AS2" i="9" s="1"/>
  <c r="AK2" i="9"/>
  <c r="AM2" i="9" s="1"/>
  <c r="AE2" i="9"/>
  <c r="Y2" i="9"/>
  <c r="F3" i="9" l="1"/>
  <c r="G3" i="9"/>
  <c r="AG2" i="9"/>
  <c r="AA2" i="9"/>
  <c r="AW3" i="9"/>
  <c r="AY3" i="9" s="1"/>
  <c r="AW4" i="9"/>
  <c r="AY4" i="9" s="1"/>
  <c r="AW5" i="9"/>
  <c r="AY5" i="9" s="1"/>
  <c r="AY6" i="9"/>
  <c r="AW7" i="9"/>
  <c r="AY7" i="9" s="1"/>
  <c r="AW8" i="9"/>
  <c r="AY8" i="9" s="1"/>
  <c r="AW9" i="9"/>
  <c r="AY9" i="9" s="1"/>
  <c r="AW10" i="9"/>
  <c r="AY10" i="9" s="1"/>
  <c r="AW11" i="9"/>
  <c r="AY11" i="9" s="1"/>
  <c r="AW12" i="9"/>
  <c r="AY12" i="9" s="1"/>
  <c r="AW13" i="9"/>
  <c r="AY13" i="9" s="1"/>
  <c r="AW14" i="9"/>
  <c r="AY14" i="9" s="1"/>
  <c r="AW15" i="9"/>
  <c r="AY15" i="9" s="1"/>
  <c r="AW16" i="9"/>
  <c r="AY16" i="9" s="1"/>
  <c r="AW17" i="9"/>
  <c r="AY17" i="9" s="1"/>
  <c r="AW18" i="9"/>
  <c r="AY18" i="9" s="1"/>
  <c r="AW19" i="9"/>
  <c r="AY19" i="9" s="1"/>
  <c r="AW20" i="9"/>
  <c r="AW21" i="9"/>
  <c r="AY21" i="9" s="1"/>
  <c r="AW22" i="9"/>
  <c r="AY22" i="9" s="1"/>
  <c r="AY23" i="9"/>
  <c r="AW24" i="9"/>
  <c r="AY24" i="9" s="1"/>
  <c r="AW25" i="9"/>
  <c r="AY25" i="9" s="1"/>
  <c r="AY26" i="9"/>
  <c r="AW27" i="9"/>
  <c r="AY27" i="9" s="1"/>
  <c r="AW28" i="9"/>
  <c r="AY28" i="9" s="1"/>
  <c r="AW29" i="9"/>
  <c r="AY29" i="9" s="1"/>
  <c r="AW30" i="9"/>
  <c r="AY30" i="9" s="1"/>
  <c r="AW31" i="9"/>
  <c r="AY31" i="9" s="1"/>
  <c r="AW32" i="9"/>
  <c r="AY32" i="9" s="1"/>
  <c r="AW34" i="9"/>
  <c r="AY34" i="9" s="1"/>
  <c r="AW35" i="9"/>
  <c r="AY35" i="9" s="1"/>
  <c r="AW36" i="9"/>
  <c r="AY36" i="9" s="1"/>
  <c r="AW37" i="9"/>
  <c r="AY37" i="9" s="1"/>
  <c r="AW38" i="9"/>
  <c r="AY38" i="9" s="1"/>
  <c r="AW39" i="9"/>
  <c r="AY39" i="9" s="1"/>
  <c r="AW40" i="9"/>
  <c r="AY40" i="9" s="1"/>
  <c r="AW41" i="9"/>
  <c r="AY41" i="9" s="1"/>
  <c r="AW42" i="9"/>
  <c r="AY42" i="9" s="1"/>
  <c r="AY43" i="9"/>
  <c r="AW44" i="9"/>
  <c r="AY44" i="9" s="1"/>
  <c r="AW45" i="9"/>
  <c r="AY45" i="9" s="1"/>
  <c r="AW46" i="9"/>
  <c r="AY46" i="9" s="1"/>
  <c r="AW47" i="9"/>
  <c r="AY47" i="9" s="1"/>
  <c r="AW48" i="9"/>
  <c r="AY48" i="9" s="1"/>
  <c r="AW49" i="9"/>
  <c r="AY49" i="9" s="1"/>
  <c r="AW50" i="9"/>
  <c r="AY50" i="9" s="1"/>
  <c r="AW51" i="9"/>
  <c r="AY51" i="9" s="1"/>
  <c r="AW52" i="9"/>
  <c r="AY52" i="9" s="1"/>
  <c r="AW53" i="9"/>
  <c r="AY53" i="9" s="1"/>
  <c r="AW54" i="9"/>
  <c r="AY54" i="9" s="1"/>
  <c r="AW55" i="9"/>
  <c r="AY55" i="9" s="1"/>
  <c r="AW56" i="9"/>
  <c r="AY56" i="9" s="1"/>
  <c r="AW57" i="9"/>
  <c r="AY57" i="9" s="1"/>
  <c r="AY58" i="9"/>
  <c r="AW59" i="9"/>
  <c r="AY59" i="9" s="1"/>
  <c r="AW60" i="9"/>
  <c r="AY60" i="9" s="1"/>
  <c r="AW61" i="9"/>
  <c r="AY61" i="9" s="1"/>
  <c r="AW62" i="9"/>
  <c r="AY62" i="9" s="1"/>
  <c r="AW64" i="9"/>
  <c r="AY64" i="9" s="1"/>
  <c r="AW65" i="9"/>
  <c r="AY65" i="9" s="1"/>
  <c r="AW66" i="9"/>
  <c r="AY66" i="9" s="1"/>
  <c r="AW67" i="9"/>
  <c r="AY67" i="9" s="1"/>
  <c r="AW68" i="9"/>
  <c r="AW69" i="9"/>
  <c r="AY69" i="9" s="1"/>
  <c r="AW70" i="9"/>
  <c r="AY70" i="9" s="1"/>
  <c r="AW72" i="9"/>
  <c r="AY72" i="9" s="1"/>
  <c r="AW73" i="9"/>
  <c r="AY73" i="9" s="1"/>
  <c r="AW74" i="9"/>
  <c r="AY74" i="9" s="1"/>
  <c r="AW75" i="9"/>
  <c r="AY75" i="9" s="1"/>
  <c r="AW76" i="9"/>
  <c r="AY76" i="9" s="1"/>
  <c r="AW77" i="9"/>
  <c r="AY77" i="9" s="1"/>
  <c r="AW78" i="9"/>
  <c r="AY78" i="9" s="1"/>
  <c r="AW79" i="9"/>
  <c r="AY79" i="9" s="1"/>
  <c r="AW80" i="9"/>
  <c r="AY80" i="9" s="1"/>
  <c r="AW81" i="9"/>
  <c r="AY81" i="9" s="1"/>
  <c r="AY82" i="9"/>
  <c r="AW83" i="9"/>
  <c r="AY83" i="9" s="1"/>
  <c r="AW84" i="9"/>
  <c r="AY84" i="9" s="1"/>
  <c r="AW85" i="9"/>
  <c r="AY85" i="9" s="1"/>
  <c r="AW86" i="9"/>
  <c r="AY86" i="9" s="1"/>
  <c r="AW87" i="9"/>
  <c r="AY87" i="9" s="1"/>
  <c r="AW88" i="9"/>
  <c r="AY88" i="9" s="1"/>
  <c r="AW89" i="9"/>
  <c r="AY89" i="9" s="1"/>
  <c r="AW90" i="9"/>
  <c r="AY90" i="9" s="1"/>
  <c r="AW91" i="9"/>
  <c r="AY91" i="9" s="1"/>
  <c r="AW92" i="9"/>
  <c r="AY92" i="9" s="1"/>
  <c r="AW94" i="9"/>
  <c r="AY94" i="9" s="1"/>
  <c r="AW96" i="9"/>
  <c r="AY96" i="9" s="1"/>
  <c r="AW97" i="9"/>
  <c r="AY97" i="9" s="1"/>
  <c r="AW98" i="9"/>
  <c r="AY98" i="9" s="1"/>
  <c r="AW99" i="9"/>
  <c r="AY99" i="9" s="1"/>
  <c r="AW100" i="9"/>
  <c r="AY100" i="9" s="1"/>
  <c r="AW101" i="9"/>
  <c r="AY101" i="9" s="1"/>
  <c r="AW2" i="9"/>
  <c r="AY2" i="9" s="1"/>
  <c r="AQ3" i="9"/>
  <c r="AS3" i="9" s="1"/>
  <c r="AQ4" i="9"/>
  <c r="AS4" i="9" s="1"/>
  <c r="AQ5" i="9"/>
  <c r="AS5" i="9" s="1"/>
  <c r="AQ6" i="9"/>
  <c r="AS6" i="9" s="1"/>
  <c r="AQ7" i="9"/>
  <c r="AS7" i="9" s="1"/>
  <c r="AQ8" i="9"/>
  <c r="AS8" i="9" s="1"/>
  <c r="AQ9" i="9"/>
  <c r="AS9" i="9" s="1"/>
  <c r="AQ10" i="9"/>
  <c r="AS10" i="9" s="1"/>
  <c r="AQ11" i="9"/>
  <c r="AS11" i="9" s="1"/>
  <c r="AQ12" i="9"/>
  <c r="AS12" i="9" s="1"/>
  <c r="AQ13" i="9"/>
  <c r="AS13" i="9" s="1"/>
  <c r="AQ14" i="9"/>
  <c r="AS14" i="9" s="1"/>
  <c r="AQ15" i="9"/>
  <c r="AS15" i="9" s="1"/>
  <c r="AQ16" i="9"/>
  <c r="AS16" i="9" s="1"/>
  <c r="AQ17" i="9"/>
  <c r="AS17" i="9" s="1"/>
  <c r="AQ18" i="9"/>
  <c r="AS18" i="9" s="1"/>
  <c r="AQ19" i="9"/>
  <c r="AS19" i="9" s="1"/>
  <c r="AQ20" i="9"/>
  <c r="AQ21" i="9"/>
  <c r="AS21" i="9" s="1"/>
  <c r="AQ22" i="9"/>
  <c r="AS22" i="9" s="1"/>
  <c r="AQ23" i="9"/>
  <c r="AS23" i="9" s="1"/>
  <c r="AQ24" i="9"/>
  <c r="AS24" i="9" s="1"/>
  <c r="AQ25" i="9"/>
  <c r="AS25" i="9" s="1"/>
  <c r="AS26" i="9"/>
  <c r="AQ27" i="9"/>
  <c r="AS27" i="9" s="1"/>
  <c r="AQ28" i="9"/>
  <c r="AS28" i="9" s="1"/>
  <c r="AQ29" i="9"/>
  <c r="AS29" i="9" s="1"/>
  <c r="AQ30" i="9"/>
  <c r="AS30" i="9" s="1"/>
  <c r="AQ31" i="9"/>
  <c r="AS31" i="9" s="1"/>
  <c r="AQ32" i="9"/>
  <c r="AS32" i="9" s="1"/>
  <c r="AQ34" i="9"/>
  <c r="AS34" i="9" s="1"/>
  <c r="AQ35" i="9"/>
  <c r="AS35" i="9" s="1"/>
  <c r="AQ36" i="9"/>
  <c r="AS36" i="9" s="1"/>
  <c r="AQ37" i="9"/>
  <c r="AS37" i="9" s="1"/>
  <c r="AQ38" i="9"/>
  <c r="AS38" i="9" s="1"/>
  <c r="AQ39" i="9"/>
  <c r="AS39" i="9" s="1"/>
  <c r="AQ40" i="9"/>
  <c r="AS40" i="9" s="1"/>
  <c r="AQ41" i="9"/>
  <c r="AS41" i="9" s="1"/>
  <c r="AQ42" i="9"/>
  <c r="AS42" i="9" s="1"/>
  <c r="AS43" i="9"/>
  <c r="AQ44" i="9"/>
  <c r="AS44" i="9" s="1"/>
  <c r="AQ45" i="9"/>
  <c r="AS45" i="9" s="1"/>
  <c r="AQ46" i="9"/>
  <c r="AS46" i="9" s="1"/>
  <c r="AQ47" i="9"/>
  <c r="AS47" i="9" s="1"/>
  <c r="AQ48" i="9"/>
  <c r="AS48" i="9" s="1"/>
  <c r="AQ49" i="9"/>
  <c r="AS49" i="9" s="1"/>
  <c r="AQ50" i="9"/>
  <c r="AS50" i="9" s="1"/>
  <c r="AQ51" i="9"/>
  <c r="AS51" i="9" s="1"/>
  <c r="AQ52" i="9"/>
  <c r="AS52" i="9" s="1"/>
  <c r="AQ53" i="9"/>
  <c r="AS53" i="9" s="1"/>
  <c r="AQ55" i="9"/>
  <c r="AS55" i="9" s="1"/>
  <c r="AQ56" i="9"/>
  <c r="AS56" i="9" s="1"/>
  <c r="AQ57" i="9"/>
  <c r="AS57" i="9" s="1"/>
  <c r="AS58" i="9"/>
  <c r="AQ59" i="9"/>
  <c r="AQ61" i="9"/>
  <c r="AS61" i="9" s="1"/>
  <c r="AQ64" i="9"/>
  <c r="AS64" i="9" s="1"/>
  <c r="AQ65" i="9"/>
  <c r="AS65" i="9" s="1"/>
  <c r="AQ66" i="9"/>
  <c r="AS66" i="9" s="1"/>
  <c r="AQ67" i="9"/>
  <c r="AS67" i="9" s="1"/>
  <c r="AQ68" i="9"/>
  <c r="AQ69" i="9"/>
  <c r="AS69" i="9" s="1"/>
  <c r="AQ70" i="9"/>
  <c r="AS70" i="9" s="1"/>
  <c r="AQ72" i="9"/>
  <c r="AS72" i="9" s="1"/>
  <c r="AQ73" i="9"/>
  <c r="AS73" i="9" s="1"/>
  <c r="AQ74" i="9"/>
  <c r="AS74" i="9" s="1"/>
  <c r="AQ75" i="9"/>
  <c r="AQ76" i="9"/>
  <c r="AS76" i="9" s="1"/>
  <c r="AQ77" i="9"/>
  <c r="AS77" i="9" s="1"/>
  <c r="AQ78" i="9"/>
  <c r="AS78" i="9" s="1"/>
  <c r="AQ79" i="9"/>
  <c r="AS79" i="9" s="1"/>
  <c r="AQ80" i="9"/>
  <c r="AS80" i="9" s="1"/>
  <c r="AQ81" i="9"/>
  <c r="AS81" i="9" s="1"/>
  <c r="AS82" i="9"/>
  <c r="AQ84" i="9"/>
  <c r="AS84" i="9" s="1"/>
  <c r="AQ85" i="9"/>
  <c r="AS85" i="9" s="1"/>
  <c r="AQ86" i="9"/>
  <c r="AS86" i="9" s="1"/>
  <c r="AQ87" i="9"/>
  <c r="AS87" i="9" s="1"/>
  <c r="AQ88" i="9"/>
  <c r="AS88" i="9" s="1"/>
  <c r="AQ89" i="9"/>
  <c r="AS89" i="9" s="1"/>
  <c r="AQ90" i="9"/>
  <c r="AS90" i="9" s="1"/>
  <c r="AQ91" i="9"/>
  <c r="AS91" i="9" s="1"/>
  <c r="AQ92" i="9"/>
  <c r="AS92" i="9" s="1"/>
  <c r="AQ94" i="9"/>
  <c r="AS94" i="9" s="1"/>
  <c r="AQ96" i="9"/>
  <c r="AQ97" i="9"/>
  <c r="AS97" i="9" s="1"/>
  <c r="AQ98" i="9"/>
  <c r="AS98" i="9" s="1"/>
  <c r="AQ99" i="9"/>
  <c r="AS99" i="9" s="1"/>
  <c r="AQ100" i="9"/>
  <c r="AS100" i="9" s="1"/>
  <c r="AQ101" i="9"/>
  <c r="AS101" i="9" s="1"/>
  <c r="AK3" i="9"/>
  <c r="AM3" i="9" s="1"/>
  <c r="AK4" i="9"/>
  <c r="AM4" i="9" s="1"/>
  <c r="AK5" i="9"/>
  <c r="AM5" i="9" s="1"/>
  <c r="AK6" i="9"/>
  <c r="AM6" i="9" s="1"/>
  <c r="AK7" i="9"/>
  <c r="AM7" i="9" s="1"/>
  <c r="AK8" i="9"/>
  <c r="AM8" i="9" s="1"/>
  <c r="AK9" i="9"/>
  <c r="AM9" i="9" s="1"/>
  <c r="AK10" i="9"/>
  <c r="AM10" i="9" s="1"/>
  <c r="AK11" i="9"/>
  <c r="AM11" i="9" s="1"/>
  <c r="AK12" i="9"/>
  <c r="AM12" i="9" s="1"/>
  <c r="AK13" i="9"/>
  <c r="AM13" i="9" s="1"/>
  <c r="AK14" i="9"/>
  <c r="AM14" i="9" s="1"/>
  <c r="AK15" i="9"/>
  <c r="AM15" i="9" s="1"/>
  <c r="AK16" i="9"/>
  <c r="AM16" i="9" s="1"/>
  <c r="AK17" i="9"/>
  <c r="AM17" i="9" s="1"/>
  <c r="AK18" i="9"/>
  <c r="AM18" i="9" s="1"/>
  <c r="AK19" i="9"/>
  <c r="AM19" i="9" s="1"/>
  <c r="AK20" i="9"/>
  <c r="AK21" i="9"/>
  <c r="AM21" i="9" s="1"/>
  <c r="AK22" i="9"/>
  <c r="AM22" i="9" s="1"/>
  <c r="AK23" i="9"/>
  <c r="AM23" i="9" s="1"/>
  <c r="AK24" i="9"/>
  <c r="AM24" i="9" s="1"/>
  <c r="AK25" i="9"/>
  <c r="AM25" i="9" s="1"/>
  <c r="AM26" i="9"/>
  <c r="AK27" i="9"/>
  <c r="AM27" i="9" s="1"/>
  <c r="AK28" i="9"/>
  <c r="AM28" i="9" s="1"/>
  <c r="AK29" i="9"/>
  <c r="AM29" i="9" s="1"/>
  <c r="AK30" i="9"/>
  <c r="AM30" i="9" s="1"/>
  <c r="AK31" i="9"/>
  <c r="AM31" i="9" s="1"/>
  <c r="AK32" i="9"/>
  <c r="AM32" i="9" s="1"/>
  <c r="AK34" i="9"/>
  <c r="AM34" i="9" s="1"/>
  <c r="AK35" i="9"/>
  <c r="AM35" i="9" s="1"/>
  <c r="AM36" i="9"/>
  <c r="AK37" i="9"/>
  <c r="AM37" i="9" s="1"/>
  <c r="AK38" i="9"/>
  <c r="AM38" i="9" s="1"/>
  <c r="AK39" i="9"/>
  <c r="AM39" i="9" s="1"/>
  <c r="AK40" i="9"/>
  <c r="AM40" i="9" s="1"/>
  <c r="AK41" i="9"/>
  <c r="AM41" i="9" s="1"/>
  <c r="AK43" i="9"/>
  <c r="AM43" i="9" s="1"/>
  <c r="AK44" i="9"/>
  <c r="AM44" i="9" s="1"/>
  <c r="AK45" i="9"/>
  <c r="AM45" i="9" s="1"/>
  <c r="AK46" i="9"/>
  <c r="AM46" i="9" s="1"/>
  <c r="AK47" i="9"/>
  <c r="AM47" i="9" s="1"/>
  <c r="AK48" i="9"/>
  <c r="AM48" i="9" s="1"/>
  <c r="AK49" i="9"/>
  <c r="AM49" i="9" s="1"/>
  <c r="AK50" i="9"/>
  <c r="AM50" i="9" s="1"/>
  <c r="AK51" i="9"/>
  <c r="AM51" i="9" s="1"/>
  <c r="AK52" i="9"/>
  <c r="AM52" i="9" s="1"/>
  <c r="AK53" i="9"/>
  <c r="AM53" i="9" s="1"/>
  <c r="AK55" i="9"/>
  <c r="AM55" i="9" s="1"/>
  <c r="AK56" i="9"/>
  <c r="AM56" i="9" s="1"/>
  <c r="AK57" i="9"/>
  <c r="AM57" i="9" s="1"/>
  <c r="AM58" i="9"/>
  <c r="AK59" i="9"/>
  <c r="AK60" i="9"/>
  <c r="AM60" i="9" s="1"/>
  <c r="AK61" i="9"/>
  <c r="AM61" i="9" s="1"/>
  <c r="AK64" i="9"/>
  <c r="AM64" i="9" s="1"/>
  <c r="AK65" i="9"/>
  <c r="AM65" i="9" s="1"/>
  <c r="AK66" i="9"/>
  <c r="AM66" i="9" s="1"/>
  <c r="AK67" i="9"/>
  <c r="AM67" i="9" s="1"/>
  <c r="AK68" i="9"/>
  <c r="AK69" i="9"/>
  <c r="AM69" i="9" s="1"/>
  <c r="AK70" i="9"/>
  <c r="AM70" i="9" s="1"/>
  <c r="AK72" i="9"/>
  <c r="AM72" i="9" s="1"/>
  <c r="AK73" i="9"/>
  <c r="AM73" i="9" s="1"/>
  <c r="AK74" i="9"/>
  <c r="AM74" i="9" s="1"/>
  <c r="AK75" i="9"/>
  <c r="AM75" i="9" s="1"/>
  <c r="AK76" i="9"/>
  <c r="AM76" i="9" s="1"/>
  <c r="AK77" i="9"/>
  <c r="AM77" i="9" s="1"/>
  <c r="AK78" i="9"/>
  <c r="AM78" i="9" s="1"/>
  <c r="AK79" i="9"/>
  <c r="AM79" i="9" s="1"/>
  <c r="AK80" i="9"/>
  <c r="AM80" i="9" s="1"/>
  <c r="AK81" i="9"/>
  <c r="AM81" i="9" s="1"/>
  <c r="AM82" i="9"/>
  <c r="AK84" i="9"/>
  <c r="AM84" i="9" s="1"/>
  <c r="AK85" i="9"/>
  <c r="AM85" i="9" s="1"/>
  <c r="AK86" i="9"/>
  <c r="AM86" i="9" s="1"/>
  <c r="AK87" i="9"/>
  <c r="AM87" i="9" s="1"/>
  <c r="AK88" i="9"/>
  <c r="AM88" i="9" s="1"/>
  <c r="AK89" i="9"/>
  <c r="AM89" i="9" s="1"/>
  <c r="AK90" i="9"/>
  <c r="AM90" i="9" s="1"/>
  <c r="AK91" i="9"/>
  <c r="AM91" i="9" s="1"/>
  <c r="AK92" i="9"/>
  <c r="AM92" i="9" s="1"/>
  <c r="AK94" i="9"/>
  <c r="AM94" i="9" s="1"/>
  <c r="AK96" i="9"/>
  <c r="AM96" i="9" s="1"/>
  <c r="AK97" i="9"/>
  <c r="AM97" i="9" s="1"/>
  <c r="AK98" i="9"/>
  <c r="AM98" i="9" s="1"/>
  <c r="AK99" i="9"/>
  <c r="AM99" i="9" s="1"/>
  <c r="AK100" i="9"/>
  <c r="AM100" i="9" s="1"/>
  <c r="AK101" i="9"/>
  <c r="AM101" i="9" s="1"/>
  <c r="AE3" i="9"/>
  <c r="AE4" i="9"/>
  <c r="AE5" i="9"/>
  <c r="AE6" i="9"/>
  <c r="AE7" i="9"/>
  <c r="AE8" i="9"/>
  <c r="AE9" i="9"/>
  <c r="AE10" i="9"/>
  <c r="AE11" i="9"/>
  <c r="AE12" i="9"/>
  <c r="AE13" i="9"/>
  <c r="AE14" i="9"/>
  <c r="AE15" i="9"/>
  <c r="AE16" i="9"/>
  <c r="AE17" i="9"/>
  <c r="AE18" i="9"/>
  <c r="AE19" i="9"/>
  <c r="AE20" i="9"/>
  <c r="AE21" i="9"/>
  <c r="AE22" i="9"/>
  <c r="AE23" i="9"/>
  <c r="AE24" i="9"/>
  <c r="AE25" i="9"/>
  <c r="AG26" i="9"/>
  <c r="AE27" i="9"/>
  <c r="AE28" i="9"/>
  <c r="AE29" i="9"/>
  <c r="AE30" i="9"/>
  <c r="AE31" i="9"/>
  <c r="AE32" i="9"/>
  <c r="AE34" i="9"/>
  <c r="AE35" i="9"/>
  <c r="AE37" i="9"/>
  <c r="AE38" i="9"/>
  <c r="AE39" i="9"/>
  <c r="AE40" i="9"/>
  <c r="AE41" i="9"/>
  <c r="AE43" i="9"/>
  <c r="AE44" i="9"/>
  <c r="AE45" i="9"/>
  <c r="AE46" i="9"/>
  <c r="AE47" i="9"/>
  <c r="AE48" i="9"/>
  <c r="AE49" i="9"/>
  <c r="AE50" i="9"/>
  <c r="AE51" i="9"/>
  <c r="AE52" i="9"/>
  <c r="AE53" i="9"/>
  <c r="AE54" i="9"/>
  <c r="AE55" i="9"/>
  <c r="AE56" i="9"/>
  <c r="AE57" i="9"/>
  <c r="AG58" i="9"/>
  <c r="AE59" i="9"/>
  <c r="AE60" i="9"/>
  <c r="AE61" i="9"/>
  <c r="AE63" i="9"/>
  <c r="AE64" i="9"/>
  <c r="AE65" i="9"/>
  <c r="AE66" i="9"/>
  <c r="AE67" i="9"/>
  <c r="AE68" i="9"/>
  <c r="AE69" i="9"/>
  <c r="AE70" i="9"/>
  <c r="AE72" i="9"/>
  <c r="AE73" i="9"/>
  <c r="AE74" i="9"/>
  <c r="AE75" i="9"/>
  <c r="AE76" i="9"/>
  <c r="AE77" i="9"/>
  <c r="AE78" i="9"/>
  <c r="AE79" i="9"/>
  <c r="AE80" i="9"/>
  <c r="AE81" i="9"/>
  <c r="AG82" i="9"/>
  <c r="AE84" i="9"/>
  <c r="AE85" i="9"/>
  <c r="AE86" i="9"/>
  <c r="AE87" i="9"/>
  <c r="AE88" i="9"/>
  <c r="AE89" i="9"/>
  <c r="AE90" i="9"/>
  <c r="AE91" i="9"/>
  <c r="AG92" i="9"/>
  <c r="AE94" i="9"/>
  <c r="AE97" i="9"/>
  <c r="AE99" i="9"/>
  <c r="AE100" i="9"/>
  <c r="AE101"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4" i="9"/>
  <c r="Y35" i="9"/>
  <c r="Y36" i="9"/>
  <c r="Y37" i="9"/>
  <c r="Y38" i="9"/>
  <c r="Y39" i="9"/>
  <c r="Y40" i="9"/>
  <c r="Y41"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2" i="9"/>
  <c r="Y73" i="9"/>
  <c r="Y74" i="9"/>
  <c r="Y75" i="9"/>
  <c r="Y76" i="9"/>
  <c r="Y77" i="9"/>
  <c r="Y78" i="9"/>
  <c r="Y80" i="9"/>
  <c r="Y81" i="9"/>
  <c r="Y82" i="9"/>
  <c r="Y84" i="9"/>
  <c r="Y85" i="9"/>
  <c r="Y86" i="9"/>
  <c r="Y87" i="9"/>
  <c r="Y88" i="9"/>
  <c r="Y89" i="9"/>
  <c r="Y90" i="9"/>
  <c r="Y91" i="9"/>
  <c r="Y92" i="9"/>
  <c r="Y94" i="9"/>
  <c r="Y95" i="9"/>
  <c r="Y96" i="9"/>
  <c r="Y97" i="9"/>
  <c r="Y98" i="9"/>
  <c r="Y99" i="9"/>
  <c r="Y100" i="9"/>
  <c r="Y101" i="9"/>
  <c r="H3" i="9" l="1"/>
  <c r="F2" i="9"/>
  <c r="G2" i="9"/>
  <c r="T2" i="9"/>
  <c r="AG48" i="9"/>
  <c r="AG99" i="9"/>
  <c r="AG91" i="9"/>
  <c r="AG87" i="9"/>
  <c r="AG78" i="9"/>
  <c r="AG69" i="9"/>
  <c r="AG60" i="9"/>
  <c r="AG39" i="9"/>
  <c r="AG29" i="9"/>
  <c r="AG21" i="9"/>
  <c r="AG13" i="9"/>
  <c r="AG5" i="9"/>
  <c r="AG101" i="9"/>
  <c r="AG89" i="9"/>
  <c r="AG80" i="9"/>
  <c r="AG72" i="9"/>
  <c r="AG50" i="9"/>
  <c r="AG41" i="9"/>
  <c r="AG31" i="9"/>
  <c r="AG23" i="9"/>
  <c r="AG15" i="9"/>
  <c r="AG7" i="9"/>
  <c r="AG74" i="9"/>
  <c r="AG65" i="9"/>
  <c r="AG56" i="9"/>
  <c r="AG52" i="9"/>
  <c r="AG44" i="9"/>
  <c r="AG34" i="9"/>
  <c r="AG25" i="9"/>
  <c r="AG17" i="9"/>
  <c r="AG9" i="9"/>
  <c r="AG97" i="9"/>
  <c r="AG90" i="9"/>
  <c r="AG86" i="9"/>
  <c r="AG81" i="9"/>
  <c r="AG77" i="9"/>
  <c r="AG73" i="9"/>
  <c r="AG64" i="9"/>
  <c r="AG59" i="9"/>
  <c r="AG55" i="9"/>
  <c r="AG51" i="9"/>
  <c r="AG47" i="9"/>
  <c r="AG43" i="9"/>
  <c r="AG38" i="9"/>
  <c r="AG32" i="9"/>
  <c r="AG28" i="9"/>
  <c r="AG24" i="9"/>
  <c r="AG16" i="9"/>
  <c r="AG12" i="9"/>
  <c r="AG8" i="9"/>
  <c r="AG4" i="9"/>
  <c r="AG94" i="9"/>
  <c r="AG85" i="9"/>
  <c r="AG76" i="9"/>
  <c r="AG67" i="9"/>
  <c r="AG54" i="9"/>
  <c r="AG46" i="9"/>
  <c r="AG37" i="9"/>
  <c r="AG27" i="9"/>
  <c r="AG19" i="9"/>
  <c r="AG11" i="9"/>
  <c r="AG3" i="9"/>
  <c r="T3" i="9" s="1"/>
  <c r="AG100" i="9"/>
  <c r="AG88" i="9"/>
  <c r="AG84" i="9"/>
  <c r="AG79" i="9"/>
  <c r="AG70" i="9"/>
  <c r="AG66" i="9"/>
  <c r="AG61" i="9"/>
  <c r="AG57" i="9"/>
  <c r="AG53" i="9"/>
  <c r="AG49" i="9"/>
  <c r="AG45" i="9"/>
  <c r="AG40" i="9"/>
  <c r="AG35" i="9"/>
  <c r="AG30" i="9"/>
  <c r="AG22" i="9"/>
  <c r="AG18" i="9"/>
  <c r="AG14" i="9"/>
  <c r="AG10" i="9"/>
  <c r="AG6" i="9"/>
  <c r="AA95" i="9"/>
  <c r="AA86" i="9"/>
  <c r="AA76" i="9"/>
  <c r="AA67" i="9"/>
  <c r="AA59" i="9"/>
  <c r="AA43" i="9"/>
  <c r="AA34" i="9"/>
  <c r="AA25" i="9"/>
  <c r="AA13" i="9"/>
  <c r="AA98" i="9"/>
  <c r="AA94" i="9"/>
  <c r="AA89" i="9"/>
  <c r="AA85" i="9"/>
  <c r="AA80" i="9"/>
  <c r="AA75" i="9"/>
  <c r="AA70" i="9"/>
  <c r="AA66" i="9"/>
  <c r="AA62" i="9"/>
  <c r="AA58" i="9"/>
  <c r="AA54" i="9"/>
  <c r="AA50" i="9"/>
  <c r="AA46" i="9"/>
  <c r="AA41" i="9"/>
  <c r="AA37" i="9"/>
  <c r="AA32" i="9"/>
  <c r="AA28" i="9"/>
  <c r="AA24" i="9"/>
  <c r="AA20" i="9"/>
  <c r="AA16" i="9"/>
  <c r="AA12" i="9"/>
  <c r="AA8" i="9"/>
  <c r="AA4" i="9"/>
  <c r="AA100" i="9"/>
  <c r="AA96" i="9"/>
  <c r="AA91" i="9"/>
  <c r="AA87" i="9"/>
  <c r="AA82" i="9"/>
  <c r="AA77" i="9"/>
  <c r="AA73" i="9"/>
  <c r="AA68" i="9"/>
  <c r="AA64" i="9"/>
  <c r="AA60" i="9"/>
  <c r="AA56" i="9"/>
  <c r="AA52" i="9"/>
  <c r="AA48" i="9"/>
  <c r="AA44" i="9"/>
  <c r="AA39" i="9"/>
  <c r="AA35" i="9"/>
  <c r="AA30" i="9"/>
  <c r="AA26" i="9"/>
  <c r="AA22" i="9"/>
  <c r="AA18" i="9"/>
  <c r="AA14" i="9"/>
  <c r="AA10" i="9"/>
  <c r="AA6" i="9"/>
  <c r="AA99" i="9"/>
  <c r="AA90" i="9"/>
  <c r="AA81" i="9"/>
  <c r="AA72" i="9"/>
  <c r="AA63" i="9"/>
  <c r="AA55" i="9"/>
  <c r="AA51" i="9"/>
  <c r="AA47" i="9"/>
  <c r="AA38" i="9"/>
  <c r="AA29" i="9"/>
  <c r="AA21" i="9"/>
  <c r="AA17" i="9"/>
  <c r="AA9" i="9"/>
  <c r="AA5" i="9"/>
  <c r="AA101" i="9"/>
  <c r="AA97" i="9"/>
  <c r="AA92" i="9"/>
  <c r="AA88" i="9"/>
  <c r="AA84" i="9"/>
  <c r="AA78" i="9"/>
  <c r="AA74" i="9"/>
  <c r="AA69" i="9"/>
  <c r="AA65" i="9"/>
  <c r="AA61" i="9"/>
  <c r="AA57" i="9"/>
  <c r="AA53" i="9"/>
  <c r="AA49" i="9"/>
  <c r="AA45" i="9"/>
  <c r="AA40" i="9"/>
  <c r="AA36" i="9"/>
  <c r="AA31" i="9"/>
  <c r="AA27" i="9"/>
  <c r="AA23" i="9"/>
  <c r="AA19" i="9"/>
  <c r="AA15" i="9"/>
  <c r="AA11" i="9"/>
  <c r="AA7" i="9"/>
  <c r="AI93" i="9"/>
  <c r="AK93" i="9" s="1"/>
  <c r="AM93" i="9" s="1"/>
  <c r="AJ83" i="9"/>
  <c r="AK83" i="9" s="1"/>
  <c r="AM83" i="9" s="1"/>
  <c r="AH54" i="9"/>
  <c r="AK54" i="9" s="1"/>
  <c r="AM54" i="9" s="1"/>
  <c r="AH62" i="9"/>
  <c r="AK62" i="9" s="1"/>
  <c r="AM62" i="9" s="1"/>
  <c r="AH63" i="9"/>
  <c r="H2" i="9" l="1"/>
  <c r="G72" i="9"/>
  <c r="F72" i="9"/>
  <c r="H72" i="9" s="1"/>
  <c r="G7" i="9"/>
  <c r="F7" i="9"/>
  <c r="G40" i="9"/>
  <c r="F40" i="9"/>
  <c r="H40" i="9" s="1"/>
  <c r="F74" i="9"/>
  <c r="H74" i="9" s="1"/>
  <c r="G74" i="9"/>
  <c r="G63" i="9"/>
  <c r="F63" i="9"/>
  <c r="H63" i="9" s="1"/>
  <c r="G52" i="9"/>
  <c r="F52" i="9"/>
  <c r="G87" i="9"/>
  <c r="F87" i="9"/>
  <c r="H87" i="9" s="1"/>
  <c r="G20" i="9"/>
  <c r="F20" i="9"/>
  <c r="G54" i="9"/>
  <c r="F54" i="9"/>
  <c r="H54" i="9" s="1"/>
  <c r="F67" i="9"/>
  <c r="G67" i="9"/>
  <c r="F17" i="9"/>
  <c r="G17" i="9"/>
  <c r="G56" i="9"/>
  <c r="F56" i="9"/>
  <c r="F24" i="9"/>
  <c r="G24" i="9"/>
  <c r="G94" i="9"/>
  <c r="F94" i="9"/>
  <c r="G76" i="9"/>
  <c r="F76" i="9"/>
  <c r="F60" i="9"/>
  <c r="H60" i="9" s="1"/>
  <c r="G60" i="9"/>
  <c r="F96" i="9"/>
  <c r="G96" i="9"/>
  <c r="F28" i="9"/>
  <c r="G28" i="9"/>
  <c r="G62" i="9"/>
  <c r="F62" i="9"/>
  <c r="F98" i="9"/>
  <c r="H98" i="9" s="1"/>
  <c r="G98" i="9"/>
  <c r="G86" i="9"/>
  <c r="F86" i="9"/>
  <c r="H86" i="9" s="1"/>
  <c r="F19" i="9"/>
  <c r="G19" i="9"/>
  <c r="G53" i="9"/>
  <c r="F53" i="9"/>
  <c r="G88" i="9"/>
  <c r="F88" i="9"/>
  <c r="G29" i="9"/>
  <c r="F29" i="9"/>
  <c r="H29" i="9" s="1"/>
  <c r="F90" i="9"/>
  <c r="G90" i="9"/>
  <c r="G64" i="9"/>
  <c r="F64" i="9"/>
  <c r="G100" i="9"/>
  <c r="F100" i="9"/>
  <c r="F66" i="9"/>
  <c r="G66" i="9"/>
  <c r="G95" i="9"/>
  <c r="F95" i="9"/>
  <c r="F11" i="9"/>
  <c r="G11" i="9"/>
  <c r="F81" i="9"/>
  <c r="H81" i="9" s="1"/>
  <c r="G81" i="9"/>
  <c r="F57" i="9"/>
  <c r="G57" i="9"/>
  <c r="G38" i="9"/>
  <c r="F38" i="9"/>
  <c r="F99" i="9"/>
  <c r="G99" i="9"/>
  <c r="F35" i="9"/>
  <c r="H35" i="9" s="1"/>
  <c r="G35" i="9"/>
  <c r="F68" i="9"/>
  <c r="G68" i="9"/>
  <c r="F4" i="9"/>
  <c r="G4" i="9"/>
  <c r="G37" i="9"/>
  <c r="F37" i="9"/>
  <c r="G15" i="9"/>
  <c r="F15" i="9"/>
  <c r="F27" i="9"/>
  <c r="G27" i="9"/>
  <c r="G61" i="9"/>
  <c r="F61" i="9"/>
  <c r="F97" i="9"/>
  <c r="G97" i="9"/>
  <c r="G6" i="9"/>
  <c r="F6" i="9"/>
  <c r="F39" i="9"/>
  <c r="G39" i="9"/>
  <c r="F73" i="9"/>
  <c r="G73" i="9"/>
  <c r="G8" i="9"/>
  <c r="F8" i="9"/>
  <c r="F75" i="9"/>
  <c r="H75" i="9" s="1"/>
  <c r="G75" i="9"/>
  <c r="G45" i="9"/>
  <c r="F45" i="9"/>
  <c r="G21" i="9"/>
  <c r="F21" i="9"/>
  <c r="G31" i="9"/>
  <c r="F31" i="9"/>
  <c r="F65" i="9"/>
  <c r="H65" i="9" s="1"/>
  <c r="G65" i="9"/>
  <c r="G101" i="9"/>
  <c r="F101" i="9"/>
  <c r="F51" i="9"/>
  <c r="G51" i="9"/>
  <c r="F10" i="9"/>
  <c r="G10" i="9"/>
  <c r="G77" i="9"/>
  <c r="F77" i="9"/>
  <c r="G46" i="9"/>
  <c r="F46" i="9"/>
  <c r="F80" i="9"/>
  <c r="G80" i="9"/>
  <c r="G78" i="9"/>
  <c r="F78" i="9"/>
  <c r="F49" i="9"/>
  <c r="H49" i="9" s="1"/>
  <c r="G49" i="9"/>
  <c r="G69" i="9"/>
  <c r="F69" i="9"/>
  <c r="H69" i="9" s="1"/>
  <c r="G5" i="9"/>
  <c r="F5" i="9"/>
  <c r="G55" i="9"/>
  <c r="F55" i="9"/>
  <c r="G14" i="9"/>
  <c r="F14" i="9"/>
  <c r="F48" i="9"/>
  <c r="G48" i="9"/>
  <c r="F82" i="9"/>
  <c r="G82" i="9"/>
  <c r="G16" i="9"/>
  <c r="F16" i="9"/>
  <c r="F50" i="9"/>
  <c r="H50" i="9" s="1"/>
  <c r="G50" i="9"/>
  <c r="G85" i="9"/>
  <c r="F85" i="9"/>
  <c r="H85" i="9" s="1"/>
  <c r="F59" i="9"/>
  <c r="G59" i="9"/>
  <c r="T38" i="9"/>
  <c r="T25" i="9"/>
  <c r="T27" i="9"/>
  <c r="T61" i="9"/>
  <c r="T97" i="9"/>
  <c r="T41" i="9"/>
  <c r="T69" i="9"/>
  <c r="T5" i="9"/>
  <c r="T14" i="9"/>
  <c r="T48" i="9"/>
  <c r="T82" i="9"/>
  <c r="T50" i="9"/>
  <c r="T85" i="9"/>
  <c r="T59" i="9"/>
  <c r="T23" i="9"/>
  <c r="T99" i="9"/>
  <c r="T4" i="9"/>
  <c r="T7" i="9"/>
  <c r="T74" i="9"/>
  <c r="T18" i="9"/>
  <c r="T89" i="9"/>
  <c r="T67" i="9"/>
  <c r="T11" i="9"/>
  <c r="T45" i="9"/>
  <c r="T78" i="9"/>
  <c r="T17" i="9"/>
  <c r="T22" i="9"/>
  <c r="T56" i="9"/>
  <c r="T91" i="9"/>
  <c r="T24" i="9"/>
  <c r="T58" i="9"/>
  <c r="T94" i="9"/>
  <c r="T76" i="9"/>
  <c r="T57" i="9"/>
  <c r="T35" i="9"/>
  <c r="T37" i="9"/>
  <c r="T9" i="9"/>
  <c r="T87" i="9"/>
  <c r="T26" i="9"/>
  <c r="T60" i="9"/>
  <c r="T28" i="9"/>
  <c r="T86" i="9"/>
  <c r="T92" i="9"/>
  <c r="T70" i="9"/>
  <c r="T40" i="9"/>
  <c r="T52" i="9"/>
  <c r="T15" i="9"/>
  <c r="T84" i="9"/>
  <c r="T21" i="9"/>
  <c r="T81" i="9"/>
  <c r="T19" i="9"/>
  <c r="T53" i="9"/>
  <c r="T29" i="9"/>
  <c r="T90" i="9"/>
  <c r="T30" i="9"/>
  <c r="T64" i="9"/>
  <c r="T100" i="9"/>
  <c r="T32" i="9"/>
  <c r="T13" i="9"/>
  <c r="T47" i="9"/>
  <c r="T6" i="9"/>
  <c r="T39" i="9"/>
  <c r="T73" i="9"/>
  <c r="T8" i="9"/>
  <c r="T34" i="9"/>
  <c r="T31" i="9"/>
  <c r="T101" i="9"/>
  <c r="T51" i="9"/>
  <c r="T44" i="9"/>
  <c r="T77" i="9"/>
  <c r="T12" i="9"/>
  <c r="T46" i="9"/>
  <c r="T80" i="9"/>
  <c r="T65" i="9"/>
  <c r="T10" i="9"/>
  <c r="T55" i="9"/>
  <c r="T16" i="9"/>
  <c r="T54" i="9"/>
  <c r="T72" i="9"/>
  <c r="T49" i="9"/>
  <c r="T88" i="9"/>
  <c r="T43" i="9"/>
  <c r="T66" i="9"/>
  <c r="AL59" i="9"/>
  <c r="AM59" i="9" s="1"/>
  <c r="AR59" i="9"/>
  <c r="AS59" i="9" s="1"/>
  <c r="H46" i="9" l="1"/>
  <c r="H101" i="9"/>
  <c r="H45" i="9"/>
  <c r="H52" i="9"/>
  <c r="H7" i="9"/>
  <c r="H10" i="9"/>
  <c r="H99" i="9"/>
  <c r="H5" i="9"/>
  <c r="H21" i="9"/>
  <c r="H61" i="9"/>
  <c r="H38" i="9"/>
  <c r="H95" i="9"/>
  <c r="H94" i="9"/>
  <c r="H97" i="9"/>
  <c r="H11" i="9"/>
  <c r="H14" i="9"/>
  <c r="H77" i="9"/>
  <c r="H6" i="9"/>
  <c r="H15" i="9"/>
  <c r="H100" i="9"/>
  <c r="H88" i="9"/>
  <c r="H56" i="9"/>
  <c r="H20" i="9"/>
  <c r="H16" i="9"/>
  <c r="H55" i="9"/>
  <c r="H78" i="9"/>
  <c r="H31" i="9"/>
  <c r="H8" i="9"/>
  <c r="K2" i="10" s="1"/>
  <c r="H37" i="9"/>
  <c r="H64" i="9"/>
  <c r="H53" i="9"/>
  <c r="H62" i="9"/>
  <c r="H76" i="9"/>
  <c r="H17" i="9"/>
  <c r="H59" i="9"/>
  <c r="H82" i="9"/>
  <c r="H80" i="9"/>
  <c r="H51" i="9"/>
  <c r="H73" i="9"/>
  <c r="H4" i="9"/>
  <c r="H90" i="9"/>
  <c r="H19" i="9"/>
  <c r="H28" i="9"/>
  <c r="H67" i="9"/>
  <c r="H48" i="9"/>
  <c r="H39" i="9"/>
  <c r="K9" i="10" s="1"/>
  <c r="H27" i="9"/>
  <c r="H68" i="9"/>
  <c r="H57" i="9"/>
  <c r="H66" i="9"/>
  <c r="H96" i="9"/>
  <c r="H24" i="9"/>
  <c r="J9" i="10"/>
  <c r="AJ42" i="9"/>
  <c r="AK42" i="9" s="1"/>
  <c r="AM42" i="9" s="1"/>
  <c r="AD42" i="9"/>
  <c r="AE42" i="9" s="1"/>
  <c r="X42" i="9"/>
  <c r="Y42" i="9" s="1"/>
  <c r="L9" i="10" l="1"/>
  <c r="K10" i="10"/>
  <c r="J10" i="10"/>
  <c r="J6" i="10"/>
  <c r="K6" i="10"/>
  <c r="K3" i="10"/>
  <c r="J3" i="10"/>
  <c r="J2" i="10"/>
  <c r="L2" i="10" s="1"/>
  <c r="J7" i="10"/>
  <c r="K7" i="10"/>
  <c r="AG42" i="9"/>
  <c r="AA42" i="9"/>
  <c r="AC36" i="9"/>
  <c r="AB36" i="9"/>
  <c r="AF33" i="9"/>
  <c r="L3" i="10" l="1"/>
  <c r="L6" i="10"/>
  <c r="L10" i="10"/>
  <c r="L7" i="10"/>
  <c r="F42" i="9"/>
  <c r="H42" i="9" s="1"/>
  <c r="G42" i="9"/>
  <c r="T42" i="9"/>
  <c r="Q5" i="10"/>
  <c r="AE36" i="9"/>
  <c r="AX20" i="9"/>
  <c r="AY20" i="9" s="1"/>
  <c r="AR20" i="9"/>
  <c r="AS20" i="9" s="1"/>
  <c r="AL20" i="9"/>
  <c r="AM20" i="9" s="1"/>
  <c r="AF20" i="9"/>
  <c r="AG20" i="9" s="1"/>
  <c r="T20" i="9" s="1"/>
  <c r="K12" i="10" l="1"/>
  <c r="J12" i="10"/>
  <c r="AG36" i="9"/>
  <c r="T36" i="9" s="1"/>
  <c r="L12" i="10" l="1"/>
  <c r="AC98" i="9"/>
  <c r="AB98" i="9"/>
  <c r="AV95" i="9"/>
  <c r="AW95" i="9" s="1"/>
  <c r="AY95" i="9" s="1"/>
  <c r="AP95" i="9"/>
  <c r="AQ95" i="9" s="1"/>
  <c r="AS95" i="9" s="1"/>
  <c r="AJ95" i="9"/>
  <c r="AK95" i="9" s="1"/>
  <c r="AM95" i="9" s="1"/>
  <c r="AD95" i="9"/>
  <c r="AE95" i="9" s="1"/>
  <c r="AU93" i="9"/>
  <c r="AW93" i="9" s="1"/>
  <c r="AY93" i="9" s="1"/>
  <c r="AO93" i="9"/>
  <c r="AQ93" i="9" s="1"/>
  <c r="AS93" i="9" s="1"/>
  <c r="AC93" i="9"/>
  <c r="W93" i="9"/>
  <c r="Y93" i="9" s="1"/>
  <c r="AR96" i="9"/>
  <c r="AS96" i="9" s="1"/>
  <c r="AD96" i="9"/>
  <c r="AE96" i="9" s="1"/>
  <c r="AP83" i="9"/>
  <c r="AQ83" i="9" s="1"/>
  <c r="AS83" i="9" s="1"/>
  <c r="AD83" i="9"/>
  <c r="AE83" i="9" s="1"/>
  <c r="X83" i="9"/>
  <c r="Y83" i="9" s="1"/>
  <c r="Z79" i="9"/>
  <c r="B4" i="10" s="1"/>
  <c r="W79" i="9"/>
  <c r="V79" i="9"/>
  <c r="AR75" i="9"/>
  <c r="AS75" i="9" s="1"/>
  <c r="AF75" i="9"/>
  <c r="AG75" i="9" s="1"/>
  <c r="T75" i="9" s="1"/>
  <c r="AX68" i="9"/>
  <c r="AY68" i="9" s="1"/>
  <c r="AR68" i="9"/>
  <c r="AS68" i="9" s="1"/>
  <c r="AL68" i="9"/>
  <c r="AM68" i="9" s="1"/>
  <c r="AF68" i="9"/>
  <c r="AG68" i="9" s="1"/>
  <c r="T68" i="9" s="1"/>
  <c r="AU63" i="9"/>
  <c r="AT63" i="9"/>
  <c r="AR63" i="9"/>
  <c r="AO63" i="9"/>
  <c r="AN63" i="9"/>
  <c r="AI63" i="9"/>
  <c r="AK63" i="9" s="1"/>
  <c r="AM63" i="9" s="1"/>
  <c r="AF63" i="9"/>
  <c r="AG63" i="9" s="1"/>
  <c r="T63" i="9" s="1"/>
  <c r="AN62" i="9"/>
  <c r="AQ62" i="9" s="1"/>
  <c r="AS62" i="9" s="1"/>
  <c r="AB62" i="9"/>
  <c r="AO60" i="9"/>
  <c r="AQ60" i="9" s="1"/>
  <c r="AS60" i="9" s="1"/>
  <c r="AN54" i="9"/>
  <c r="AQ54" i="9" s="1"/>
  <c r="AS54" i="9" s="1"/>
  <c r="C4" i="10" l="1"/>
  <c r="B13" i="10"/>
  <c r="AQ63" i="9"/>
  <c r="AS63" i="9" s="1"/>
  <c r="AG83" i="9"/>
  <c r="AG95" i="9"/>
  <c r="T95" i="9" s="1"/>
  <c r="AG96" i="9"/>
  <c r="T96" i="9" s="1"/>
  <c r="AA93" i="9"/>
  <c r="AA83" i="9"/>
  <c r="AE93" i="9"/>
  <c r="AE98" i="9"/>
  <c r="AE62" i="9"/>
  <c r="AW63" i="9"/>
  <c r="AY63" i="9" s="1"/>
  <c r="Y79" i="9"/>
  <c r="G93" i="9" l="1"/>
  <c r="F93" i="9"/>
  <c r="H93" i="9" s="1"/>
  <c r="F83" i="9"/>
  <c r="G83" i="9"/>
  <c r="T83" i="9"/>
  <c r="Q4" i="10"/>
  <c r="C13" i="10"/>
  <c r="AG98" i="9"/>
  <c r="T98" i="9" s="1"/>
  <c r="AG62" i="9"/>
  <c r="T62" i="9" s="1"/>
  <c r="AG93" i="9"/>
  <c r="T93" i="9" s="1"/>
  <c r="AA79" i="9"/>
  <c r="H83" i="9" l="1"/>
  <c r="K11" i="10"/>
  <c r="J11" i="10"/>
  <c r="G79" i="9"/>
  <c r="F79" i="9"/>
  <c r="T79" i="9"/>
  <c r="AW33" i="9"/>
  <c r="AY33" i="9" s="1"/>
  <c r="H79" i="9" l="1"/>
  <c r="L11" i="10"/>
  <c r="K8" i="10"/>
  <c r="J8" i="10"/>
  <c r="AQ33" i="9"/>
  <c r="AS33" i="9" s="1"/>
  <c r="AE33" i="9"/>
  <c r="L8" i="10" l="1"/>
  <c r="K4" i="10"/>
  <c r="J4" i="10"/>
  <c r="AG33" i="9"/>
  <c r="Y33" i="9"/>
  <c r="L4" i="10" l="1"/>
  <c r="AA33" i="9"/>
  <c r="AK33" i="9"/>
  <c r="AM33" i="9" s="1"/>
  <c r="F33" i="9" l="1"/>
  <c r="H33" i="9" s="1"/>
  <c r="G33" i="9"/>
  <c r="T33" i="9"/>
  <c r="J5" i="10" l="1"/>
  <c r="K5" i="10"/>
  <c r="K13" i="10" s="1"/>
  <c r="J13" i="10" l="1"/>
  <c r="L13" i="10" s="1"/>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8B6B9-32AE-4FAF-8DF9-F0413743696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B8CD19A-E839-4DCD-B718-9C955DA5508C}" name="WorksheetConnection_Company Tracker _ Meng Sustainability Project.xlsx!Table1" type="102" refreshedVersion="6" minRefreshableVersion="5">
    <extLst>
      <ext xmlns:x15="http://schemas.microsoft.com/office/spreadsheetml/2010/11/main" uri="{DE250136-89BD-433C-8126-D09CA5730AF9}">
        <x15:connection id="Table1">
          <x15:rangePr sourceName="_xlcn.WorksheetConnection_CompanyTracker_MengSustainabilityProject.xlsxTable11"/>
        </x15:connection>
      </ext>
    </extLst>
  </connection>
</connections>
</file>

<file path=xl/sharedStrings.xml><?xml version="1.0" encoding="utf-8"?>
<sst xmlns="http://schemas.openxmlformats.org/spreadsheetml/2006/main" count="1653" uniqueCount="517">
  <si>
    <t>N</t>
  </si>
  <si>
    <t>Y</t>
  </si>
  <si>
    <t>Communication Services</t>
  </si>
  <si>
    <t>Consumer Discretionary</t>
  </si>
  <si>
    <t>Consumer Staples</t>
  </si>
  <si>
    <t>Energy</t>
  </si>
  <si>
    <t>Financial Services</t>
  </si>
  <si>
    <t>Healthcare</t>
  </si>
  <si>
    <t>Industrials</t>
  </si>
  <si>
    <t>Materials</t>
  </si>
  <si>
    <t>Real Estate</t>
  </si>
  <si>
    <t>Technology</t>
  </si>
  <si>
    <t>Utilities</t>
  </si>
  <si>
    <t>2019 Net Scope 1 + 2 Emissions</t>
  </si>
  <si>
    <t>2018 Net Scope 1 + 2 Emissions</t>
  </si>
  <si>
    <t>2017 Net Scope 1 + 2 Emissions</t>
  </si>
  <si>
    <t>2016 Net Scope 1 + 2 Emissions</t>
  </si>
  <si>
    <t>Company Name</t>
  </si>
  <si>
    <t>Sector</t>
  </si>
  <si>
    <t>Industry</t>
  </si>
  <si>
    <t>Size (2019 Revenue)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</si>
  <si>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</si>
  <si>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</si>
  <si>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</si>
  <si>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</si>
  <si>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</si>
  <si>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</si>
  <si>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</si>
  <si>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</si>
  <si>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</si>
  <si>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</si>
  <si>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</si>
  <si>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2019 Scope 1 (MeT Co2)</t>
  </si>
  <si>
    <t xml:space="preserve">2019 Scope 2 </t>
  </si>
  <si>
    <t>2019 Offsets Purchased</t>
  </si>
  <si>
    <t xml:space="preserve">2019 Scope 3 </t>
  </si>
  <si>
    <t>2019 Total Scope 1, 2 + 3</t>
  </si>
  <si>
    <t>2018 Scope 1</t>
  </si>
  <si>
    <t>2018 Scope 2</t>
  </si>
  <si>
    <t>2018 Offsets Purchased</t>
  </si>
  <si>
    <t>2018 Scope 3</t>
  </si>
  <si>
    <t>2018 Total Scope 1, 2 + Scope 3</t>
  </si>
  <si>
    <t>2017 Scope 1</t>
  </si>
  <si>
    <t>2017 Scope 2</t>
  </si>
  <si>
    <t>2017 Offsets Purchased</t>
  </si>
  <si>
    <t>2017 Scope 3</t>
  </si>
  <si>
    <t>2017 Total Scope 1, 2 + 3</t>
  </si>
  <si>
    <t>2016 Scope 1</t>
  </si>
  <si>
    <t>2016 Scope 2</t>
  </si>
  <si>
    <t>2016 Offsets Purchased</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</si>
  <si>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</si>
  <si>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</si>
  <si>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</si>
  <si>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</si>
  <si>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</si>
  <si>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</si>
  <si>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</si>
  <si>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</si>
  <si>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</si>
  <si>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</si>
  <si>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</si>
  <si>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</si>
  <si>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3M</t>
  </si>
  <si>
    <t>Specialty Industrials</t>
  </si>
  <si>
    <t>-Policy engagement through lobbying and employee PAC specific to climate change and energy conservation</t>
  </si>
  <si>
    <t>Abbott Laboratories</t>
  </si>
  <si>
    <t>Medical Devices</t>
  </si>
  <si>
    <t>- 40% reduction from base year (2010- 1237)</t>
  </si>
  <si>
    <t>AbbVie Inc.</t>
  </si>
  <si>
    <t>Drug Manufacturers</t>
  </si>
  <si>
    <t>- 50% RE in 2025
'- 50% GHG reduction by 2035 from 2015 baseline</t>
  </si>
  <si>
    <t>Accenture</t>
  </si>
  <si>
    <t>Information Technology Services</t>
  </si>
  <si>
    <t>Adobe Inc.</t>
  </si>
  <si>
    <t>Software</t>
  </si>
  <si>
    <t>Allstate Corp</t>
  </si>
  <si>
    <t>Insurance</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</si>
  <si>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</si>
  <si>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Alphabet Inc. / Google</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</si>
  <si>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</si>
  <si>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</si>
  <si>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Altria Group Inc</t>
  </si>
  <si>
    <t>Tobacco</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</si>
  <si>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</si>
  <si>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Amazon.com Inc.</t>
  </si>
  <si>
    <t>Retail</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</si>
  <si>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</si>
  <si>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</si>
  <si>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American Express</t>
  </si>
  <si>
    <t>Credit Services</t>
  </si>
  <si>
    <t>- No initiatives worth mentioning- just nonspecific "investments" and "frameworks" for clients</t>
  </si>
  <si>
    <t>American Tower</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</si>
  <si>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</si>
  <si>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Amgen Inc.</t>
  </si>
  <si>
    <t>-10% reduction in scope 1 emissions from base year (2012) by 2020- 119968
-20% reduction in scope 2 emissions form base year - 286679</t>
  </si>
  <si>
    <t>Apple Inc.</t>
  </si>
  <si>
    <t>Electronics</t>
  </si>
  <si>
    <t>https://www.apple.com/environment/pdf/Apple_Environmental_Responsibility_Report_2019.pdf</t>
  </si>
  <si>
    <t>AT&amp;T Inc.</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</si>
  <si>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</si>
  <si>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</si>
  <si>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</si>
  <si>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Bank of America</t>
  </si>
  <si>
    <t>Banks</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</si>
  <si>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</si>
  <si>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</si>
  <si>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Berkshire Hathaway Inc.</t>
  </si>
  <si>
    <t>Biogen Inc.</t>
  </si>
  <si>
    <t>BlackRock Inc.</t>
  </si>
  <si>
    <t>Asset Management</t>
  </si>
  <si>
    <t>Target to reduce emissions per employee by 45% by 2020, reduced 33% as of 2018</t>
  </si>
  <si>
    <t>Boeing</t>
  </si>
  <si>
    <t>Aerospace </t>
  </si>
  <si>
    <t>Booking Holdings Inc.</t>
  </si>
  <si>
    <t>Hospitality</t>
  </si>
  <si>
    <t>Bristol Myers Squibb</t>
  </si>
  <si>
    <t>-5% (absolute) or greater reduction of water and
greenhouse gas (GHG) emissions from
2015 baseline.</t>
  </si>
  <si>
    <t>Capital One Financial</t>
  </si>
  <si>
    <t>- Green energy offsets, not emissions offsets</t>
  </si>
  <si>
    <t>https://ir-capitalone.gcs-web.com/news-releases/news-release-details/capital-one-reports-fourth-quarter-2019-net-income-12-billion-or</t>
  </si>
  <si>
    <t>Caterpillar Inc.</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</si>
  <si>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</si>
  <si>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</si>
  <si>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Charter Communications Inc.</t>
  </si>
  <si>
    <t>Entertainment</t>
  </si>
  <si>
    <t>Chevron</t>
  </si>
  <si>
    <t>Oil and Gas</t>
  </si>
  <si>
    <t>-Significant player in trade associations that influence policy</t>
  </si>
  <si>
    <t>Cisco Systems</t>
  </si>
  <si>
    <t>-Goal: Reduce total Cisco Scope 1 and 2 GHG
emissions worldwide by 60 percent absolute by
FY22 (FY07 baseline)
- Use electricity from renewable sources for 85% of electricity by FY22 (KPI tracked not clear/available)
-Date announced 2017</t>
  </si>
  <si>
    <t>Citigroup Inc.</t>
  </si>
  <si>
    <t>-Use policy arm to champion climate-poistive acitivies more broadly</t>
  </si>
  <si>
    <t>Coca-Cola</t>
  </si>
  <si>
    <t>Food &amp; Beverage</t>
  </si>
  <si>
    <t>-And this goal has proven a worthy ambition as we
managed to cut our carbon footprint by 24%
toward our target of a 25% reduction by the
end of 2020, against a 2010 baseline.
-Targets include plastic recycling</t>
  </si>
  <si>
    <t>Colgate-Palmolive</t>
  </si>
  <si>
    <t>Household &amp; Personal Products</t>
  </si>
  <si>
    <t>-Purhcase of renewable energy certificates/ offsets
-Currently at 28% renewable energy</t>
  </si>
  <si>
    <t>Comcast</t>
  </si>
  <si>
    <t>ConocoPhillips</t>
  </si>
  <si>
    <t>-Work with Climate leadership council and API climate working group to develop and implement US carbon tax design
- report includes ESG ratings from Sustainalytics, DJSI, Bloomberg, MSCI, and CDP</t>
  </si>
  <si>
    <t>Costco</t>
  </si>
  <si>
    <t xml:space="preserve">-Vague </t>
  </si>
  <si>
    <t>CVS Health</t>
  </si>
  <si>
    <t>- Reduce aboslute scope 1 and 2 GHG by 36% from 2010 base by 2030</t>
  </si>
  <si>
    <t>Danaher</t>
  </si>
  <si>
    <t>Diagnostics</t>
  </si>
  <si>
    <t>Dow Inc.</t>
  </si>
  <si>
    <t>Chemicals</t>
  </si>
  <si>
    <t xml:space="preserve">-Incorporate carbon pricing into business planning and prioritizing capital projects
-Maintain scope 1 &amp;2 emissions below 2006 baseline (42.6 Million tonnes)
- Advocating for a circular economy
-Participate in world economic forum low carbon tech   </t>
  </si>
  <si>
    <t>Duke Energy</t>
  </si>
  <si>
    <t>- Enables participants of RE100 by providing RE sources
- 50% CO2 emissions by 2030
- Reports include methane and SF6 emissions in CO2 equivalents</t>
  </si>
  <si>
    <t>DuPont</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</si>
  <si>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</si>
  <si>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Eli Lilly</t>
  </si>
  <si>
    <t>- goals are vague but progress is being measured and communicated</t>
  </si>
  <si>
    <t>Emerson Electric</t>
  </si>
  <si>
    <t>- Developed a universal integrated resouce efficiency metric based on thermodynamics to help policymakers measure efficiency raw materials/energy are used in production of product or service</t>
  </si>
  <si>
    <t>Exelon</t>
  </si>
  <si>
    <t>-Policy engagement through trade associations like American Gas association, Energy Storage Association</t>
  </si>
  <si>
    <t>Exxon Mobil</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</si>
  <si>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</si>
  <si>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Facebook, Inc.</t>
  </si>
  <si>
    <t>-Policy engagement through coalitions like "We are Still In" and "Greenpeace's Clicking clean Initiative"
-No offset or Scope 3 data available- data difficult to find</t>
  </si>
  <si>
    <t>FedEx</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</si>
  <si>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</si>
  <si>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</si>
  <si>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Ford Motor Company</t>
  </si>
  <si>
    <t>Automotive</t>
  </si>
  <si>
    <t xml:space="preserve">Y </t>
  </si>
  <si>
    <t>-- working with California on Clean Car standards starting in 2019</t>
  </si>
  <si>
    <t>General Dynamics</t>
  </si>
  <si>
    <t xml:space="preserve">- No clear informationon goals or emissions data available </t>
  </si>
  <si>
    <t>General Electric</t>
  </si>
  <si>
    <t>General Motors</t>
  </si>
  <si>
    <t>Gilead Sciences Inc.</t>
  </si>
  <si>
    <t>-Practicing green chemistry principles
- No policy arm specific to climate change/ carbon neutrality</t>
  </si>
  <si>
    <t>Goldman Sachs Group</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</si>
  <si>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</si>
  <si>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</si>
  <si>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Home Depot</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</si>
  <si>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</si>
  <si>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</si>
  <si>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</si>
  <si>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Honeywell Inc.</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</si>
  <si>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</si>
  <si>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</si>
  <si>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</si>
  <si>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IBM Corp.</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</si>
  <si>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</si>
  <si>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</si>
  <si>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</si>
  <si>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</si>
  <si>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Intel Corp.</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</si>
  <si>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</si>
  <si>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</si>
  <si>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</si>
  <si>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Johnson &amp; Johnson</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</si>
  <si>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</si>
  <si>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</si>
  <si>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</si>
  <si>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JPMorgan Chase &amp; Co.</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</si>
  <si>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</si>
  <si>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</si>
  <si>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Kinder Morgan Inc.</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</si>
  <si>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</si>
  <si>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</si>
  <si>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</si>
  <si>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Kraft Heinz Co</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</si>
  <si>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</si>
  <si>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</si>
  <si>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Lockheed Martin Corp.</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</si>
  <si>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</si>
  <si>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</si>
  <si>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</si>
  <si>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</si>
  <si>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</si>
  <si>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Lowe's Companies, Inc.</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</si>
  <si>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</si>
  <si>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</si>
  <si>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</si>
  <si>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MasterCard Inc.</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</si>
  <si>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</si>
  <si>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</si>
  <si>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</si>
  <si>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</si>
  <si>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McDonald's Corp.</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</si>
  <si>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</si>
  <si>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</si>
  <si>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</si>
  <si>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</si>
  <si>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Medtronic</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</si>
  <si>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</si>
  <si>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</si>
  <si>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</si>
  <si>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Merck &amp; Co.</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</si>
  <si>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</si>
  <si>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</si>
  <si>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</si>
  <si>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</si>
  <si>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MetLife Inc.</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</si>
  <si>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</si>
  <si>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</si>
  <si>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</si>
  <si>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Microsoft Corp.</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</si>
  <si>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</si>
  <si>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</si>
  <si>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Mondelez International</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</si>
  <si>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</si>
  <si>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</si>
  <si>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</si>
  <si>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</si>
  <si>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Morgan Stanley</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</si>
  <si>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</si>
  <si>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</si>
  <si>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Netflix Inc.</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</si>
  <si>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</si>
  <si>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</si>
  <si>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Inc.</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</si>
  <si>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</si>
  <si>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Nike Inc.</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</si>
  <si>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</si>
  <si>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</si>
  <si>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</si>
  <si>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</si>
  <si>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</si>
  <si>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Nvidia</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</si>
  <si>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</si>
  <si>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</si>
  <si>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</si>
  <si>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</si>
  <si>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Occidental Petroleum</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</si>
  <si>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</si>
  <si>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</si>
  <si>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</si>
  <si>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</si>
  <si>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Oracle</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</si>
  <si>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</si>
  <si>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</si>
  <si>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</si>
  <si>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PayPal</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</si>
  <si>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</si>
  <si>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</si>
  <si>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</si>
  <si>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</si>
  <si>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PepsiCo Inc.</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</si>
  <si>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</si>
  <si>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</si>
  <si>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</si>
  <si>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Pfizer Inc.</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</si>
  <si>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</si>
  <si>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</si>
  <si>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</si>
  <si>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Philip Morris International</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</si>
  <si>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</si>
  <si>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</si>
  <si>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</si>
  <si>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Procter &amp; Gamble</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</si>
  <si>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</si>
  <si>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</si>
  <si>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</si>
  <si>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</si>
  <si>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QUALCOMM Inc.</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</si>
  <si>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</si>
  <si>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</si>
  <si>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</si>
  <si>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Raytheon Technologies</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</si>
  <si>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</si>
  <si>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</si>
  <si>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</si>
  <si>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</si>
  <si>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Salesforce</t>
  </si>
  <si>
    <t>Reduce absolute Scope 1 and Scope 2 emissions by 50% from 2018 to 2030, and reduce Scope 3 emissions from fuel and energy related activities by 50% from 2018 to 2030</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</si>
  <si>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</si>
  <si>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Schlumberger Ltd.</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</si>
  <si>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</si>
  <si>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</si>
  <si>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Simon Property Group Inc.</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</si>
  <si>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</si>
  <si>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</si>
  <si>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</si>
  <si>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Southern Company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</si>
  <si>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</si>
  <si>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</si>
  <si>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Starbucks Corp.</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</si>
  <si>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</si>
  <si>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</si>
  <si>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</si>
  <si>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</si>
  <si>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Target Corp.</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</si>
  <si>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</si>
  <si>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</si>
  <si>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</si>
  <si>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</si>
  <si>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Texas Instruments</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</si>
  <si>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</si>
  <si>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</si>
  <si>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</si>
  <si>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The Bank of New York Mellon</t>
  </si>
  <si>
    <t>-Reduce GHG emissions by 20% by 2025 from a 2018 base year
- maintain carbon neutrality commitment through 2025
-Offsets purchased for Scope 3 emissions
-Purchase of Renewable energy certifcates to offset non-renewable energy use</t>
  </si>
  <si>
    <t>The Walt Disney Company</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</si>
  <si>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</si>
  <si>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</si>
  <si>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</si>
  <si>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Thermo Fisher Scientific</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</si>
  <si>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</si>
  <si>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</si>
  <si>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Union Pacific Corp</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</si>
  <si>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</si>
  <si>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</si>
  <si>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</si>
  <si>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United Health Group</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</si>
  <si>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</si>
  <si>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</si>
  <si>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</si>
  <si>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</si>
  <si>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United Parcel Service</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</si>
  <si>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</si>
  <si>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</si>
  <si>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</si>
  <si>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</si>
  <si>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US Bancorp</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</si>
  <si>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</si>
  <si>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</si>
  <si>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</si>
  <si>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</si>
  <si>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Verizon Communications</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</si>
  <si>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</si>
  <si>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</si>
  <si>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</si>
  <si>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</si>
  <si>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Visa Inc.</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</si>
  <si>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</si>
  <si>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</si>
  <si>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</si>
  <si>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Walgreens Boots Alliance</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</si>
  <si>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</si>
  <si>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</si>
  <si>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</si>
  <si>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Walmart</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</si>
  <si>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</si>
  <si>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</si>
  <si>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</si>
  <si>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</si>
  <si>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</si>
  <si>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Wells Fargo</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</si>
  <si>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</si>
  <si>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</si>
  <si>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</si>
  <si>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</si>
  <si>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AIG</t>
  </si>
  <si>
    <t>CVS</t>
  </si>
  <si>
    <t>GE</t>
  </si>
  <si>
    <t>GM</t>
  </si>
  <si>
    <t>UPS</t>
  </si>
  <si>
    <t>Berkshire Hathaway</t>
  </si>
  <si>
    <t>BlackRock</t>
  </si>
  <si>
    <t>Charter Communications</t>
  </si>
  <si>
    <t>Gilead Sciences</t>
  </si>
  <si>
    <t>Kinder Morgan</t>
  </si>
  <si>
    <t>Nike</t>
  </si>
  <si>
    <t>NR</t>
  </si>
  <si>
    <t>Apple</t>
  </si>
  <si>
    <t>Facebook</t>
  </si>
  <si>
    <t>AT&amp;T</t>
  </si>
  <si>
    <t>PepsiCo</t>
  </si>
  <si>
    <t>Starbucks</t>
  </si>
  <si>
    <t>Cisco</t>
  </si>
  <si>
    <t>Amazon</t>
  </si>
  <si>
    <t>- Carbon neutral targets not company wide, only for wind, solar division operations. Now targeting carbon neutrality for all operations
- Engaged in policy, but vague on how or through what channels</t>
  </si>
  <si>
    <t>- Scope 2 emissions are location-based for 2017 and 2016 because market-based data was not provided</t>
  </si>
  <si>
    <t>- All Scope 2 figures are location-based because market-based data was not provided</t>
  </si>
  <si>
    <t>- Scope 3 only includes business travel for 2016 and 2015</t>
  </si>
  <si>
    <t>-reduce scope 1 and 2 emissions 65% by 2025 from our 2016 baseline (20% of total emissions 1257636). To date, we have cut these emissions by more than 19%.
- Currently at 26% RE</t>
  </si>
  <si>
    <t>American International Group (AIG)</t>
  </si>
  <si>
    <t>- Scope 1 is omitted for 2015-2018 because the figures were reported for UK operations only</t>
  </si>
  <si>
    <t>Per third source, BofA does not calculate the Scope 3 emissions of its investments, which is a notable omission of their culpability in bankrolling the fossil fuel industry
"Carbon neutral" refers to their Scope 1 and 2 emissions</t>
  </si>
  <si>
    <t>Scope 3 includes business travel only</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</si>
  <si>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</si>
  <si>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emissions are non-exhaustive</t>
  </si>
  <si>
    <t>Majority of Scope 3 emissions come from 'use of sold products'</t>
  </si>
  <si>
    <t>Calculates Scope 3 emissions from investments in select years</t>
  </si>
  <si>
    <t>-Vague infomration about sustainability targets around renewables use and fleet emissions. No scope 1/2/3 information available or SBT</t>
  </si>
  <si>
    <t>- Net Zero includes Scopes 1 and 2</t>
  </si>
  <si>
    <t>- Country specific targets, not global effort for carbon neutrality
- Reports GHG emissions for Scope 1 and 2 but normalized by sales figures. Does not report absolute emissions</t>
  </si>
  <si>
    <t>- Scope 2 emissions are location-based</t>
  </si>
  <si>
    <t>- Scope 3 emissions are non-exhaustive</t>
  </si>
  <si>
    <t>Scope 3 is non-exhaustive</t>
  </si>
  <si>
    <t>Scope 3 is non-exhaustive
Scope 2 is location-based</t>
  </si>
  <si>
    <t>Seems like somewhat of a laggard in terms of carbon reduction (not very ambitious goals or initiatives) but CDP has them on their A list (maybe that's just for their diclosure)
Scope 2 is location-based</t>
  </si>
  <si>
    <t>Scope 3 non-exhaustive</t>
  </si>
  <si>
    <t>2018 Scope 1 + 2 were not measured so 2019 data was used as a proxy</t>
  </si>
  <si>
    <t>- http://www.nexteraenergy.com/sustainability/overview/about-this-report/by-the-numbers.html</t>
  </si>
  <si>
    <t>Used CO2e multipliers to convert CO2 and NO2 metrics into total CO2e</t>
  </si>
  <si>
    <t>Net zero as of FY18 through carbon offsets (including Scope 3)
Scope 3 only includes business travel and employee commuting</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</si>
  <si>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</si>
  <si>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</si>
  <si>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Shorthand Company Name</t>
  </si>
  <si>
    <t>Netflix</t>
  </si>
  <si>
    <t>Nextera Energy</t>
  </si>
  <si>
    <t>Dow</t>
  </si>
  <si>
    <t>Union Pacific</t>
  </si>
  <si>
    <t>Verizon</t>
  </si>
  <si>
    <t>Intel</t>
  </si>
  <si>
    <t>Target</t>
  </si>
  <si>
    <t>Schlumberger</t>
  </si>
  <si>
    <t>Honeywell</t>
  </si>
  <si>
    <t>Caterpillar</t>
  </si>
  <si>
    <t>Mondelez</t>
  </si>
  <si>
    <t>Raytheon</t>
  </si>
  <si>
    <t>Kraft Heinz</t>
  </si>
  <si>
    <t>Pfizer</t>
  </si>
  <si>
    <t>Thermo Fisher</t>
  </si>
  <si>
    <t>Citigroup</t>
  </si>
  <si>
    <t>AbbVie</t>
  </si>
  <si>
    <t>Philip Morris</t>
  </si>
  <si>
    <t>Amgen</t>
  </si>
  <si>
    <t>Simon Property Group</t>
  </si>
  <si>
    <t>QUALCOMM</t>
  </si>
  <si>
    <t>Allstate</t>
  </si>
  <si>
    <t>Biogen</t>
  </si>
  <si>
    <t>Booking Holdings</t>
  </si>
  <si>
    <t>Visa</t>
  </si>
  <si>
    <t>Adobe</t>
  </si>
  <si>
    <t>Goldman Sachs</t>
  </si>
  <si>
    <t>MetLife</t>
  </si>
  <si>
    <t>Capital One</t>
  </si>
  <si>
    <t>MasterCard</t>
  </si>
  <si>
    <t xml:space="preserve">Microsoft </t>
  </si>
  <si>
    <t xml:space="preserve">Merck </t>
  </si>
  <si>
    <t xml:space="preserve">IBM </t>
  </si>
  <si>
    <t xml:space="preserve">Lockheed Martin </t>
  </si>
  <si>
    <t xml:space="preserve">JPMorgan Chase </t>
  </si>
  <si>
    <t xml:space="preserve">McDonald's </t>
  </si>
  <si>
    <t>Altria</t>
  </si>
  <si>
    <t>Ford</t>
  </si>
  <si>
    <t>Lowe's</t>
  </si>
  <si>
    <t>Coca Cola</t>
  </si>
  <si>
    <t>P&amp;G</t>
  </si>
  <si>
    <t>Walgreens</t>
  </si>
  <si>
    <t>Disney</t>
  </si>
  <si>
    <t>J&amp;J</t>
  </si>
  <si>
    <t>Alphabet / Google</t>
  </si>
  <si>
    <t>Bank of New York Mellon</t>
  </si>
  <si>
    <t>*Data as of October 2020</t>
  </si>
  <si>
    <t>Row Labels</t>
  </si>
  <si>
    <t>Grand Total</t>
  </si>
  <si>
    <t>Modifications</t>
  </si>
  <si>
    <t>No Net 0 goal found</t>
  </si>
  <si>
    <t>(All)</t>
  </si>
  <si>
    <t>Count of Company Name</t>
  </si>
  <si>
    <t>no_science_based</t>
  </si>
  <si>
    <t>science_based</t>
  </si>
  <si>
    <t>total</t>
  </si>
  <si>
    <t>net_0</t>
  </si>
  <si>
    <t>no_net_0</t>
  </si>
  <si>
    <t>re100</t>
  </si>
  <si>
    <t>no_re100</t>
  </si>
  <si>
    <t>No RE100 commitent</t>
  </si>
  <si>
    <t>Ctrl1</t>
  </si>
  <si>
    <t>Ctrl2</t>
  </si>
  <si>
    <t>no_scope3</t>
  </si>
  <si>
    <t>scope_3</t>
  </si>
  <si>
    <t>Added Adbobe scope 3 - 574034 in 2018</t>
  </si>
  <si>
    <t>Updated scope3 in 2018</t>
  </si>
  <si>
    <t>Ctrl3</t>
  </si>
  <si>
    <t>TOTAL</t>
  </si>
  <si>
    <t>Column1</t>
  </si>
  <si>
    <t>Evolution vs. LY</t>
  </si>
  <si>
    <t>Net earnings post carbon price @85/t</t>
  </si>
  <si>
    <t>Carbon costs in % revenue</t>
  </si>
  <si>
    <t>Carbon costs ($/t)</t>
  </si>
  <si>
    <t>Threshold for performance (in % revenue)</t>
  </si>
  <si>
    <t>under_perf</t>
  </si>
  <si>
    <t>over_perf</t>
  </si>
  <si>
    <t>Under_Performance</t>
  </si>
  <si>
    <t>%under_perf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</si>
</sst>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0.0%"/>
  </numFmts>
  <fonts count="10" x14ac:knownFonts="1">
    <font>
      <sz val="10"/>
      <color rgb="FF000000"/>
      <name val="Arial"/>
    </font>
    <font>
      <u/>
      <sz val="10"/>
      <color theme="10"/>
      <name val="Arial"/>
      <family val="2"/>
    </font>
    <font>
      <b/>
      <sz val="10"/>
      <color rgb="FF000000"/>
      <name val="Arial"/>
      <family val="2"/>
    </font>
    <font>
      <sz val="10"/>
      <color rgb="FF000000"/>
      <name val="Arial"/>
      <family val="2"/>
    </font>
    <font>
      <sz val="10"/>
      <color rgb="FF000000"/>
      <name val="Arial"/>
      <family val="2"/>
    </font>
    <font>
      <sz val="10"/>
      <color rgb="FFFF0000"/>
      <name val="Arial"/>
      <family val="2"/>
    </font>
    <font>
      <sz val="8"/>
      <name val="Arial"/>
      <family val="2"/>
    </font>
    <font>
      <i/>
      <sz val="10"/>
      <color rgb="FF000000"/>
      <name val="Arial"/>
      <family val="2"/>
    </font>
    <font>
      <b/>
      <sz val="10"/>
      <color theme="1"/>
      <name val="Arial"/>
      <family val="2"/>
    </font>
    <font>
      <sz val="10"/>
      <color rgb="FF000000"/>
      <name val="Arial"/>
    </font>
  </fonts>
  <fills count="10">
    <fill>
      <patternFill patternType="none"/>
    </fill>
    <fill>
      <patternFill patternType="gray125"/>
    </fill>
    <fill>
      <patternFill patternType="solid">
        <fgColor rgb="FFDDEBF7"/>
        <bgColor indexed="64"/>
      </patternFill>
    </fill>
    <fill>
      <patternFill patternType="solid">
        <fgColor rgb="FFE2EFDA"/>
        <bgColor indexed="64"/>
      </patternFill>
    </fill>
    <fill>
      <patternFill patternType="solid">
        <fgColor rgb="FFFFF2CC"/>
        <bgColor indexed="64"/>
      </patternFill>
    </fill>
    <fill>
      <patternFill patternType="solid">
        <fgColor rgb="FFD6DCE4"/>
        <bgColor indexed="64"/>
      </patternFill>
    </fill>
    <fill>
      <patternFill patternType="solid">
        <fgColor rgb="FFFCE4D6"/>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0" tint="-4.9989318521683403E-2"/>
        <bgColor indexed="64"/>
      </patternFill>
    </fill>
  </fills>
  <borders count="2">
    <border>
      <left/>
      <right/>
      <top/>
      <bottom/>
      <diagonal/>
    </border>
    <border>
      <left/>
      <right/>
      <top style="thin">
        <color theme="4" tint="0.39997558519241921"/>
      </top>
      <bottom/>
      <diagonal/>
    </border>
  </borders>
  <cellStyleXfs count="5">
    <xf numFmtId="0" fontId="0" fillId="0" borderId="0"/>
    <xf numFmtId="0" fontId="1" fillId="0" borderId="0" applyNumberFormat="0" applyFill="0" applyBorder="0" applyAlignment="0" applyProtection="0"/>
    <xf numFmtId="44" fontId="3" fillId="0" borderId="0" applyFont="0" applyFill="0" applyBorder="0" applyAlignment="0" applyProtection="0"/>
    <xf numFmtId="43" fontId="4" fillId="0" borderId="0" applyFont="0" applyFill="0" applyBorder="0" applyAlignment="0" applyProtection="0"/>
    <xf numFmtId="9" fontId="9" fillId="0" borderId="0" applyFont="0" applyFill="0" applyBorder="0" applyAlignment="0" applyProtection="0"/>
  </cellStyleXfs>
  <cellXfs count="59">
    <xf numFmtId="0" fontId="0"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Alignment="1">
      <alignment wrapText="1"/>
    </xf>
    <xf numFmtId="0" fontId="3" fillId="0" borderId="0" xfId="0" applyFont="1" applyAlignment="1"/>
    <xf numFmtId="164" fontId="0" fillId="0" borderId="0" xfId="2" applyNumberFormat="1" applyFont="1" applyAlignment="1"/>
    <xf numFmtId="3" fontId="0" fillId="0" borderId="0" xfId="0" applyNumberFormat="1" applyFont="1" applyAlignment="1">
      <alignment wrapText="1"/>
    </xf>
    <xf numFmtId="0" fontId="0" fillId="0" borderId="0" xfId="0" quotePrefix="1" applyFont="1" applyAlignment="1"/>
    <xf numFmtId="1" fontId="2" fillId="0" borderId="0" xfId="0" applyNumberFormat="1" applyFont="1" applyAlignment="1">
      <alignment wrapText="1"/>
    </xf>
    <xf numFmtId="1" fontId="0" fillId="0" borderId="0" xfId="2" applyNumberFormat="1" applyFont="1" applyAlignment="1"/>
    <xf numFmtId="1" fontId="0" fillId="0" borderId="0" xfId="0" applyNumberFormat="1" applyFont="1" applyAlignment="1"/>
    <xf numFmtId="6" fontId="0" fillId="0" borderId="0" xfId="0" applyNumberFormat="1" applyFont="1" applyAlignment="1"/>
    <xf numFmtId="165" fontId="3" fillId="0" borderId="0" xfId="3" applyNumberFormat="1" applyFont="1" applyAlignment="1">
      <alignment wrapText="1"/>
    </xf>
    <xf numFmtId="165" fontId="0" fillId="0" borderId="0" xfId="3" applyNumberFormat="1" applyFont="1" applyAlignment="1">
      <alignment wrapText="1"/>
    </xf>
    <xf numFmtId="0" fontId="3" fillId="0" borderId="0" xfId="0" quotePrefix="1" applyFont="1" applyAlignment="1">
      <alignment wrapText="1"/>
    </xf>
    <xf numFmtId="3" fontId="3" fillId="0" borderId="0" xfId="0" applyNumberFormat="1" applyFont="1" applyAlignment="1">
      <alignment wrapText="1"/>
    </xf>
    <xf numFmtId="0" fontId="3" fillId="0" borderId="0" xfId="0" quotePrefix="1" applyFont="1" applyAlignment="1"/>
    <xf numFmtId="165" fontId="0" fillId="0" borderId="0" xfId="3" applyNumberFormat="1" applyFont="1" applyAlignment="1"/>
    <xf numFmtId="0" fontId="0" fillId="0" borderId="0" xfId="0" quotePrefix="1" applyFont="1" applyAlignment="1">
      <alignment wrapText="1"/>
    </xf>
    <xf numFmtId="3" fontId="0" fillId="0" borderId="0" xfId="0" applyNumberFormat="1" applyFont="1" applyAlignment="1"/>
    <xf numFmtId="0" fontId="1" fillId="0" borderId="0" xfId="1" applyAlignment="1">
      <alignment wrapText="1"/>
    </xf>
    <xf numFmtId="0" fontId="0" fillId="0" borderId="0" xfId="0" applyFont="1" applyFill="1" applyAlignment="1"/>
    <xf numFmtId="0" fontId="5" fillId="0" borderId="0" xfId="0" applyFont="1" applyAlignment="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9" fontId="0" fillId="0" borderId="0" xfId="0" applyNumberFormat="1" applyFont="1" applyAlignment="1"/>
    <xf numFmtId="49" fontId="0" fillId="0" borderId="0" xfId="0" applyNumberFormat="1" applyFont="1" applyFill="1" applyAlignment="1"/>
    <xf numFmtId="0" fontId="3" fillId="0" borderId="0" xfId="0" applyFont="1" applyAlignment="1">
      <alignment wrapText="1"/>
    </xf>
    <xf numFmtId="164" fontId="3" fillId="0" borderId="0" xfId="2" applyNumberFormat="1" applyFont="1" applyAlignment="1"/>
    <xf numFmtId="0" fontId="3" fillId="0" borderId="0" xfId="0" applyFont="1" applyFill="1" applyAlignment="1"/>
    <xf numFmtId="49" fontId="3" fillId="0" borderId="0" xfId="0" applyNumberFormat="1" applyFont="1" applyFill="1" applyAlignment="1"/>
    <xf numFmtId="0" fontId="0" fillId="0" borderId="0" xfId="0"/>
    <xf numFmtId="0" fontId="0" fillId="0" borderId="0" xfId="0" applyAlignment="1">
      <alignment wrapText="1"/>
    </xf>
    <xf numFmtId="3" fontId="3" fillId="0" borderId="0" xfId="0" applyNumberFormat="1" applyFont="1" applyAlignment="1"/>
    <xf numFmtId="164" fontId="3" fillId="0" borderId="0" xfId="0" applyNumberFormat="1" applyFont="1" applyAlignment="1"/>
    <xf numFmtId="1" fontId="3" fillId="0" borderId="0" xfId="0" applyNumberFormat="1" applyFont="1" applyAlignment="1"/>
    <xf numFmtId="165" fontId="3" fillId="0" borderId="0" xfId="0" applyNumberFormat="1"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8" borderId="0" xfId="0" applyFont="1" applyFill="1" applyAlignment="1"/>
    <xf numFmtId="0" fontId="7" fillId="0" borderId="0" xfId="0" applyFont="1" applyAlignment="1"/>
    <xf numFmtId="0" fontId="2" fillId="0" borderId="0" xfId="0" applyFont="1" applyAlignment="1">
      <alignment vertical="top"/>
    </xf>
    <xf numFmtId="0" fontId="8" fillId="7" borderId="1" xfId="0" applyFont="1" applyFill="1" applyBorder="1" applyAlignment="1">
      <alignment horizontal="left"/>
    </xf>
    <xf numFmtId="0" fontId="8" fillId="7" borderId="1" xfId="0" applyNumberFormat="1" applyFont="1" applyFill="1" applyBorder="1" applyAlignment="1">
      <alignment horizontal="center"/>
    </xf>
    <xf numFmtId="0" fontId="0" fillId="0" borderId="0" xfId="0" applyFont="1" applyAlignment="1">
      <alignment horizontal="center"/>
    </xf>
    <xf numFmtId="0" fontId="2" fillId="9" borderId="0" xfId="0" applyFont="1" applyFill="1" applyAlignment="1"/>
    <xf numFmtId="0" fontId="2" fillId="9" borderId="0" xfId="0" applyFont="1" applyFill="1" applyAlignment="1">
      <alignment horizontal="center"/>
    </xf>
    <xf numFmtId="0" fontId="0" fillId="8" borderId="0" xfId="0" applyFont="1" applyFill="1" applyAlignment="1"/>
    <xf numFmtId="165" fontId="3" fillId="8" borderId="0" xfId="3" applyNumberFormat="1" applyFont="1" applyFill="1" applyAlignment="1">
      <alignment wrapText="1"/>
    </xf>
    <xf numFmtId="166" fontId="0" fillId="0" borderId="0" xfId="4" applyNumberFormat="1" applyFont="1" applyAlignment="1"/>
    <xf numFmtId="166" fontId="3" fillId="0" borderId="0" xfId="4" applyNumberFormat="1" applyFont="1" applyAlignment="1"/>
    <xf numFmtId="166" fontId="0" fillId="0" borderId="0" xfId="4" applyNumberFormat="1" applyFont="1" applyAlignment="1">
      <alignment wrapText="1"/>
    </xf>
    <xf numFmtId="166" fontId="0" fillId="0" borderId="0" xfId="4" applyNumberFormat="1" applyFont="1" applyAlignment="1">
      <alignment horizontal="center"/>
    </xf>
    <xf numFmtId="166" fontId="2" fillId="9" borderId="0" xfId="4" applyNumberFormat="1" applyFont="1" applyFill="1" applyAlignment="1">
      <alignment horizontal="center"/>
    </xf>
    <xf numFmtId="166" fontId="8" fillId="7" borderId="1" xfId="4" applyNumberFormat="1" applyFont="1" applyFill="1" applyBorder="1" applyAlignment="1">
      <alignment horizontal="center"/>
    </xf>
  </cellXfs>
  <cellStyles count="5">
    <cellStyle name="Comma" xfId="3" builtinId="3"/>
    <cellStyle name="Currency" xfId="2" builtinId="4"/>
    <cellStyle name="Hyperlink" xfId="1" builtinId="8"/>
    <cellStyle name="Normal" xfId="0" builtinId="0"/>
    <cellStyle name="Percent" xfId="4" builtinId="5"/>
  </cellStyles>
  <dxfs count="88">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6" formatCode="0.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ric" refreshedDate="44382.299071064816" createdVersion="6" refreshedVersion="6" minRefreshableVersion="3" recordCount="100" xr:uid="{85BF4613-5929-4556-8426-5FA106FD1780}">
  <cacheSource type="worksheet">
    <worksheetSource name="Table1"/>
  </cacheSource>
  <cacheFields count="50">
    <cacheField name="Company Name" numFmtId="0">
      <sharedItems count="100">
        <s v="3M"/>
        <s v="Abbott Laboratories"/>
        <s v="AbbVie Inc."/>
        <s v="Accenture"/>
        <s v="Adobe Inc."/>
        <s v="Allstate Corp"/>
        <s v="Alphabet Inc. / Google"/>
        <s v="Altria Group Inc"/>
        <s v="Amazon.com Inc."/>
        <s v="American Express"/>
        <s v="American International Group (AIG)"/>
        <s v="American Tower"/>
        <s v="Amgen Inc."/>
        <s v="Apple Inc."/>
        <s v="AT&amp;T Inc."/>
        <s v="Bank of America"/>
        <s v="Berkshire Hathaway Inc."/>
        <s v="Biogen Inc."/>
        <s v="BlackRock Inc."/>
        <s v="Boeing"/>
        <s v="Booking Holdings Inc."/>
        <s v="Bristol Myers Squibb"/>
        <s v="Capital One Financial"/>
        <s v="Caterpillar Inc."/>
        <s v="Charter Communications Inc."/>
        <s v="Chevron"/>
        <s v="Cisco Systems"/>
        <s v="Citigroup Inc."/>
        <s v="Coca-Cola"/>
        <s v="Colgate-Palmolive"/>
        <s v="Comcast"/>
        <s v="ConocoPhillips"/>
        <s v="Costco"/>
        <s v="CVS Health"/>
        <s v="Danaher"/>
        <s v="Dow Inc."/>
        <s v="Duke Energy"/>
        <s v="DuPont"/>
        <s v="Eli Lilly"/>
        <s v="Emerson Electric"/>
        <s v="Exelon"/>
        <s v="Exxon Mobil"/>
        <s v="Facebook, Inc."/>
        <s v="FedEx"/>
        <s v="Ford Motor Company"/>
        <s v="General Dynamics"/>
        <s v="General Electric"/>
        <s v="General Motors"/>
        <s v="Gilead Sciences Inc."/>
        <s v="Goldman Sachs Group"/>
        <s v="Home Depot"/>
        <s v="Honeywell Inc."/>
        <s v="IBM Corp."/>
        <s v="Intel Corp."/>
        <s v="Johnson &amp; Johnson"/>
        <s v="JPMorgan Chase &amp; Co."/>
        <s v="Kinder Morgan Inc."/>
        <s v="Kraft Heinz Co"/>
        <s v="Lockheed Martin Corp."/>
        <s v="Lowe's Companies, Inc."/>
        <s v="MasterCard Inc."/>
        <s v="McDonald's Corp."/>
        <s v="Medtronic"/>
        <s v="Merck &amp; Co."/>
        <s v="MetLife Inc."/>
        <s v="Microsoft Corp."/>
        <s v="Mondelez International"/>
        <s v="Morgan Stanley"/>
        <s v="Netflix Inc."/>
        <s v="Nextera Energy Inc."/>
        <s v="Nike Inc."/>
        <s v="Nvidia"/>
        <s v="Occidental Petroleum"/>
        <s v="Oracle"/>
        <s v="PayPal"/>
        <s v="PepsiCo Inc."/>
        <s v="Pfizer Inc."/>
        <s v="Philip Morris International"/>
        <s v="Procter &amp; Gamble"/>
        <s v="QUALCOMM Inc."/>
        <s v="Raytheon Technologies"/>
        <s v="Salesforce"/>
        <s v="Schlumberger Ltd."/>
        <s v="Simon Property Group Inc."/>
        <s v="Southern Company"/>
        <s v="Starbucks Corp."/>
        <s v="Target Corp."/>
        <s v="Texas Instruments"/>
        <s v="The Bank of New York Mellon"/>
        <s v="The Walt Disney Company"/>
        <s v="Thermo Fisher Scientific"/>
        <s v="Union Pacific Corp"/>
        <s v="United Health Group"/>
        <s v="United Parcel Service"/>
        <s v="US Bancorp"/>
        <s v="Verizon Communications"/>
        <s v="Visa Inc."/>
        <s v="Walgreens Boots Alliance"/>
        <s v="Walmart"/>
        <s v="Wells Fargo"/>
      </sharedItems>
    </cacheField>
    <cacheField name="Shorthand Company Name" numFmtId="0">
      <sharedItems/>
    </cacheField>
    <cacheField name="Sector" numFmtId="0">
      <sharedItems count="11">
        <s v="Industrials"/>
        <s v="Healthcare"/>
        <s v="Technology"/>
        <s v="Financial Services"/>
        <s v="Communication Services"/>
        <s v="Consumer Staples"/>
        <s v="Consumer Discretionary"/>
        <s v="Real Estate"/>
        <s v="Energy"/>
        <s v="Materials"/>
        <s v="Utilities"/>
      </sharedItems>
    </cacheField>
    <cacheField name="Industry" numFmtId="0">
      <sharedItems count="30">
        <s v="Specialty Industrials"/>
        <s v="Medical Devices"/>
        <s v="Drug Manufacturers"/>
        <s v="Information Technology Services"/>
        <s v="Software"/>
        <s v="Insurance"/>
        <s v="Internet Content"/>
        <s v="Tobacco"/>
        <s v="Retail"/>
        <s v="Credit Services"/>
        <s v="Real Estate"/>
        <s v="Electronics"/>
        <s v="Telecom Services"/>
        <s v="Banks"/>
        <s v="Asset Management"/>
        <s v="Aerospace "/>
        <s v="Hospitality"/>
        <s v="Machinery"/>
        <s v="Entertainment"/>
        <s v="Oil and Gas"/>
        <s v="Food &amp; Beverage"/>
        <s v="Household &amp; Personal Products"/>
        <s v="Diagnostics"/>
        <s v="Chemicals"/>
        <s v="Utilities"/>
        <s v="Logistics"/>
        <s v="Automotive"/>
        <s v="Industrials"/>
        <s v="Clothing"/>
        <s v="Healthcare Plans"/>
      </sharedItems>
    </cacheField>
    <cacheField name="Size (2019 Revenue)" numFmtId="0">
      <sharedItems containsSemiMixedTypes="0" containsString="0" containsNumber="1" containsInteger="1" minValue="5755000000" maxValue="524000000000"/>
    </cacheField>
    <cacheField name="Net Earnings/Income (2019)" numFmtId="0">
      <sharedItems containsSemiMixedTypes="0" containsString="0" containsNumber="1" containsInteger="1" minValue="-10137000000" maxValue="81417000000"/>
    </cacheField>
    <cacheField name="IPO Year" numFmtId="1">
      <sharedItems containsBlank="1" containsMixedTypes="1" containsNumber="1" containsInteger="1" minValue="1784" maxValue="2014"/>
    </cacheField>
    <cacheField name="S&amp;P 100? (Y/N)" numFmtId="0">
      <sharedItems count="2">
        <s v="Y"/>
        <s v="N"/>
      </sharedItems>
    </cacheField>
    <cacheField name="Carbon Neutral Goal? (Y/N)" numFmtId="0">
      <sharedItems containsBlank="1" count="3">
        <s v="N"/>
        <s v="Y"/>
        <m/>
      </sharedItems>
    </cacheField>
    <cacheField name="Science-Based Target? (Y/N)" numFmtId="0">
      <sharedItems count="2">
        <s v="N"/>
        <s v="Y"/>
      </sharedItems>
    </cacheField>
    <cacheField name="Carbon Neutral by.... (year)" numFmtId="0">
      <sharedItems containsString="0" containsBlank="1" containsNumber="1" containsInteger="1" minValue="2007" maxValue="2050"/>
    </cacheField>
    <cacheField name="Carbon Neutral Announcement (year)" numFmtId="0">
      <sharedItems containsString="0" containsBlank="1" containsNumber="1" containsInteger="1" minValue="2007" maxValue="2020"/>
    </cacheField>
    <cacheField name="Carbon Goal (if non-zero)" numFmtId="0">
      <sharedItems containsBlank="1" containsMixedTypes="1" containsNumber="1" minValue="0.5" maxValue="9150000" count="49">
        <n v="9150000"/>
        <n v="742000"/>
        <n v="334482"/>
        <n v="88000"/>
        <m/>
        <n v="4468432"/>
        <s v="N"/>
        <n v="1083243"/>
        <n v="0.5"/>
        <n v="400000"/>
        <n v="180000"/>
        <n v="4125000"/>
        <n v="525000"/>
        <n v="700000"/>
        <n v="69620"/>
        <s v="From 2018 baseline, 40% reduction by 2030 and 50% reduction by 2035"/>
        <s v="Reduce emissions by an additional 10% per dollar of revenue from 2018 levels (no target date specified)"/>
        <s v="Reduce emissions 40% from 2005 to 2025"/>
        <s v="~1,400,000 Scope 1 + 2 by 2040 (in line with IPCC Reduction Target)"/>
        <s v="Reduce Scope 1 + 2 emissions by 80% by 2050, from 2010 baseline_x000a__x000a_2010 Scope 1: 358,000_x000a_Scope 2: 898,000"/>
        <s v="35% Scope 1 + 2 reduction from 2010 to 2020 (2010 Scope 1 + 2 emissions: 1,271,358)_x000a__x000a_70% reduction in emissions per $ gross profit from 2015 to 2030"/>
        <s v="40% reduction in Scope 1 + 2 from 2016 to 2030"/>
        <s v="20% reduction in Scope 1, 2 + 3 from 2016 to 2025"/>
        <s v="36% reduction from 2015 to 2030"/>
        <s v="15% reduction in Scope 1 + 2 emissions from 2013 to 2020"/>
        <s v="40% Scope 1 + 2 reduction from 2015 to 2025"/>
        <s v="Reduce Scope 1, 2 + 3 emissions by 10% from 2018 to 2025"/>
        <s v="25% Scope 1 + 2 reduction from 2015 to 2020 in key operations"/>
        <s v="A 15 percent greenhouse gas reduction—normalized per employee—by FY20 from baseline year FY14"/>
        <s v="Planning to set 2030 GHG intensity targets later in 2020"/>
        <s v="26% reduction in Scope 1 + 2 from 2015 to 2025 (from 370,414 to 340,041 MTCO2e)_x000a__x000a_65% reduction by 2050"/>
        <s v="Scope 1 &amp; 2: Reduce absolute GHG emissions by at least 20% by 2030 from 2015 baseline"/>
        <s v="20% GHG reduction from 2012 to 2020; 60-80% (75%) reduction from 2000 to 2050_x000a__x000a_2012 Scope 1 + 2: 2,131,885_x000a__x000a_2000 Scope 1 + 2: 3,597,487"/>
        <s v="From 2010 baseline, 30% reduction by 2020, 40% reduction by 2030, and 60% reduction by 2040_x000a__x000a_2010: Scope 1 - 443,186; Scope 2 - 470,864; Scope 3 - 7,435,000_x000a__x000a_Carbon neutral by 2030 for Scope 1 + 2 and by 2050 for Scopes 1, 2 + 3"/>
        <s v="30% Scope 1 + 2 reduction from 2010 to 2020_x000a__x000a_50% Scope 1 + 2 reduction from 2010 to 2030_x000a__x000a_2010 Scope 1 + 2: 5422275"/>
        <s v="30% reduction in Scope 1 + 2 from 2014 to 2025_x000a__x000a_2014 Scope 1 + 2: 230637"/>
        <s v="None beyond 2020 goal of reducing Scope 1 + 2 emissions by 12% from 2015 baseline"/>
        <s v="Reduce absolute Scope 1 and Scope 2 emissions by 50% from 2018 to 2030, and reduce Scope 3 emissions from fuel and energy related activities by 50% from 2018 to 2030"/>
        <s v="None stated"/>
        <s v="50% emissions reduction from 2007 to 2030 (intermediary goal on path to net zero in 2050)_x000a__x000a_2007 Scopes 1 + 2: 156650362.8"/>
        <s v="50% reduction in Scope 1, 2 + 3 from 2020 to 2030"/>
        <s v="30% reduction in Scope 1, 2 + 3 emissions from 2017 to 2030"/>
        <s v="None beyond 15% Scope 1 + 2 reduction from 2015 to 2020"/>
        <s v="By 2020, reduce net emissions by 50% compared to a 2012 baseline_x000a__x000a_2012 Scope 1 + 2: 1742927"/>
        <s v="From 2017 baseline, 3% Scope 1 + 2 reduction by 2023"/>
        <s v="From 2015 baseline, 12% reduction in Scope 1 + 2 by 2025"/>
        <s v="From 2014 baseline, 40% reduction by 2029 and 60% reduction by 2044_x000a__x000a_2014 Scope 1 + 2: 415211"/>
        <s v="18% reduction from 2015 to 2025"/>
        <s v="45% + reduction from 2008 Scope 1, 2 + business air travel emissions (2008 total: 1,953,466)"/>
      </sharedItems>
    </cacheField>
    <cacheField name="Reliance on Offsets? (Y/N)" numFmtId="0">
      <sharedItems containsBlank="1"/>
    </cacheField>
    <cacheField name="RE100 Commitment? (Y/N)" numFmtId="0">
      <sharedItems containsBlank="1"/>
    </cacheField>
    <cacheField name="100% Renewable Energy by... (year)" numFmtId="0">
      <sharedItems containsBlank="1" containsMixedTypes="1" containsNumber="1" containsInteger="1" minValue="2014" maxValue="2050"/>
    </cacheField>
    <cacheField name="2019 Scope 1 (MeT Co2)" numFmtId="0">
      <sharedItems containsMixedTypes="1" containsNumber="1" minValue="2695" maxValue="93000000"/>
    </cacheField>
    <cacheField name="2019 Scope 2 " numFmtId="0">
      <sharedItems containsMixedTypes="1" containsNumber="1" minValue="0" maxValue="11122000"/>
    </cacheField>
    <cacheField name="2019 Offsets Purchased" numFmtId="165">
      <sharedItems containsString="0" containsBlank="1" containsNumber="1" containsInteger="1" minValue="0" maxValue="1189000"/>
    </cacheField>
    <cacheField name="2019 Net Scope 1 + 2 Emissions" numFmtId="165">
      <sharedItems containsMixedTypes="1" containsNumber="1" minValue="-19958" maxValue="107082396"/>
    </cacheField>
    <cacheField name="2019 Scope 3 " numFmtId="165">
      <sharedItems containsMixedTypes="1" containsNumber="1" minValue="14605" maxValue="413000000"/>
    </cacheField>
    <cacheField name="2019 Total Scope 1, 2 + 3" numFmtId="165">
      <sharedItems containsMixedTypes="1" containsNumber="1" minValue="-5353" maxValue="470000000"/>
    </cacheField>
    <cacheField name="2018 Scope 1" numFmtId="165">
      <sharedItems containsMixedTypes="1" containsNumber="1" minValue="2370" maxValue="116000000"/>
    </cacheField>
    <cacheField name="2018 Scope 2" numFmtId="165">
      <sharedItems containsMixedTypes="1" containsNumber="1" minValue="0" maxValue="12022083"/>
    </cacheField>
    <cacheField name="2018 Offsets Purchased" numFmtId="165">
      <sharedItems containsString="0" containsBlank="1" containsNumber="1" containsInteger="1" minValue="0" maxValue="1303000"/>
    </cacheField>
    <cacheField name="2018 Net Scope 1 + 2 Emissions" numFmtId="165">
      <sharedItems containsMixedTypes="1" containsNumber="1" minValue="-463467" maxValue="124000000"/>
    </cacheField>
    <cacheField name="2018 Scope 3" numFmtId="165">
      <sharedItems containsBlank="1" containsMixedTypes="1" containsNumber="1" minValue="13264" maxValue="397000000"/>
    </cacheField>
    <cacheField name="2018 Total Scope 1, 2 + Scope 3" numFmtId="165">
      <sharedItems containsMixedTypes="1" containsNumber="1" minValue="-4300" maxValue="459000000"/>
    </cacheField>
    <cacheField name="2017 Scope 1" numFmtId="165">
      <sharedItems containsMixedTypes="1" containsNumber="1" containsInteger="1" minValue="2571" maxValue="115000000"/>
    </cacheField>
    <cacheField name="2017 Scope 2" numFmtId="165">
      <sharedItems containsMixedTypes="1" containsNumber="1" containsInteger="1" minValue="0" maxValue="8814966"/>
    </cacheField>
    <cacheField name="2017 Offsets Purchased" numFmtId="165">
      <sharedItems containsString="0" containsBlank="1" containsNumber="1" containsInteger="1" minValue="0" maxValue="1484000"/>
    </cacheField>
    <cacheField name="2017 Net Scope 1 + 2 Emissions" numFmtId="165">
      <sharedItems containsMixedTypes="1" containsNumber="1" containsInteger="1" minValue="-356063" maxValue="123000000"/>
    </cacheField>
    <cacheField name="2017 Scope 3" numFmtId="165">
      <sharedItems containsBlank="1" containsMixedTypes="1" containsNumber="1" minValue="17944" maxValue="377000000"/>
    </cacheField>
    <cacheField name="2017 Total Scope 1, 2 + 3" numFmtId="165">
      <sharedItems containsMixedTypes="1" containsNumber="1" minValue="-9543" maxValue="436000000"/>
    </cacheField>
    <cacheField name="2016 Scope 1" numFmtId="165">
      <sharedItems containsBlank="1" containsMixedTypes="1" containsNumber="1" containsInteger="1" minValue="2419" maxValue="96837200"/>
    </cacheField>
    <cacheField name="2016 Scope 2" numFmtId="165">
      <sharedItems containsBlank="1" containsMixedTypes="1" containsNumber="1" containsInteger="1" minValue="0" maxValue="9840000"/>
    </cacheField>
    <cacheField name="2016 Offsets Purchased" numFmtId="165">
      <sharedItems containsBlank="1" containsMixedTypes="1" containsNumber="1" containsInteger="1" minValue="0" maxValue="1898889"/>
    </cacheField>
    <cacheField name="2016 Net Scope 1 + 2 Emissions" numFmtId="165">
      <sharedItems containsMixedTypes="1" containsNumber="1" containsInteger="1" minValue="-314028" maxValue="125000000"/>
    </cacheField>
    <cacheField name="2016 Scope 3" numFmtId="165">
      <sharedItems containsBlank="1" containsMixedTypes="1" containsNumber="1" minValue="18603" maxValue="365000000"/>
    </cacheField>
    <cacheField name="2016 Total Scope 1, 2 + 3" numFmtId="165">
      <sharedItems containsMixedTypes="1" containsNumber="1" minValue="0" maxValue="426000000"/>
    </cacheField>
    <cacheField name="2015 Scope 1" numFmtId="165">
      <sharedItems containsBlank="1" containsMixedTypes="1" containsNumber="1" containsInteger="1" minValue="3339" maxValue="100238000"/>
    </cacheField>
    <cacheField name="2015 Scope 2" numFmtId="165">
      <sharedItems containsBlank="1" containsMixedTypes="1" containsNumber="1" minValue="0" maxValue="9710000"/>
    </cacheField>
    <cacheField name="2015 Offsets Purchased" numFmtId="165">
      <sharedItems containsBlank="1" containsMixedTypes="1" containsNumber="1" containsInteger="1" minValue="0" maxValue="2686101"/>
    </cacheField>
    <cacheField name="2015 Net Scope 1 + 2 Emissions" numFmtId="165">
      <sharedItems containsMixedTypes="1" containsNumber="1" containsInteger="1" minValue="-1234683" maxValue="122000000"/>
    </cacheField>
    <cacheField name="2015 Scope 3" numFmtId="165">
      <sharedItems containsBlank="1" containsMixedTypes="1" containsNumber="1" minValue="17345" maxValue="367000000"/>
    </cacheField>
    <cacheField name="2015 Total Scope 1, 2 + 3" numFmtId="165">
      <sharedItems containsMixedTypes="1" containsNumber="1" minValue="0" maxValue="428000000"/>
    </cacheField>
    <cacheField name="Policy Arm?" numFmtId="0">
      <sharedItems containsBlank="1"/>
    </cacheField>
    <cacheField name="Initiatives for Carbon Neutrality" numFmtId="0">
      <sharedItems containsBlank="1" longText="1"/>
    </cacheField>
    <cacheField name="Notes" numFmtId="0">
      <sharedItems containsBlank="1"/>
    </cacheField>
    <cacheField name="Sourc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3M"/>
    <x v="0"/>
    <x v="0"/>
    <n v="32136000000"/>
    <n v="4570000000"/>
    <n v="1978"/>
    <x v="0"/>
    <x v="0"/>
    <x v="0"/>
    <m/>
    <m/>
    <x v="0"/>
    <s v="N"/>
    <s v="Y"/>
    <n v="2050"/>
    <n v="4050000"/>
    <n v="1320000"/>
    <m/>
    <n v="5370000"/>
    <n v="8920000"/>
    <n v="14290000"/>
    <n v="4790000"/>
    <n v="1480000"/>
    <m/>
    <n v="6270000"/>
    <n v="9530000"/>
    <n v="15800000"/>
    <n v="3960000"/>
    <n v="1650000"/>
    <m/>
    <n v="5610000"/>
    <n v="9280000"/>
    <n v="14890000"/>
    <n v="4140000"/>
    <n v="1780000"/>
    <m/>
    <n v="5920000"/>
    <n v="9420000"/>
    <n v="15340000"/>
    <n v="3770000"/>
    <n v="1930000"/>
    <m/>
    <n v="5700000"/>
    <n v="9503800"/>
    <n v="15203800"/>
    <s v="Y"/>
    <s v="-Policy engagement through lobbying and employee PAC specific to climate change and energy conservation"/>
    <m/>
    <m/>
  </r>
  <r>
    <x v="1"/>
    <s v="Abbott Laboratories"/>
    <x v="1"/>
    <x v="1"/>
    <n v="31904000000"/>
    <n v="3687000000"/>
    <n v="1929"/>
    <x v="0"/>
    <x v="0"/>
    <x v="0"/>
    <m/>
    <m/>
    <x v="1"/>
    <s v="N"/>
    <s v="N"/>
    <s v="N"/>
    <n v="533000"/>
    <n v="439000"/>
    <m/>
    <n v="972000"/>
    <n v="14363000"/>
    <n v="15335000"/>
    <n v="525000"/>
    <n v="506000"/>
    <m/>
    <n v="1031000"/>
    <n v="13678000"/>
    <n v="14709000"/>
    <n v="526000"/>
    <n v="506000"/>
    <m/>
    <n v="1032000"/>
    <n v="13710000"/>
    <n v="14742000"/>
    <n v="516000"/>
    <n v="544000"/>
    <m/>
    <n v="1060000"/>
    <n v="14082000"/>
    <n v="15142000"/>
    <s v="NR"/>
    <s v="NR"/>
    <m/>
    <s v=""/>
    <s v="NR"/>
    <s v=""/>
    <s v="N"/>
    <s v="- 40% reduction from base year (2010- 1237)"/>
    <m/>
    <m/>
  </r>
  <r>
    <x v="2"/>
    <s v="AbbVie"/>
    <x v="1"/>
    <x v="2"/>
    <n v="33266000000"/>
    <n v="5697000000"/>
    <n v="2013"/>
    <x v="0"/>
    <x v="0"/>
    <x v="0"/>
    <m/>
    <m/>
    <x v="2"/>
    <s v="N"/>
    <s v="Y"/>
    <n v="2035"/>
    <n v="314421"/>
    <n v="249777"/>
    <m/>
    <n v="564198"/>
    <n v="1334209"/>
    <n v="1898407"/>
    <n v="311000"/>
    <n v="271000"/>
    <m/>
    <n v="582000"/>
    <n v="1048565"/>
    <n v="1630565"/>
    <n v="299000"/>
    <n v="284000"/>
    <m/>
    <n v="583000"/>
    <n v="1012988"/>
    <n v="1595988"/>
    <n v="297395"/>
    <n v="319692"/>
    <m/>
    <n v="617087"/>
    <n v="909243"/>
    <n v="1526330"/>
    <n v="318216"/>
    <n v="347250"/>
    <m/>
    <n v="665466"/>
    <n v="844029"/>
    <n v="1509495"/>
    <s v="N"/>
    <s v="- 50% RE in 2025_x000a_'- 50% GHG reduction by 2035 from 2015 baseline"/>
    <m/>
    <m/>
  </r>
  <r>
    <x v="3"/>
    <s v="Accenture"/>
    <x v="2"/>
    <x v="3"/>
    <n v="43200000000"/>
    <n v="4780000000"/>
    <n v="2001"/>
    <x v="0"/>
    <x v="0"/>
    <x v="1"/>
    <m/>
    <m/>
    <x v="3"/>
    <s v="N"/>
    <s v="Y"/>
    <n v="2023"/>
    <n v="18923"/>
    <n v="214680"/>
    <m/>
    <n v="233603"/>
    <n v="932653"/>
    <n v="1166256"/>
    <n v="22183"/>
    <n v="218855"/>
    <m/>
    <n v="241038"/>
    <n v="948756"/>
    <n v="1189794"/>
    <n v="24095"/>
    <n v="243773"/>
    <m/>
    <n v="267868"/>
    <n v="974176"/>
    <n v="1242044"/>
    <n v="27203"/>
    <n v="263050"/>
    <m/>
    <n v="290253"/>
    <n v="506841"/>
    <n v="797094"/>
    <n v="26290"/>
    <n v="237239"/>
    <m/>
    <n v="263529"/>
    <n v="449240"/>
    <n v="712769"/>
    <s v="N"/>
    <s v="-reduce scope 1 and 2 emissions 65% by 2025 from our 2016 baseline (20% of total emissions 1257636). To date, we have cut these emissions by more than 19%._x000a_- Currently at 26% RE"/>
    <s v="- Scope 3 only includes business travel for 2016 and 2015"/>
    <m/>
  </r>
  <r>
    <x v="4"/>
    <s v="Adobe"/>
    <x v="2"/>
    <x v="4"/>
    <n v="11171000000"/>
    <n v="2951000000"/>
    <n v="1986"/>
    <x v="0"/>
    <x v="0"/>
    <x v="1"/>
    <m/>
    <m/>
    <x v="4"/>
    <s v="N"/>
    <s v="Y"/>
    <n v="2035"/>
    <n v="11816"/>
    <n v="43526"/>
    <m/>
    <n v="55342"/>
    <n v="543411.87"/>
    <n v="598753.87"/>
    <n v="12119"/>
    <n v="47871"/>
    <m/>
    <n v="59990"/>
    <m/>
    <n v="59990"/>
    <n v="12119"/>
    <n v="58874"/>
    <m/>
    <n v="70993"/>
    <n v="96052.51999999999"/>
    <n v="167045.51999999999"/>
    <n v="11082"/>
    <n v="58474"/>
    <m/>
    <n v="69556"/>
    <m/>
    <n v="69556"/>
    <s v="NR"/>
    <s v="NR"/>
    <m/>
    <s v=""/>
    <s v="NR"/>
    <s v=""/>
    <s v="N"/>
    <m/>
    <m/>
    <m/>
  </r>
  <r>
    <x v="5"/>
    <s v="Allstate"/>
    <x v="3"/>
    <x v="5"/>
    <n v="44675000000"/>
    <n v="4847000000"/>
    <n v="1993"/>
    <x v="0"/>
    <x v="0"/>
    <x v="0"/>
    <m/>
    <m/>
    <x v="4"/>
    <s v="N"/>
    <s v="N"/>
    <s v="N"/>
    <n v="39230"/>
    <n v="74230"/>
    <m/>
    <n v="113460"/>
    <n v="37589"/>
    <n v="151049"/>
    <n v="45966"/>
    <n v="83887"/>
    <m/>
    <n v="129853"/>
    <n v="13264"/>
    <n v="143117"/>
    <n v="53818"/>
    <n v="91209"/>
    <m/>
    <n v="145027"/>
    <n v="20119"/>
    <n v="165146"/>
    <n v="56521"/>
    <n v="104350"/>
    <m/>
    <n v="160871"/>
    <n v="19089"/>
    <n v="179960"/>
    <n v="55709"/>
    <n v="111825"/>
    <m/>
    <n v="167534"/>
    <n v="17345"/>
    <n v="184879"/>
    <s v="N"/>
    <s v="-location based scope 2 only_x000a_-In 2010, Allstate set a goal to achieve a 20% absolute_x000a_energy-use reduction within our owned portfolio (approximately_x000a_39% of all locations at the time) against our 2007 baseline by_x000a_2020. Thanks to efforts across the enterprise, we surpassed that_x000a_2020 goal in 2014."/>
    <m/>
    <m/>
  </r>
  <r>
    <x v="6"/>
    <s v="Alphabet / Google"/>
    <x v="4"/>
    <x v="6"/>
    <n v="161857000000"/>
    <n v="34340000000"/>
    <n v="2004"/>
    <x v="0"/>
    <x v="1"/>
    <x v="0"/>
    <n v="2007"/>
    <n v="2007"/>
    <x v="4"/>
    <s v="Y"/>
    <s v="Y"/>
    <n v="2017"/>
    <n v="66686"/>
    <n v="794267"/>
    <m/>
    <n v="860953"/>
    <n v="3160000"/>
    <n v="4020953"/>
    <n v="63521"/>
    <n v="684236"/>
    <n v="1211224"/>
    <n v="-463467"/>
    <n v="14279467"/>
    <n v="13816000"/>
    <n v="66546"/>
    <n v="509334"/>
    <n v="931943"/>
    <n v="-356063"/>
    <n v="2719024"/>
    <n v="2362961"/>
    <n v="66218"/>
    <n v="1518643"/>
    <n v="1898889"/>
    <n v="-314028"/>
    <n v="1292267"/>
    <n v="978239"/>
    <n v="66991"/>
    <n v="1384427"/>
    <n v="2686101"/>
    <n v="-1234683"/>
    <n v="1234683"/>
    <n v="0"/>
    <s v="Y"/>
    <s v="- All GHG emissions neutralized by carbon offset projects (40 carbon offset projects since 2007)_x000a_- In 2018, matched 100% of the electricity consumption of global operations with renewable energy for the second consecutive year (Since 2011, reduced cumulative Scope 1 and 2 GHG emissions by 52% by procuring renewable energy)_x000a_- Since 2011, carbon intensity per unit of revenue has decreased by 86%"/>
    <m/>
    <m/>
  </r>
  <r>
    <x v="7"/>
    <s v="Altria"/>
    <x v="5"/>
    <x v="7"/>
    <n v="25364000000"/>
    <n v="6963000000"/>
    <n v="1985"/>
    <x v="0"/>
    <x v="0"/>
    <x v="0"/>
    <m/>
    <m/>
    <x v="5"/>
    <s v="N"/>
    <s v="Y"/>
    <n v="2030"/>
    <n v="154507"/>
    <n v="146909"/>
    <m/>
    <n v="301416"/>
    <s v="NR"/>
    <s v=""/>
    <n v="162139"/>
    <n v="166706"/>
    <m/>
    <n v="328845"/>
    <n v="5078448"/>
    <n v="5407293"/>
    <n v="167695"/>
    <n v="168889"/>
    <m/>
    <n v="336584"/>
    <n v="5264365"/>
    <n v="5600949"/>
    <n v="170442"/>
    <n v="206622"/>
    <m/>
    <n v="377064"/>
    <n v="2873325"/>
    <n v="3250389"/>
    <n v="192293"/>
    <n v="204900"/>
    <m/>
    <n v="397193"/>
    <n v="2785757"/>
    <n v="3182950"/>
    <s v="N"/>
    <s v="Reduce absolute Scope 1 &amp;2 greenhouse gas emissions by 55% by 2030 vs. 2017_x000a_Reduce absolute Scope 3 greenhouse gas emissions by 18% by 2030 vs. 2017 _x000a_Achieve 100% renewable electricity by 2030 (currently at 2.3%)_x000a_Reduce waste sent to landfill by 25% by 2030 vs. 2017_x000a_ Achieve 100% water neutrality annually"/>
    <m/>
    <m/>
  </r>
  <r>
    <x v="8"/>
    <s v="Amazon"/>
    <x v="6"/>
    <x v="8"/>
    <n v="280000000000"/>
    <n v="11588000000"/>
    <n v="1997"/>
    <x v="0"/>
    <x v="1"/>
    <x v="1"/>
    <n v="2040"/>
    <n v="2020"/>
    <x v="4"/>
    <m/>
    <s v="Y"/>
    <n v="2025"/>
    <n v="5760000"/>
    <n v="5500000"/>
    <m/>
    <n v="11260000"/>
    <n v="39910000"/>
    <n v="51170000"/>
    <n v="4980000"/>
    <n v="4710000"/>
    <m/>
    <n v="9690000"/>
    <n v="34710000"/>
    <n v="44400000"/>
    <s v="NR"/>
    <s v="NR"/>
    <m/>
    <s v=""/>
    <s v="NR"/>
    <s v=""/>
    <s v="NR"/>
    <s v="NR"/>
    <m/>
    <s v=""/>
    <s v="NR"/>
    <s v=""/>
    <s v="NR"/>
    <s v="NR"/>
    <m/>
    <s v=""/>
    <s v="NR"/>
    <s v=""/>
    <s v="Y"/>
    <s v="- $2 Billion Climate Pledge Fund to Invest in Companies Building Products, Services, and Technologies to Decarbonize the Economy and Protect the Planet_x000a_- $100 million Right Now Climate Fund that is investing in nature-based solutions and reforestation projects around the world, including a reforestation project in the Appalachians in the U.S. and an urban greening initiative in Berlin, Germany_x000a_-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_x000a_- Since 2015, has lowered the weight of outbound packaging by 33% and eliminated more than 880,000 tons of packaging material, the equivalent of 1.5 billion shipping boxes_x000a_- Making all Amazon shipments net zero carbon through Shipment Zero, with 50% of all shipments net zero carbon by 2030_x000a_- Deploying 100,000 electric delivery vehicles starting in 2021"/>
    <m/>
    <s v="- https://news.theceomagazine.com/environment/amazon-pollution/_x000a_- https://press.aboutamazon.com/news-releases/news-release-details/amazon-announces-2-billion-climate-pledge-fund-invest-companies_x000a_- https://sustainability.aboutamazon.com/_x000a_- https://sustainability.aboutamazon.com/environment/sustainable-operations/carbon-footprint_x000a_- https://d39w7f4ix9f5s9.cloudfront.net/26/7f/e1693ffc45db88d839a4734b46e7/amazon-2018-carbon-footprint.pdf"/>
  </r>
  <r>
    <x v="9"/>
    <s v="American Express"/>
    <x v="3"/>
    <x v="9"/>
    <n v="43556000000"/>
    <n v="6921000000"/>
    <n v="1850"/>
    <x v="0"/>
    <x v="1"/>
    <x v="0"/>
    <n v="2018"/>
    <n v="2018"/>
    <x v="6"/>
    <s v="Y"/>
    <s v="Y"/>
    <n v="2018"/>
    <n v="24363"/>
    <n v="3153"/>
    <m/>
    <n v="27516"/>
    <n v="2169197.679"/>
    <n v="2196713.679"/>
    <n v="23981"/>
    <n v="2994"/>
    <m/>
    <n v="26975"/>
    <n v="2341539"/>
    <n v="2368514"/>
    <n v="24162"/>
    <n v="55273"/>
    <m/>
    <n v="79435"/>
    <n v="2254145"/>
    <n v="2333580"/>
    <n v="25438"/>
    <n v="59115"/>
    <m/>
    <n v="84553"/>
    <n v="2355882"/>
    <n v="2440435"/>
    <n v="27352"/>
    <n v="98452"/>
    <m/>
    <n v="125804"/>
    <n v="1357496"/>
    <n v="1483300"/>
    <s v="N"/>
    <m/>
    <m/>
    <m/>
  </r>
  <r>
    <x v="10"/>
    <s v="AIG"/>
    <x v="3"/>
    <x v="5"/>
    <n v="49750000000"/>
    <n v="3300000000"/>
    <n v="1969"/>
    <x v="0"/>
    <x v="0"/>
    <x v="0"/>
    <m/>
    <m/>
    <x v="6"/>
    <s v="N"/>
    <s v="N"/>
    <s v="N"/>
    <n v="17121"/>
    <n v="93781"/>
    <m/>
    <n v="110902"/>
    <s v="NR"/>
    <s v=""/>
    <s v="NR"/>
    <n v="8824"/>
    <m/>
    <s v=""/>
    <s v="NR"/>
    <s v=""/>
    <s v="NR"/>
    <n v="9781"/>
    <m/>
    <s v=""/>
    <s v="NR"/>
    <s v=""/>
    <s v="NR"/>
    <n v="12135"/>
    <m/>
    <s v=""/>
    <s v="NR"/>
    <s v=""/>
    <s v="NR"/>
    <s v="NR"/>
    <m/>
    <s v=""/>
    <s v="NR"/>
    <s v=""/>
    <s v="N"/>
    <s v="- No initiatives worth mentioning- just nonspecific &quot;investments&quot; and &quot;frameworks&quot; for clients"/>
    <s v="- Scope 1 is omitted for 2015-2018 because the figures were reported for UK operations only"/>
    <m/>
  </r>
  <r>
    <x v="11"/>
    <s v="American Tower"/>
    <x v="7"/>
    <x v="10"/>
    <n v="7580000000"/>
    <n v="1888000000"/>
    <n v="1995"/>
    <x v="0"/>
    <x v="2"/>
    <x v="0"/>
    <m/>
    <m/>
    <x v="6"/>
    <m/>
    <s v="N"/>
    <s v="N"/>
    <n v="556281"/>
    <n v="1780621"/>
    <n v="92145"/>
    <n v="2244757"/>
    <s v="NR"/>
    <s v=""/>
    <n v="615347"/>
    <n v="1796960"/>
    <m/>
    <n v="2412307"/>
    <s v="NR"/>
    <s v=""/>
    <n v="650755"/>
    <n v="1617395"/>
    <m/>
    <n v="2268150"/>
    <s v="NR"/>
    <s v=""/>
    <s v="NR"/>
    <s v="NR"/>
    <m/>
    <s v=""/>
    <s v="NR"/>
    <s v=""/>
    <s v="NR"/>
    <s v="NR"/>
    <m/>
    <s v=""/>
    <s v="NR"/>
    <s v=""/>
    <s v="N"/>
    <s v="- Science based targets IN DEVELOPMENT_x000a_- Carbon neutral only for US, not global_x000a_- Investing over $100 million in energy-efficient technologies at the site level (e.g., transitioning to new lithium-ion batteries [LIBs] and LED lighting) and site-based green energy solutions (e.g., solar photovoltaic power generation)"/>
    <m/>
    <m/>
  </r>
  <r>
    <x v="12"/>
    <s v="Amgen"/>
    <x v="1"/>
    <x v="2"/>
    <n v="23400000000"/>
    <n v="7840000000"/>
    <n v="1983"/>
    <x v="0"/>
    <x v="0"/>
    <x v="0"/>
    <m/>
    <m/>
    <x v="4"/>
    <s v="N"/>
    <s v="N"/>
    <s v="N"/>
    <n v="135954"/>
    <n v="160360"/>
    <m/>
    <n v="296314"/>
    <n v="2829355"/>
    <n v="3125669"/>
    <n v="160184"/>
    <n v="159848"/>
    <m/>
    <n v="320032"/>
    <n v="2856502"/>
    <n v="3176534"/>
    <n v="163362"/>
    <n v="139035"/>
    <m/>
    <n v="302397"/>
    <s v="NR"/>
    <s v=""/>
    <n v="116643"/>
    <n v="196000"/>
    <m/>
    <n v="312643"/>
    <s v="NR"/>
    <s v=""/>
    <n v="125674"/>
    <n v="281940"/>
    <m/>
    <n v="407614"/>
    <s v="NR"/>
    <s v=""/>
    <s v="N"/>
    <s v="-10% reduction in scope 1 emissions from base year (2012) by 2020- 119968_x000a_-20% reduction in scope 2 emissions form base year - 286679"/>
    <m/>
    <m/>
  </r>
  <r>
    <x v="13"/>
    <s v="Apple"/>
    <x v="2"/>
    <x v="11"/>
    <n v="260174000000"/>
    <n v="55256000000"/>
    <n v="1980"/>
    <x v="0"/>
    <x v="1"/>
    <x v="0"/>
    <n v="2030"/>
    <n v="2020"/>
    <x v="7"/>
    <s v="N"/>
    <s v="Y"/>
    <n v="2018"/>
    <n v="50549"/>
    <n v="0"/>
    <m/>
    <n v="50549"/>
    <n v="25065200"/>
    <n v="25115749"/>
    <n v="54590"/>
    <n v="8730"/>
    <m/>
    <n v="63320"/>
    <n v="24600000"/>
    <n v="24663320"/>
    <n v="45400"/>
    <n v="36250"/>
    <m/>
    <n v="81650"/>
    <n v="293440"/>
    <n v="375090"/>
    <n v="34370"/>
    <n v="31000"/>
    <m/>
    <n v="65370"/>
    <n v="29583900"/>
    <n v="29649270"/>
    <n v="28100"/>
    <n v="42460"/>
    <m/>
    <n v="70560"/>
    <s v="NR"/>
    <s v=""/>
    <s v="Y"/>
    <m/>
    <m/>
    <s v="https://www.apple.com/environment/pdf/Apple_Environmental_Responsibility_Report_2019.pdf"/>
  </r>
  <r>
    <x v="14"/>
    <s v="AT&amp;T"/>
    <x v="4"/>
    <x v="12"/>
    <n v="181200000000"/>
    <n v="13900000000"/>
    <n v="1983"/>
    <x v="0"/>
    <x v="1"/>
    <x v="1"/>
    <n v="2035"/>
    <n v="2020"/>
    <x v="6"/>
    <s v="Y"/>
    <s v="N"/>
    <s v="N"/>
    <n v="990000"/>
    <n v="5530000"/>
    <m/>
    <n v="6520000"/>
    <n v="3890000"/>
    <n v="10410000"/>
    <n v="1020000"/>
    <n v="6660000"/>
    <m/>
    <n v="7680000"/>
    <n v="4350000"/>
    <n v="12030000"/>
    <n v="1070000"/>
    <n v="6950000"/>
    <m/>
    <n v="8020000"/>
    <n v="3620000"/>
    <n v="11640000"/>
    <n v="1080000"/>
    <n v="7810000"/>
    <m/>
    <n v="8890000"/>
    <n v="3400000"/>
    <n v="12290000"/>
    <n v="1070000"/>
    <n v="7690000"/>
    <m/>
    <n v="8760000"/>
    <n v="3030000"/>
    <n v="11790000"/>
    <s v="N"/>
    <s v="-Reducing absolute Scope 1 and Scope 2 greenhouse gas (GHG) emissions 26% by 2030, from a 2015 base year_x000a_- Virtualization of many network functions_x000a_- Transitioning to a low-emissions fleet_x000a_- Accelerating energy efficiency and network optimization efforts_x000a_- Expanding sustainable feature film and TV production_x000a_- Supporting the renewable energy marketplace through PPAs with renewable energy providers_x000a_- Investing in carbon offsets"/>
    <m/>
    <s v="- https://about.att.com/csr/home/reporting/issue-brief/greenhouse-gas-emissions.html_x000a__x000a_-https://about.att.com/story/2020/att_carbon_neutral.html#:~:text=AT%26T%20has%20committed%20to%20be,30%20years%20into%20the%20future."/>
  </r>
  <r>
    <x v="15"/>
    <s v="Bank of America"/>
    <x v="3"/>
    <x v="13"/>
    <n v="91240000000"/>
    <n v="25998000000"/>
    <n v="1998"/>
    <x v="0"/>
    <x v="1"/>
    <x v="0"/>
    <n v="2020"/>
    <n v="2016"/>
    <x v="4"/>
    <s v="Y"/>
    <m/>
    <n v="2020"/>
    <n v="62639"/>
    <n v="17523"/>
    <m/>
    <n v="80162"/>
    <n v="4867841"/>
    <n v="4948003"/>
    <n v="85145"/>
    <n v="108614"/>
    <m/>
    <n v="193759"/>
    <n v="4819113"/>
    <n v="5012872"/>
    <n v="82298"/>
    <n v="173512"/>
    <m/>
    <n v="255810"/>
    <m/>
    <n v="255810"/>
    <n v="83473"/>
    <n v="369084"/>
    <m/>
    <n v="452557"/>
    <n v="4543197"/>
    <n v="4995754"/>
    <n v="98911"/>
    <n v="1036822"/>
    <m/>
    <n v="1135733"/>
    <n v="3513258"/>
    <n v="4648991"/>
    <s v="N"/>
    <s v="- Reduced market-based emissions by 89% from 2010 to 2020, primarily by consolidating space, implementing energy-efficient projects, and puchasing renewable energy_x000a_- Purchased 1.8 million mWh of renewable electricity in 2018, which amounts to 91% of global energy use_x000a_- Installed on-site solar on offices, financial centers, and ATMs_x000a_- Reduced energy use by 40% from 2010 to 2020_x000a_- Reduced location-based emissions by 52% from 2010 to 2020, primarily as a result of the energy reductions achieved_x000a_- Maintain LEED certification for 25% of buildings globally"/>
    <s v="Per third source, BofA does not calculate the Scope 3 emissions of its investments, which is a notable omission of their culpability in bankrolling the fossil fuel industry_x000a__x000a_&quot;Carbon neutral&quot; refers to their Scope 1 and 2 emissions"/>
    <s v="- https://about.bankofamerica.com/en-us/global-impact/env-operations-detail.html#fbid=4M45J4eZdUh_x000a_- https://newsroom.bankofamerica.com/press-releases/environment/bank-america-achieves-carbon-neutrality_x000a_- https://about.bankofamerica.com/assets/pdf/Bank-of-America-2018-ESG-Performance-Data-Summary.pdf_x000a_- https://www.environmentalleader.com/2020/01/bank-of-america-announces-carbon-neutrality-one-year-ahead-of-schedule/"/>
  </r>
  <r>
    <x v="16"/>
    <s v="Berkshire Hathaway"/>
    <x v="3"/>
    <x v="5"/>
    <n v="254616000000"/>
    <n v="81417000000"/>
    <n v="1839"/>
    <x v="0"/>
    <x v="0"/>
    <x v="0"/>
    <m/>
    <m/>
    <x v="6"/>
    <s v="N"/>
    <s v="N"/>
    <s v="N"/>
    <s v="NR"/>
    <s v="NR"/>
    <m/>
    <s v=""/>
    <s v="NR"/>
    <s v=""/>
    <s v="NR"/>
    <s v="NR"/>
    <m/>
    <s v=""/>
    <s v="NR"/>
    <s v=""/>
    <s v="NR"/>
    <s v="NR"/>
    <m/>
    <s v=""/>
    <s v="NR"/>
    <s v=""/>
    <s v="NR"/>
    <s v="NR"/>
    <m/>
    <s v=""/>
    <s v="NR"/>
    <s v=""/>
    <s v="NR"/>
    <s v="NR"/>
    <m/>
    <s v=""/>
    <s v="NR"/>
    <s v=""/>
    <s v="N"/>
    <m/>
    <m/>
    <m/>
  </r>
  <r>
    <x v="17"/>
    <s v="Biogen"/>
    <x v="1"/>
    <x v="2"/>
    <n v="13500000000"/>
    <n v="4400000000"/>
    <n v="1978"/>
    <x v="0"/>
    <x v="1"/>
    <x v="1"/>
    <n v="2015"/>
    <n v="2015"/>
    <x v="6"/>
    <s v="Y"/>
    <s v="Y"/>
    <n v="2014"/>
    <n v="67031"/>
    <n v="106"/>
    <m/>
    <n v="67137"/>
    <n v="424537"/>
    <n v="491674"/>
    <n v="68448"/>
    <n v="40172"/>
    <n v="76642"/>
    <n v="31978"/>
    <n v="436265"/>
    <n v="468243"/>
    <n v="61616"/>
    <n v="42408"/>
    <n v="69783"/>
    <n v="34241"/>
    <n v="436265"/>
    <n v="470506"/>
    <n v="61970"/>
    <n v="45899"/>
    <n v="316917"/>
    <n v="-209048"/>
    <n v="254791"/>
    <n v="45743"/>
    <n v="60179"/>
    <n v="38173"/>
    <n v="322563"/>
    <n v="-224211"/>
    <n v="262358"/>
    <n v="38147"/>
    <s v="N"/>
    <m/>
    <m/>
    <m/>
  </r>
  <r>
    <x v="18"/>
    <s v="BlackRock"/>
    <x v="3"/>
    <x v="14"/>
    <n v="14539000000"/>
    <n v="4484000000"/>
    <n v="1988"/>
    <x v="0"/>
    <x v="0"/>
    <x v="0"/>
    <m/>
    <m/>
    <x v="4"/>
    <m/>
    <s v="Y"/>
    <n v="2020"/>
    <n v="5589"/>
    <n v="0"/>
    <m/>
    <n v="5589"/>
    <n v="420014"/>
    <n v="425603"/>
    <n v="4807"/>
    <n v="22043"/>
    <n v="0"/>
    <n v="26850"/>
    <n v="44512.1"/>
    <n v="71362.100000000006"/>
    <n v="5016"/>
    <n v="22135"/>
    <n v="0"/>
    <n v="27151"/>
    <n v="38684.799999999996"/>
    <n v="65835.799999999988"/>
    <n v="4281"/>
    <n v="26086"/>
    <n v="0"/>
    <n v="30367"/>
    <n v="40011"/>
    <n v="70378"/>
    <n v="4846"/>
    <n v="28700"/>
    <m/>
    <n v="33546"/>
    <n v="40281.4"/>
    <n v="73827.399999999994"/>
    <s v="N"/>
    <m/>
    <s v="Target to reduce emissions per employee by 45% by 2020, reduced 33% as of 2018"/>
    <m/>
  </r>
  <r>
    <x v="19"/>
    <s v="Boeing"/>
    <x v="0"/>
    <x v="15"/>
    <n v="76559000000"/>
    <n v="-636000000"/>
    <n v="1962"/>
    <x v="0"/>
    <x v="0"/>
    <x v="0"/>
    <m/>
    <m/>
    <x v="8"/>
    <s v="Y"/>
    <s v="N"/>
    <s v="N"/>
    <n v="613000"/>
    <n v="733000"/>
    <m/>
    <n v="1346000"/>
    <n v="290000"/>
    <n v="1636000"/>
    <n v="646000"/>
    <n v="892000"/>
    <n v="0"/>
    <n v="1538000"/>
    <n v="320000"/>
    <n v="1858000"/>
    <n v="626000"/>
    <n v="896000"/>
    <m/>
    <n v="1522000"/>
    <n v="285000"/>
    <n v="1807000"/>
    <n v="593000"/>
    <n v="937000"/>
    <m/>
    <n v="1530000"/>
    <n v="244000"/>
    <n v="1774000"/>
    <n v="601000"/>
    <n v="902000"/>
    <m/>
    <n v="1503000"/>
    <n v="297000"/>
    <n v="1800000"/>
    <s v="Y"/>
    <s v="-Boeing is working to achieve its environmental goals by 2025, which include reducing greenhouse gas emissions by 25%_x000a_- data available for relative decline in emissions, but not actual GHG emissions '_x000a_- partnership with suppliers for sustainable manufacture, but no concrete targets for what that means_x000a_- Reduce carbon emissions by 50% from 2017 by 2050"/>
    <s v="Scope 3 includes business travel only"/>
    <m/>
  </r>
  <r>
    <x v="20"/>
    <s v="Booking Holdings"/>
    <x v="6"/>
    <x v="16"/>
    <n v="15066000000"/>
    <n v="4865000000"/>
    <n v="1999"/>
    <x v="0"/>
    <x v="0"/>
    <x v="0"/>
    <m/>
    <m/>
    <x v="6"/>
    <s v="N"/>
    <s v="N"/>
    <s v="N"/>
    <s v="NR"/>
    <s v="NR"/>
    <m/>
    <s v=""/>
    <s v="NR"/>
    <s v=""/>
    <n v="4811.67"/>
    <n v="57517.74"/>
    <n v="0"/>
    <n v="62329.409999999996"/>
    <s v="NR"/>
    <s v=""/>
    <n v="3372"/>
    <n v="47963"/>
    <n v="0"/>
    <n v="51335"/>
    <s v="NR"/>
    <s v=""/>
    <s v="NR"/>
    <s v="NR"/>
    <m/>
    <s v=""/>
    <s v="NR"/>
    <s v=""/>
    <s v="NR"/>
    <s v="NR"/>
    <m/>
    <s v=""/>
    <s v="NR"/>
    <s v=""/>
    <s v="N"/>
    <m/>
    <m/>
    <m/>
  </r>
  <r>
    <x v="21"/>
    <s v="Bristol Myers Squibb"/>
    <x v="1"/>
    <x v="2"/>
    <n v="26145000000"/>
    <n v="3439000000"/>
    <n v="1887"/>
    <x v="0"/>
    <x v="0"/>
    <x v="0"/>
    <m/>
    <m/>
    <x v="9"/>
    <s v="N"/>
    <s v="N"/>
    <s v="N"/>
    <s v="NR"/>
    <s v="NR"/>
    <m/>
    <s v=""/>
    <s v="NR"/>
    <s v=""/>
    <n v="130000"/>
    <n v="230000"/>
    <m/>
    <n v="360000"/>
    <s v="NR"/>
    <s v=""/>
    <n v="125000"/>
    <n v="250000"/>
    <m/>
    <n v="375000"/>
    <m/>
    <n v="375000"/>
    <n v="130000"/>
    <n v="250000"/>
    <m/>
    <n v="380000"/>
    <m/>
    <n v="380000"/>
    <s v="NR"/>
    <s v="NR"/>
    <m/>
    <s v=""/>
    <s v="NR"/>
    <s v=""/>
    <s v="N"/>
    <s v="-5% (absolute) or greater reduction of water and_x000a_greenhouse gas (GHG) emissions from_x000a_2015 baseline."/>
    <m/>
    <m/>
  </r>
  <r>
    <x v="22"/>
    <s v="Capital One"/>
    <x v="3"/>
    <x v="9"/>
    <n v="28600000000"/>
    <n v="5192000000"/>
    <n v="1994"/>
    <x v="0"/>
    <x v="1"/>
    <x v="0"/>
    <n v="2018"/>
    <n v="2018"/>
    <x v="4"/>
    <s v="Y"/>
    <s v="Y"/>
    <n v="2017"/>
    <n v="9495"/>
    <n v="135"/>
    <m/>
    <n v="9630"/>
    <n v="390974.51"/>
    <n v="400604.51"/>
    <n v="9815"/>
    <n v="0"/>
    <m/>
    <n v="9815"/>
    <n v="374709.2"/>
    <n v="384524.2"/>
    <n v="11624"/>
    <n v="150"/>
    <m/>
    <n v="11774"/>
    <n v="215767.75"/>
    <n v="227541.75"/>
    <n v="13061"/>
    <n v="176444"/>
    <m/>
    <n v="189505"/>
    <n v="213344.11"/>
    <n v="402849.11"/>
    <n v="14421"/>
    <n v="181088"/>
    <m/>
    <n v="195509"/>
    <n v="83064.88"/>
    <n v="278573.88"/>
    <s v="N"/>
    <s v="- Green energy offsets, not emissions offsets"/>
    <s v="Scope 3 emissions are non-exhaustive"/>
    <s v="https://ir-capitalone.gcs-web.com/news-releases/news-release-details/capital-one-reports-fourth-quarter-2019-net-income-12-billion-or"/>
  </r>
  <r>
    <x v="23"/>
    <s v="Caterpillar"/>
    <x v="0"/>
    <x v="17"/>
    <n v="53800000000"/>
    <n v="6093000000"/>
    <n v="1925"/>
    <x v="0"/>
    <x v="0"/>
    <x v="0"/>
    <m/>
    <m/>
    <x v="6"/>
    <s v="N"/>
    <s v="N"/>
    <s v="N"/>
    <n v="905000"/>
    <n v="869000"/>
    <n v="0"/>
    <n v="1774000"/>
    <s v="NR"/>
    <s v=""/>
    <n v="927000"/>
    <n v="1280000"/>
    <n v="0"/>
    <n v="2207000"/>
    <s v="NR"/>
    <s v=""/>
    <n v="863000"/>
    <n v="1256000"/>
    <n v="0"/>
    <n v="2119000"/>
    <s v="NR"/>
    <s v=""/>
    <n v="863000"/>
    <n v="1265000"/>
    <n v="0"/>
    <n v="2128000"/>
    <s v="NR"/>
    <s v=""/>
    <s v="NR"/>
    <s v="NR"/>
    <m/>
    <s v=""/>
    <s v="NR"/>
    <s v=""/>
    <s v="N"/>
    <s v="-GHG emissions intensity reduction goal is based on our_x000a_combined Scope 1 (direct) and Scope 2 (indirect, marketbased) GHG emissions using a 2006 baseline year. Likewise,_x000a_total absolute GHG emissions are a sum of Scope 1 and_x000a_Scope 2 (market-based) emissions._x000a_-Targets based on GHG/Energy intensity"/>
    <m/>
    <m/>
  </r>
  <r>
    <x v="24"/>
    <s v="Charter Communications"/>
    <x v="4"/>
    <x v="18"/>
    <n v="45764000000"/>
    <n v="1668000000"/>
    <n v="1999"/>
    <x v="0"/>
    <x v="0"/>
    <x v="0"/>
    <m/>
    <m/>
    <x v="6"/>
    <s v="N"/>
    <s v="N"/>
    <s v="N"/>
    <s v="NR"/>
    <s v="NR"/>
    <m/>
    <s v=""/>
    <s v="NR"/>
    <s v=""/>
    <s v="NR"/>
    <s v="NR"/>
    <m/>
    <s v=""/>
    <s v="NR"/>
    <s v=""/>
    <s v="NR"/>
    <s v="NR"/>
    <m/>
    <s v=""/>
    <s v="NR"/>
    <s v=""/>
    <s v="NR"/>
    <s v="NR"/>
    <m/>
    <s v=""/>
    <s v="NR"/>
    <s v=""/>
    <s v="NR"/>
    <s v="NR"/>
    <m/>
    <s v=""/>
    <s v="NR"/>
    <s v=""/>
    <s v="N"/>
    <s v="- Green energy offsets, not emissions offsets"/>
    <m/>
    <m/>
  </r>
  <r>
    <x v="25"/>
    <s v="Chevron"/>
    <x v="8"/>
    <x v="19"/>
    <n v="146516000000"/>
    <n v="2924000000"/>
    <n v="1879"/>
    <x v="0"/>
    <x v="0"/>
    <x v="0"/>
    <m/>
    <m/>
    <x v="6"/>
    <s v="N"/>
    <s v="N"/>
    <m/>
    <n v="55000000"/>
    <n v="2000000"/>
    <n v="0"/>
    <n v="57000000"/>
    <n v="413000000"/>
    <n v="470000000"/>
    <n v="59000000"/>
    <n v="3000000"/>
    <n v="0"/>
    <n v="62000000"/>
    <n v="397000000"/>
    <n v="459000000"/>
    <n v="56000000"/>
    <n v="3000000"/>
    <n v="0"/>
    <n v="59000000"/>
    <n v="377000000"/>
    <n v="436000000"/>
    <n v="58000000"/>
    <n v="3000000"/>
    <n v="0"/>
    <n v="61000000"/>
    <n v="365000000"/>
    <n v="426000000"/>
    <n v="58000000"/>
    <n v="3000000"/>
    <n v="0"/>
    <n v="61000000"/>
    <n v="367000000"/>
    <n v="428000000"/>
    <s v="Y"/>
    <s v="-Significant player in trade associations that influence policy"/>
    <m/>
    <m/>
  </r>
  <r>
    <x v="26"/>
    <s v="Cisco"/>
    <x v="2"/>
    <x v="11"/>
    <n v="51900000000"/>
    <n v="11620000000"/>
    <n v="1990"/>
    <x v="0"/>
    <x v="0"/>
    <x v="1"/>
    <m/>
    <m/>
    <x v="10"/>
    <s v="Y"/>
    <s v="N"/>
    <s v="N"/>
    <n v="41181"/>
    <n v="187428"/>
    <n v="0"/>
    <n v="228609"/>
    <n v="26570997"/>
    <n v="26799606"/>
    <n v="41171"/>
    <n v="205141"/>
    <n v="0"/>
    <n v="246312"/>
    <n v="39520558"/>
    <n v="39766870"/>
    <n v="41926"/>
    <n v="223558"/>
    <n v="0"/>
    <n v="265484"/>
    <n v="34545815"/>
    <n v="34811299"/>
    <n v="53123"/>
    <n v="247933"/>
    <n v="0"/>
    <n v="301056"/>
    <n v="35296126"/>
    <n v="35597182"/>
    <n v="53123"/>
    <n v="247933"/>
    <n v="0"/>
    <n v="301056"/>
    <n v="37937824"/>
    <n v="38238880"/>
    <s v="Y"/>
    <s v="-Goal: Reduce total Cisco Scope 1 and 2 GHG_x000a_emissions worldwide by 60 percent absolute by_x000a_FY22 (FY07 baseline)_x000a_- Use electricity from renewable sources for 85% of electricity by FY22 (KPI tracked not clear/available)_x000a_-Date announced 2017"/>
    <s v="Majority of Scope 3 emissions come from 'use of sold products'"/>
    <m/>
  </r>
  <r>
    <x v="27"/>
    <s v="Citigroup"/>
    <x v="3"/>
    <x v="13"/>
    <n v="103449000000"/>
    <n v="18171000000"/>
    <n v="1998"/>
    <x v="0"/>
    <x v="0"/>
    <x v="0"/>
    <m/>
    <m/>
    <x v="6"/>
    <s v="N"/>
    <s v="Y"/>
    <n v="2020"/>
    <n v="23289"/>
    <n v="593611"/>
    <n v="0"/>
    <n v="616900"/>
    <n v="747913.30999999994"/>
    <n v="1364813.31"/>
    <n v="24132"/>
    <n v="623233"/>
    <n v="0"/>
    <n v="647365"/>
    <n v="10703432.5"/>
    <n v="11350797.5"/>
    <n v="20951"/>
    <n v="677636"/>
    <n v="0"/>
    <n v="698587"/>
    <n v="18770616.969999999"/>
    <n v="19469203.969999999"/>
    <n v="23141"/>
    <n v="747748"/>
    <n v="0"/>
    <n v="770889"/>
    <n v="8226622"/>
    <n v="8997511"/>
    <n v="25742"/>
    <n v="789002"/>
    <n v="0"/>
    <n v="814744"/>
    <n v="9739506"/>
    <n v="10554250"/>
    <s v="Y"/>
    <s v="-Use policy arm to champion climate-poistive acitivies more broadly"/>
    <s v="Calculates Scope 3 emissions from investments in select years"/>
    <m/>
  </r>
  <r>
    <x v="28"/>
    <s v="Coca Cola"/>
    <x v="5"/>
    <x v="20"/>
    <n v="37266000000"/>
    <n v="38640000000"/>
    <n v="1892"/>
    <x v="0"/>
    <x v="0"/>
    <x v="1"/>
    <m/>
    <m/>
    <x v="11"/>
    <s v="N"/>
    <s v="N"/>
    <s v="N"/>
    <n v="1830000"/>
    <n v="3730000"/>
    <n v="0"/>
    <n v="5560000"/>
    <s v="NR"/>
    <s v=""/>
    <n v="1790000"/>
    <n v="3760000"/>
    <n v="0"/>
    <n v="5550000"/>
    <s v="NR"/>
    <s v=""/>
    <n v="1780000"/>
    <n v="3760000"/>
    <n v="0"/>
    <n v="5540000"/>
    <s v="NR"/>
    <s v=""/>
    <n v="1600000"/>
    <n v="3800000"/>
    <n v="0"/>
    <n v="5400000"/>
    <s v="NR"/>
    <s v=""/>
    <n v="1700000"/>
    <n v="3800000"/>
    <n v="0"/>
    <n v="5500000"/>
    <s v="NR"/>
    <s v=""/>
    <s v="Y"/>
    <s v="-And this goal has proven a worthy ambition as we_x000a_managed to cut our carbon footprint by 24%_x000a_toward our target of a 25% reduction by the_x000a_end of 2020, against a 2010 baseline._x000a_-Targets include plastic recycling"/>
    <m/>
    <m/>
  </r>
  <r>
    <x v="29"/>
    <s v="Colgate-Palmolive"/>
    <x v="5"/>
    <x v="21"/>
    <n v="15693000000"/>
    <n v="2367000000"/>
    <n v="1806"/>
    <x v="0"/>
    <x v="0"/>
    <x v="1"/>
    <m/>
    <m/>
    <x v="12"/>
    <s v="N"/>
    <s v="N"/>
    <s v="N"/>
    <n v="191000"/>
    <n v="283000"/>
    <n v="0"/>
    <n v="474000"/>
    <n v="48680000"/>
    <n v="49154000"/>
    <n v="190000"/>
    <n v="302000"/>
    <n v="0"/>
    <n v="492000"/>
    <n v="48299000"/>
    <n v="48791000"/>
    <n v="195000"/>
    <n v="316000"/>
    <n v="0"/>
    <n v="511000"/>
    <n v="51570000"/>
    <n v="52081000"/>
    <n v="203000"/>
    <n v="324000"/>
    <n v="0"/>
    <n v="527000"/>
    <n v="54710000"/>
    <n v="55237000"/>
    <n v="203000"/>
    <n v="389000"/>
    <n v="0"/>
    <n v="592000"/>
    <n v="54155000"/>
    <n v="54747000"/>
    <s v="N"/>
    <s v="-Purhcase of renewable energy certificates/ offsets_x000a_-Currently at 28% renewable energy"/>
    <m/>
    <m/>
  </r>
  <r>
    <x v="30"/>
    <s v="Comcast"/>
    <x v="4"/>
    <x v="18"/>
    <n v="108942000000"/>
    <n v="13057000000"/>
    <n v="1963"/>
    <x v="0"/>
    <x v="0"/>
    <x v="0"/>
    <m/>
    <m/>
    <x v="6"/>
    <s v="N"/>
    <s v="N"/>
    <s v="N"/>
    <n v="498455"/>
    <n v="1496771"/>
    <m/>
    <n v="1995226"/>
    <s v="NR"/>
    <s v=""/>
    <n v="505483"/>
    <n v="1458463"/>
    <m/>
    <n v="1963946"/>
    <s v="NR"/>
    <s v=""/>
    <n v="513316"/>
    <n v="1491298"/>
    <m/>
    <n v="2004614"/>
    <s v="NR"/>
    <s v=""/>
    <n v="364556"/>
    <n v="1380854"/>
    <m/>
    <n v="1745410"/>
    <s v="NR"/>
    <s v=""/>
    <s v="NR"/>
    <s v="NR"/>
    <m/>
    <s v=""/>
    <s v="NR"/>
    <s v=""/>
    <s v="N"/>
    <s v="-Vague infomration about sustainability targets around renewables use and fleet emissions. No scope 1/2/3 information available or SBT"/>
    <s v="- Scope 2 emissions are location-based for 2017 and 2016 because market-based data was not provided"/>
    <m/>
  </r>
  <r>
    <x v="31"/>
    <s v="ConocoPhillips"/>
    <x v="8"/>
    <x v="19"/>
    <n v="36670000000"/>
    <n v="7189000000"/>
    <n v="1875"/>
    <x v="0"/>
    <x v="1"/>
    <x v="0"/>
    <n v="2050"/>
    <n v="2020"/>
    <x v="6"/>
    <s v="N"/>
    <s v="N"/>
    <s v="N"/>
    <n v="19500000"/>
    <n v="1000000"/>
    <n v="0"/>
    <n v="20500000"/>
    <n v="173400000"/>
    <n v="193900000"/>
    <n v="19700000"/>
    <n v="1100000"/>
    <n v="0"/>
    <n v="20800000"/>
    <n v="159082568.80733943"/>
    <n v="179882568.80733943"/>
    <n v="19700000"/>
    <n v="1200000"/>
    <n v="0"/>
    <n v="20900000"/>
    <s v="NR"/>
    <s v=""/>
    <n v="25300000"/>
    <n v="1500000"/>
    <n v="0"/>
    <n v="26800000"/>
    <s v="NR"/>
    <s v=""/>
    <n v="24800000"/>
    <n v="1300000"/>
    <n v="0"/>
    <n v="26100000"/>
    <s v="NR"/>
    <s v=""/>
    <s v="Y"/>
    <s v="-Work with Climate leadership council and API climate working group to develop and implement US carbon tax design_x000a_- report includes ESG ratings from Sustainalytics, DJSI, Bloomberg, MSCI, and CDP"/>
    <s v="- Net Zero includes Scopes 1 and 2"/>
    <m/>
  </r>
  <r>
    <x v="32"/>
    <s v="Costco"/>
    <x v="5"/>
    <x v="8"/>
    <n v="152703000000"/>
    <n v="3659000000"/>
    <n v="1976"/>
    <x v="0"/>
    <x v="0"/>
    <x v="0"/>
    <m/>
    <m/>
    <x v="6"/>
    <s v="N"/>
    <s v="N"/>
    <s v="N"/>
    <n v="1108562.25"/>
    <n v="1473874.16"/>
    <m/>
    <n v="2582436.41"/>
    <s v="NR"/>
    <s v=""/>
    <n v="1114966.57"/>
    <n v="1393452.84"/>
    <m/>
    <n v="2508419.41"/>
    <s v="NR"/>
    <s v=""/>
    <n v="970138"/>
    <n v="1388491"/>
    <m/>
    <n v="2358629"/>
    <s v="NR"/>
    <s v=""/>
    <n v="785682"/>
    <n v="1315361"/>
    <m/>
    <n v="2101043"/>
    <s v="NR"/>
    <s v=""/>
    <n v="636727"/>
    <n v="1236737"/>
    <m/>
    <n v="1873464"/>
    <s v="NR"/>
    <s v=""/>
    <s v="N"/>
    <s v="-Vague "/>
    <s v="- All Scope 2 figures are location-based because market-based data was not provided"/>
    <m/>
  </r>
  <r>
    <x v="33"/>
    <s v="CVS"/>
    <x v="1"/>
    <x v="8"/>
    <n v="256776000000"/>
    <n v="6634000000"/>
    <n v="1963"/>
    <x v="0"/>
    <x v="0"/>
    <x v="1"/>
    <m/>
    <m/>
    <x v="6"/>
    <s v="N"/>
    <s v="N"/>
    <s v="N"/>
    <n v="157114"/>
    <n v="1024682"/>
    <n v="0"/>
    <n v="1181796"/>
    <n v="15857183.630000001"/>
    <n v="17038979.630000003"/>
    <n v="177347"/>
    <n v="1096724"/>
    <n v="0"/>
    <n v="1274071"/>
    <n v="12271483.34"/>
    <n v="13545554.34"/>
    <n v="206086"/>
    <n v="1131013"/>
    <n v="0"/>
    <n v="1337099"/>
    <n v="2618841"/>
    <n v="3955940"/>
    <n v="198055"/>
    <n v="1265480"/>
    <m/>
    <n v="1463535"/>
    <n v="2609590"/>
    <n v="4073125"/>
    <n v="214156"/>
    <n v="1378660"/>
    <m/>
    <n v="1592816"/>
    <s v="NR"/>
    <s v=""/>
    <s v="N"/>
    <s v="- Reduce aboslute scope 1 and 2 GHG by 36% from 2010 base by 2030"/>
    <m/>
    <m/>
  </r>
  <r>
    <x v="34"/>
    <s v="Danaher"/>
    <x v="1"/>
    <x v="22"/>
    <n v="17910000000"/>
    <n v="2940000000"/>
    <n v="1969"/>
    <x v="0"/>
    <x v="0"/>
    <x v="0"/>
    <m/>
    <m/>
    <x v="6"/>
    <s v="N"/>
    <s v="N"/>
    <s v="N"/>
    <s v="NR"/>
    <s v="NR"/>
    <m/>
    <s v=""/>
    <s v="NR"/>
    <s v=""/>
    <n v="127698.3"/>
    <n v="181965.6"/>
    <n v="0"/>
    <n v="309663.90000000002"/>
    <s v="NR"/>
    <s v=""/>
    <s v="NR"/>
    <s v="NR"/>
    <m/>
    <s v=""/>
    <s v="NR"/>
    <s v=""/>
    <s v="NR"/>
    <s v="NR"/>
    <m/>
    <s v=""/>
    <s v="NR"/>
    <s v=""/>
    <s v="NR"/>
    <s v="NR"/>
    <m/>
    <s v=""/>
    <s v="NR"/>
    <s v=""/>
    <s v="N"/>
    <s v="- Country specific targets, not global effort for carbon neutrality_x000a_- Reports GHG emissions for Scope 1 and 2 but normalized by sales figures. Does not report absolute emissions"/>
    <m/>
    <m/>
  </r>
  <r>
    <x v="35"/>
    <s v="Dow"/>
    <x v="9"/>
    <x v="23"/>
    <n v="42951000000"/>
    <n v="-1359000000"/>
    <n v="1897"/>
    <x v="0"/>
    <x v="1"/>
    <x v="0"/>
    <n v="2050"/>
    <n v="2020"/>
    <x v="6"/>
    <s v="N"/>
    <s v="N"/>
    <s v="N"/>
    <n v="27600000"/>
    <n v="6050000"/>
    <n v="0"/>
    <n v="33650000"/>
    <n v="91400000"/>
    <n v="125050000"/>
    <n v="28700000"/>
    <n v="6820000"/>
    <n v="0"/>
    <n v="35520000"/>
    <n v="76300000"/>
    <n v="111820000"/>
    <n v="25760540"/>
    <n v="8814966"/>
    <m/>
    <n v="34575506"/>
    <n v="78894000"/>
    <n v="113469506"/>
    <n v="25570000"/>
    <n v="9840000"/>
    <m/>
    <n v="35410000"/>
    <n v="76350000"/>
    <n v="111760000"/>
    <n v="25240000"/>
    <n v="9710000"/>
    <m/>
    <n v="34950000"/>
    <n v="100380000"/>
    <n v="135330000"/>
    <s v="Y"/>
    <s v="-Incorporate carbon pricing into business planning and prioritizing capital projects_x000a_-Maintain scope 1 &amp;2 emissions below 2006 baseline (42.6 Million tonnes)_x000a_- Advocating for a circular economy_x000a_-Participate in world economic forum low carbon tech   "/>
    <s v="- Scope 2 emissions are location-based"/>
    <m/>
  </r>
  <r>
    <x v="36"/>
    <s v="Duke Energy"/>
    <x v="10"/>
    <x v="24"/>
    <n v="25079000000"/>
    <n v="3707000000"/>
    <n v="1900"/>
    <x v="0"/>
    <x v="1"/>
    <x v="0"/>
    <n v="2050"/>
    <n v="2019"/>
    <x v="6"/>
    <s v="N"/>
    <s v="N"/>
    <s v="N"/>
    <n v="93000000"/>
    <n v="11122000"/>
    <n v="0"/>
    <n v="104122000"/>
    <n v="19811000"/>
    <n v="123933000"/>
    <n v="96548800"/>
    <n v="23200"/>
    <m/>
    <n v="96572000"/>
    <n v="28077642"/>
    <n v="124649642"/>
    <n v="95213400"/>
    <n v="0"/>
    <m/>
    <n v="95213400"/>
    <n v="15948080"/>
    <n v="111161480"/>
    <n v="96837200"/>
    <n v="0"/>
    <m/>
    <n v="96837200"/>
    <n v="16640509"/>
    <n v="113477709"/>
    <n v="100238000"/>
    <n v="0"/>
    <m/>
    <n v="100238000"/>
    <s v="NR"/>
    <s v=""/>
    <s v="N"/>
    <s v="- Enables participants of RE100 by providing RE sources_x000a_- 50% CO2 emissions by 2030_x000a_- Reports include methane and SF6 emissions in CO2 equivalents"/>
    <s v="- Scope 3 emissions are non-exhaustive"/>
    <m/>
  </r>
  <r>
    <x v="37"/>
    <s v="DuPont"/>
    <x v="9"/>
    <x v="23"/>
    <n v="21570000000"/>
    <n v="498000000"/>
    <n v="1802"/>
    <x v="0"/>
    <x v="1"/>
    <x v="0"/>
    <n v="2050"/>
    <n v="2018"/>
    <x v="6"/>
    <s v="N"/>
    <s v="N"/>
    <s v="N"/>
    <n v="3057000"/>
    <n v="2323000"/>
    <n v="0"/>
    <n v="5380000"/>
    <n v="1302744"/>
    <n v="6682744"/>
    <s v="NR"/>
    <s v="NR"/>
    <m/>
    <s v=""/>
    <s v="NR"/>
    <s v=""/>
    <s v="NR"/>
    <s v="NR"/>
    <m/>
    <s v=""/>
    <s v="NR"/>
    <s v=""/>
    <s v="NR"/>
    <s v="NR"/>
    <m/>
    <s v=""/>
    <s v="NR"/>
    <s v=""/>
    <s v="NR"/>
    <s v="NR"/>
    <m/>
    <s v=""/>
    <s v="NR"/>
    <s v=""/>
    <s v="Y"/>
    <s v="- The Grindsted, Denmark plant is 100% carbon neutral_x000a_- Reduce greenhouse gas (GHGs) emissions 30%,_x000a_including sourcing 60% of electricity from renewable energy_x000a_by 2030, and deliver carbon neutral operations by 2050_x000a_- Positions in various associations (i.e US chamber of commerce climate change task force, World business council for sustainable development, etc)"/>
    <m/>
    <m/>
  </r>
  <r>
    <x v="38"/>
    <s v="Eli Lilly"/>
    <x v="1"/>
    <x v="2"/>
    <n v="22320000000"/>
    <n v="8318000000"/>
    <n v="1876"/>
    <x v="0"/>
    <x v="0"/>
    <x v="0"/>
    <m/>
    <m/>
    <x v="13"/>
    <s v="N"/>
    <s v="N"/>
    <s v="N"/>
    <n v="193000"/>
    <n v="671000"/>
    <n v="0"/>
    <n v="864000"/>
    <n v="240000"/>
    <n v="1104000"/>
    <n v="201000"/>
    <n v="654000"/>
    <n v="0"/>
    <n v="855000"/>
    <n v="265000"/>
    <n v="1120000"/>
    <n v="228000"/>
    <n v="636000"/>
    <n v="0"/>
    <n v="864000"/>
    <n v="232000"/>
    <n v="1096000"/>
    <n v="216000"/>
    <n v="660000"/>
    <n v="0"/>
    <n v="876000"/>
    <n v="248000"/>
    <n v="1124000"/>
    <n v="214000"/>
    <n v="713000"/>
    <n v="0"/>
    <n v="927000"/>
    <n v="237000"/>
    <n v="1164000"/>
    <s v="N"/>
    <s v="- goals are vague but progress is being measured and communicated"/>
    <m/>
    <m/>
  </r>
  <r>
    <x v="39"/>
    <s v="Emerson Electric"/>
    <x v="0"/>
    <x v="17"/>
    <n v="18372000000"/>
    <n v="2306000000"/>
    <n v="1890"/>
    <x v="0"/>
    <x v="0"/>
    <x v="0"/>
    <m/>
    <m/>
    <x v="6"/>
    <s v="N"/>
    <s v="N"/>
    <s v="N"/>
    <n v="163945"/>
    <n v="699739"/>
    <n v="0"/>
    <n v="863684"/>
    <s v="NR"/>
    <s v=""/>
    <n v="166132"/>
    <n v="699423"/>
    <n v="0"/>
    <n v="865555"/>
    <s v="NR"/>
    <s v=""/>
    <s v="NR"/>
    <s v="NR"/>
    <m/>
    <s v=""/>
    <s v="NR"/>
    <s v=""/>
    <s v="NR"/>
    <s v="NR"/>
    <m/>
    <s v=""/>
    <s v="NR"/>
    <s v=""/>
    <s v="NR"/>
    <s v="NR"/>
    <m/>
    <s v=""/>
    <s v="NR"/>
    <s v=""/>
    <s v="Y"/>
    <s v="- Developed a universal integrated resouce efficiency metric based on thermodynamics to help policymakers measure efficiency raw materials/energy are used in production of product or service"/>
    <m/>
    <m/>
  </r>
  <r>
    <x v="40"/>
    <s v="Exelon"/>
    <x v="10"/>
    <x v="24"/>
    <n v="34438000000"/>
    <n v="2936000000"/>
    <n v="2000"/>
    <x v="0"/>
    <x v="2"/>
    <x v="0"/>
    <m/>
    <m/>
    <x v="6"/>
    <s v="Y"/>
    <s v="N"/>
    <s v="N"/>
    <n v="9395000"/>
    <n v="6103000"/>
    <n v="1189000"/>
    <n v="14309000"/>
    <n v="180732000"/>
    <n v="195041000"/>
    <n v="9526000"/>
    <n v="6120000"/>
    <n v="1303000"/>
    <n v="14343000"/>
    <n v="197376000"/>
    <n v="211719000"/>
    <n v="10200000"/>
    <n v="6521000"/>
    <n v="1484000"/>
    <n v="15237000"/>
    <n v="195220000"/>
    <n v="210457000"/>
    <s v="NR"/>
    <s v="NR"/>
    <m/>
    <s v=""/>
    <s v="NR"/>
    <s v=""/>
    <s v="NR"/>
    <s v="NR"/>
    <m/>
    <s v=""/>
    <s v="NR"/>
    <s v=""/>
    <s v="Y"/>
    <s v="-Policy engagement through trade associations like American Gas association, Energy Storage Association"/>
    <m/>
    <m/>
  </r>
  <r>
    <x v="41"/>
    <s v="Exxon Mobil"/>
    <x v="8"/>
    <x v="19"/>
    <n v="264938000000"/>
    <n v="14340000000"/>
    <n v="1870"/>
    <x v="0"/>
    <x v="0"/>
    <x v="0"/>
    <m/>
    <m/>
    <x v="6"/>
    <s v="N"/>
    <s v="N"/>
    <s v="N"/>
    <s v="NR"/>
    <s v="NR"/>
    <m/>
    <s v=""/>
    <s v="NR"/>
    <s v=""/>
    <n v="116000000"/>
    <n v="8000000"/>
    <n v="0"/>
    <n v="124000000"/>
    <s v="NR"/>
    <s v=""/>
    <n v="115000000"/>
    <n v="8000000"/>
    <n v="0"/>
    <n v="123000000"/>
    <s v="NR"/>
    <s v=""/>
    <s v="NR"/>
    <s v="NR"/>
    <m/>
    <n v="125000000"/>
    <s v="NR"/>
    <s v=""/>
    <s v="NR"/>
    <s v="NR"/>
    <m/>
    <n v="122000000"/>
    <s v="NR"/>
    <s v=""/>
    <s v="Y"/>
    <s v="-Targets around flaring, but not total GHG reduction targets_x000a_- Policy engagement through trade associations, lobbying, and employee political contributions (PAC)_x000a_- Large emphasis on development of algae biofuels and carbon capture technology but no measures on emissions offsets as a result of tech development"/>
    <m/>
    <m/>
  </r>
  <r>
    <x v="42"/>
    <s v="Facebook"/>
    <x v="4"/>
    <x v="6"/>
    <n v="70697000000"/>
    <n v="18485000000"/>
    <n v="2012"/>
    <x v="0"/>
    <x v="1"/>
    <x v="1"/>
    <n v="2030"/>
    <n v="2020"/>
    <x v="6"/>
    <s v="Y"/>
    <s v="Y"/>
    <n v="2020"/>
    <n v="207000"/>
    <n v="44000"/>
    <n v="0"/>
    <n v="251000"/>
    <s v="NR"/>
    <s v=""/>
    <n v="314000"/>
    <n v="42000"/>
    <n v="0"/>
    <n v="356000"/>
    <s v="NR"/>
    <s v=""/>
    <n v="568000"/>
    <n v="48800"/>
    <n v="0"/>
    <n v="616800"/>
    <s v="NR"/>
    <s v=""/>
    <n v="516000"/>
    <n v="39000"/>
    <n v="0"/>
    <n v="555000"/>
    <s v="NR"/>
    <s v=""/>
    <n v="423000"/>
    <n v="28000"/>
    <n v="0"/>
    <n v="451000"/>
    <s v="NR"/>
    <s v=""/>
    <s v="Y"/>
    <s v="-Policy engagement through coalitions like &quot;We are Still In&quot; and &quot;Greenpeace's Clicking clean Initiative&quot;_x000a_-No offset or Scope 3 data available- data difficult to find"/>
    <m/>
    <m/>
  </r>
  <r>
    <x v="43"/>
    <s v="FedEx"/>
    <x v="0"/>
    <x v="25"/>
    <n v="69693000000"/>
    <n v="540000000"/>
    <n v="1971"/>
    <x v="0"/>
    <x v="0"/>
    <x v="0"/>
    <m/>
    <m/>
    <x v="6"/>
    <s v="N"/>
    <s v="N"/>
    <s v="N"/>
    <n v="15406173"/>
    <n v="995988"/>
    <n v="0"/>
    <n v="16402161"/>
    <n v="3099293"/>
    <n v="19501454"/>
    <n v="15152383"/>
    <n v="1049987"/>
    <n v="0"/>
    <n v="16202370"/>
    <n v="2820965"/>
    <n v="19023335"/>
    <n v="14053599"/>
    <n v="1094109"/>
    <n v="0"/>
    <n v="15147708"/>
    <n v="2642415"/>
    <n v="17790123"/>
    <n v="13759865"/>
    <n v="958526"/>
    <m/>
    <n v="14718391"/>
    <n v="2400675"/>
    <n v="17119066"/>
    <n v="13751187"/>
    <n v="970981"/>
    <m/>
    <n v="14722168"/>
    <n v="2074329"/>
    <n v="16796497"/>
    <s v="Y"/>
    <s v="-Target reductions focus on intensity, not overall emissions (30% reduction in aircraft emissions intenisity by 2020 from 2005 baseline)_x000a_- Participants in renewable energy buyers alliance, electrification coalition, and other alliances to engage in policy"/>
    <s v="Scope 3 is non-exhaustive_x000a_Scope 2 is location-based"/>
    <m/>
  </r>
  <r>
    <x v="44"/>
    <s v="Ford"/>
    <x v="6"/>
    <x v="26"/>
    <n v="155900000000"/>
    <n v="47000000"/>
    <n v="1956"/>
    <x v="0"/>
    <x v="1"/>
    <x v="0"/>
    <n v="2050"/>
    <n v="2020"/>
    <x v="6"/>
    <s v="N"/>
    <s v="Y"/>
    <n v="2035"/>
    <n v="1451947"/>
    <n v="3068182"/>
    <m/>
    <n v="4520129"/>
    <n v="183077722"/>
    <n v="187597851"/>
    <n v="1442963"/>
    <n v="3349808"/>
    <n v="0"/>
    <n v="4792771"/>
    <n v="134409771"/>
    <n v="139202542"/>
    <n v="1389740"/>
    <n v="3482444"/>
    <n v="0"/>
    <n v="4872184"/>
    <s v="NR"/>
    <s v=""/>
    <n v="1304409"/>
    <n v="3312936"/>
    <m/>
    <n v="4617345"/>
    <n v="147035685"/>
    <n v="151653030"/>
    <s v="NR"/>
    <s v="NR"/>
    <m/>
    <s v=""/>
    <s v="NR"/>
    <s v=""/>
    <s v="Y "/>
    <s v="-- working with California on Clean Car standards starting in 2019"/>
    <m/>
    <m/>
  </r>
  <r>
    <x v="45"/>
    <s v="General Dynamics"/>
    <x v="0"/>
    <x v="27"/>
    <n v="39350000000"/>
    <n v="3484000000"/>
    <n v="1899"/>
    <x v="0"/>
    <x v="0"/>
    <x v="0"/>
    <m/>
    <m/>
    <x v="6"/>
    <s v="N"/>
    <s v="N"/>
    <s v="N"/>
    <n v="317081"/>
    <n v="445119"/>
    <m/>
    <n v="762200"/>
    <s v="NR"/>
    <s v=""/>
    <n v="306430"/>
    <n v="487731"/>
    <m/>
    <n v="794161"/>
    <s v="NR"/>
    <s v=""/>
    <n v="305836"/>
    <n v="478428"/>
    <m/>
    <n v="784264"/>
    <s v="NR"/>
    <s v=""/>
    <n v="298276"/>
    <n v="523497"/>
    <m/>
    <n v="821773"/>
    <s v="NR"/>
    <s v=""/>
    <s v="NR"/>
    <s v="NR"/>
    <m/>
    <s v=""/>
    <s v="NR"/>
    <s v=""/>
    <s v="N"/>
    <s v="- No clear informationon goals or emissions data available "/>
    <m/>
    <m/>
  </r>
  <r>
    <x v="46"/>
    <s v="GE"/>
    <x v="0"/>
    <x v="17"/>
    <n v="95214000000"/>
    <n v="-5439000000"/>
    <n v="1896"/>
    <x v="0"/>
    <x v="0"/>
    <x v="0"/>
    <n v="2030"/>
    <n v="2020"/>
    <x v="6"/>
    <s v="N"/>
    <s v="N"/>
    <s v="N"/>
    <n v="1000000"/>
    <n v="1390000"/>
    <m/>
    <n v="2390000"/>
    <n v="680000"/>
    <n v="3070000"/>
    <n v="1290000"/>
    <n v="1510000"/>
    <n v="0"/>
    <n v="2800000"/>
    <n v="2340000"/>
    <n v="5140000"/>
    <n v="1670000"/>
    <n v="2110000"/>
    <n v="0"/>
    <n v="3780000"/>
    <n v="2790000"/>
    <n v="6570000"/>
    <n v="1621000"/>
    <n v="2207000"/>
    <m/>
    <n v="3828000"/>
    <n v="8000000"/>
    <n v="11828000"/>
    <n v="1961000"/>
    <n v="2572000"/>
    <m/>
    <n v="4533000"/>
    <n v="11500000"/>
    <n v="16033000"/>
    <s v="Y"/>
    <s v="- Carbon neutral targets not company wide, only for wind, solar division operations. Now targeting carbon neutrality for all operations_x000a_- Engaged in policy, but vague on how or through what channels"/>
    <s v="Scope 3 is non-exhaustive"/>
    <m/>
  </r>
  <r>
    <x v="47"/>
    <s v="GM"/>
    <x v="6"/>
    <x v="26"/>
    <n v="137237000000"/>
    <n v="6581000000"/>
    <n v="1908"/>
    <x v="0"/>
    <x v="1"/>
    <x v="0"/>
    <n v="2050"/>
    <n v="2020"/>
    <x v="6"/>
    <s v="N"/>
    <s v="Y"/>
    <n v="2040"/>
    <n v="1589700"/>
    <n v="3721875"/>
    <n v="0"/>
    <n v="5311575"/>
    <n v="249384317"/>
    <n v="254695892"/>
    <n v="1763555"/>
    <n v="4322761"/>
    <n v="0"/>
    <n v="6086316"/>
    <n v="264563698"/>
    <n v="270650014"/>
    <n v="1848804"/>
    <n v="4302887"/>
    <m/>
    <n v="6151691"/>
    <n v="286310319"/>
    <n v="292462010"/>
    <n v="1815001"/>
    <n v="5095809"/>
    <m/>
    <n v="6910810"/>
    <n v="320911918"/>
    <n v="327822728"/>
    <n v="1863495"/>
    <n v="4763994"/>
    <m/>
    <n v="6627489"/>
    <s v="NR"/>
    <s v=""/>
    <s v="Y"/>
    <m/>
    <m/>
    <m/>
  </r>
  <r>
    <x v="48"/>
    <s v="Gilead Sciences"/>
    <x v="1"/>
    <x v="2"/>
    <n v="22449000000"/>
    <n v="5386000000"/>
    <n v="1992"/>
    <x v="0"/>
    <x v="0"/>
    <x v="0"/>
    <m/>
    <m/>
    <x v="14"/>
    <s v="N"/>
    <s v="N"/>
    <s v="N"/>
    <n v="52019"/>
    <n v="21716"/>
    <m/>
    <n v="73735"/>
    <n v="1436297"/>
    <n v="1510032"/>
    <n v="47256"/>
    <n v="26647"/>
    <m/>
    <n v="73903"/>
    <n v="71586"/>
    <n v="145489"/>
    <n v="46330"/>
    <n v="46217"/>
    <n v="0"/>
    <n v="92547"/>
    <n v="33056"/>
    <n v="125603"/>
    <n v="44531"/>
    <n v="48296"/>
    <n v="0"/>
    <n v="92827"/>
    <n v="32003"/>
    <n v="124830"/>
    <s v="NR"/>
    <s v="NR"/>
    <m/>
    <s v=""/>
    <s v="NR"/>
    <s v=""/>
    <s v="N"/>
    <s v="-Practicing green chemistry principles_x000a_- No policy arm specific to climate change/ carbon neutrality"/>
    <m/>
    <m/>
  </r>
  <r>
    <x v="49"/>
    <s v="Goldman Sachs"/>
    <x v="3"/>
    <x v="14"/>
    <n v="36546000000"/>
    <n v="8470000000"/>
    <n v="1999"/>
    <x v="0"/>
    <x v="1"/>
    <x v="0"/>
    <n v="2015"/>
    <n v="2009"/>
    <x v="4"/>
    <s v="Y"/>
    <s v="Y"/>
    <n v="2020"/>
    <n v="12673"/>
    <n v="9109"/>
    <n v="0"/>
    <n v="21782"/>
    <n v="135473"/>
    <n v="157255"/>
    <n v="11565"/>
    <n v="16284"/>
    <m/>
    <n v="27849"/>
    <n v="139893"/>
    <n v="167742"/>
    <n v="11231"/>
    <n v="18410"/>
    <m/>
    <n v="29641"/>
    <n v="120001"/>
    <n v="149642"/>
    <n v="11520"/>
    <n v="34179"/>
    <m/>
    <n v="45699"/>
    <n v="102266"/>
    <n v="147965"/>
    <n v="11900"/>
    <n v="51690"/>
    <m/>
    <n v="63590"/>
    <n v="148918"/>
    <n v="212508"/>
    <s v="Y"/>
    <s v="- founding member of Climate Leadership Council (CLC), advocating for a revenue-neutral carbon fee and dividend plan_x000a_- $2 billion in green operational investments to drive energy efficiency_x000a_- Aiming to reduce energy intensity by 20% by 2025 (from 2015 baseline)_x000a_- Certified 70 percent of offices to a green-building standard_x000a_- Committed all new construction to be LEED Gold-certified or equivalent_x000a_- Extend the green building certification of ISO 20121 standards to off-site events_x000a_-scope 3 just business travel"/>
    <s v="Scope 3 is non-exhaustive"/>
    <s v="- https://www.goldmansachs.com/what-we-do/sustainable-finance/documents/carbon-emissions-verification.pdf_x000a_- https://www.goldmansachs.com/what-we-do/sustainable-finance/documents/reports/2019-sustainability-report.pdf_x000a_- https://www.goldmansachs.com/citizenship/sustainability-reporting/esg-content/esg-report-2017.pdf_x000a_- https://www.goldmansachs.com/what-we-do/sustainable-finance/our-sustainability-journey/#:~:text=2009%3A%20Committing%20to%20Carbon%20Neutrality,neutral%20starting%20from%202015%20onwards."/>
  </r>
  <r>
    <x v="50"/>
    <s v="Home Depot"/>
    <x v="6"/>
    <x v="8"/>
    <n v="110200000000"/>
    <n v="11240000000"/>
    <n v="1981"/>
    <x v="0"/>
    <x v="0"/>
    <x v="0"/>
    <m/>
    <m/>
    <x v="15"/>
    <s v="N"/>
    <s v="N"/>
    <s v="N"/>
    <n v="554317"/>
    <n v="1302648"/>
    <m/>
    <n v="1856965"/>
    <n v="204637598"/>
    <n v="206494563"/>
    <n v="516246"/>
    <n v="1549876"/>
    <m/>
    <n v="2066122"/>
    <n v="317875090"/>
    <n v="319941212"/>
    <n v="433633"/>
    <n v="1681640"/>
    <m/>
    <n v="2115273"/>
    <n v="3791806"/>
    <n v="5907079"/>
    <n v="438335"/>
    <n v="1906283"/>
    <m/>
    <n v="2344618"/>
    <n v="2293060"/>
    <n v="4637678"/>
    <n v="388664"/>
    <n v="2249712"/>
    <m/>
    <n v="2638376"/>
    <n v="2133972"/>
    <n v="4772348"/>
    <s v="N"/>
    <s v="- Investing in on-site solar_x000a_- Previous projects in energy efficiency (lighting, air conditioning) and supply and demand balancing on the grid"/>
    <m/>
    <s v="- https://corporate.homedepot.com/responsibility/protecting-the-climate_x000a_- https://live-home-depot-corporate.pantheonsite.io/sites/default/files/2019_Responsibility%20Report_FINAL_Master_Update.png_.pdf_x000a_- https://corporate.homedepot.com/sites/default/files/pdfs/2018_ResponsibilityReport_FINAL_LRS.PDF_x000a_- https://corporate.homedepot.com/sites/default/files/image_gallery/PDFs/THD_Responsibility%20Report%202017.pdf_x000a_- https://corporate.homedepot.com/sites/default/files/THD_0039_2015_Sustainability_Report_Online_Nov_10.pdf"/>
  </r>
  <r>
    <x v="51"/>
    <s v="Honeywell"/>
    <x v="0"/>
    <x v="17"/>
    <n v="36709000000"/>
    <n v="6143000000"/>
    <m/>
    <x v="0"/>
    <x v="0"/>
    <x v="0"/>
    <m/>
    <m/>
    <x v="16"/>
    <s v="N"/>
    <s v="N"/>
    <s v="N"/>
    <n v="1090649"/>
    <n v="933484"/>
    <m/>
    <n v="2024133"/>
    <n v="18087050"/>
    <n v="20111183"/>
    <n v="1479149"/>
    <n v="1036941"/>
    <m/>
    <n v="2516090"/>
    <n v="18863846"/>
    <n v="21379936"/>
    <n v="1355420"/>
    <n v="1228457"/>
    <m/>
    <n v="2583877"/>
    <s v="NR"/>
    <s v=""/>
    <n v="2699554"/>
    <n v="1518875"/>
    <m/>
    <n v="4218429"/>
    <s v="NR"/>
    <s v=""/>
    <n v="3526031"/>
    <n v="1736106"/>
    <m/>
    <n v="5262137"/>
    <s v="NR"/>
    <s v=""/>
    <s v="N"/>
    <s v="-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_x000a__x000a_- Systematically replacing lighting at our sites with LED technologies - over 800 LED lighting projects for an annualized savings of $7.5 million, 37,000 metric tons CO2e and 250 BBTU_x000a_- Over 400 projects to systematically address air leaks, optimize compressed air usage, and upgrade equipment, saving an annualized $9.2 million, 45,500 metric tons CO2e and 300 BBTU_x000a_-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_x000a_- Largest sites are required to identify their significant energy use in line with ISO 50001, obtain an energy audit on an established cycle, train personnel on energy management, and track identified projects via our standard database"/>
    <m/>
    <s v="- https://www.honeywell.com/content/dam/honeywell/files/Corporate_Citizenship_Report.pdf_x000a_- https://www.honeywell.com/content/dam/honeywell/files/Honeywell%20Greenhouse%20Gas%20Reporting%20Data-apr19.pdf"/>
  </r>
  <r>
    <x v="52"/>
    <s v="IBM "/>
    <x v="2"/>
    <x v="3"/>
    <n v="77140000000"/>
    <n v="9430000000"/>
    <n v="1911"/>
    <x v="0"/>
    <x v="0"/>
    <x v="0"/>
    <m/>
    <m/>
    <x v="17"/>
    <m/>
    <s v="N"/>
    <s v="55% by 2025"/>
    <n v="114640"/>
    <n v="822616"/>
    <m/>
    <n v="937256"/>
    <n v="1158416"/>
    <n v="2095672"/>
    <n v="124633"/>
    <n v="963304"/>
    <m/>
    <n v="1087937"/>
    <n v="1346702"/>
    <n v="2434639"/>
    <n v="124700"/>
    <n v="1077000"/>
    <m/>
    <n v="1201700"/>
    <s v="NR"/>
    <s v=""/>
    <n v="133300"/>
    <n v="1156000"/>
    <m/>
    <n v="1289300"/>
    <s v="NR"/>
    <s v=""/>
    <n v="354046"/>
    <n v="1433456"/>
    <m/>
    <n v="1787502"/>
    <s v="NR"/>
    <s v=""/>
    <s v="N"/>
    <s v="- Virtualized and decommissioned over 152,000 servers from 2015 to 2017, saving 245 gigawatthours of electricity and $32.1 million_x000a_- Optimizing the use of energy across our operations (implemented approximately 1,900 energy conservation projects at nearly 300 locations in 2018)_x000a_- Purchasing renewable electricity where it makes both business and environmental sense_x000a_- Designing energy-efficient products_x000a_- Providing services and solutions that support our clients’ efforts to improve their operational efficiency_x000a_and reduce their climate impacts"/>
    <m/>
    <s v="- https://www.ibm.com/ibm/environment/annual/IBMEnvReport_2018.pdf_x000a_- https://www.ibm.com/ibm/environment/climate/ghg.shtml_x000a_- https://www.ibm.com/ibm/environment/annual/IBMEnvReport_2017.pdf_x000a_- https://www.ibm.com/ibm/environment/annual/IBMEnvReport_2016.pdf"/>
  </r>
  <r>
    <x v="53"/>
    <s v="Intel"/>
    <x v="2"/>
    <x v="11"/>
    <n v="71900000000"/>
    <n v="21000000000"/>
    <n v="1971"/>
    <x v="0"/>
    <x v="0"/>
    <x v="0"/>
    <m/>
    <m/>
    <x v="18"/>
    <s v="N"/>
    <s v="N"/>
    <n v="2030"/>
    <n v="1489000"/>
    <n v="1299000"/>
    <m/>
    <n v="2788000"/>
    <n v="20342000"/>
    <n v="23130000"/>
    <n v="1458000"/>
    <n v="1120000"/>
    <m/>
    <n v="2578000"/>
    <n v="20979000"/>
    <n v="23557000"/>
    <n v="1490000"/>
    <n v="971000"/>
    <m/>
    <n v="2461000"/>
    <n v="12320000"/>
    <n v="14781000"/>
    <n v="976000"/>
    <n v="647000"/>
    <m/>
    <n v="1623000"/>
    <n v="2740000"/>
    <n v="4363000"/>
    <n v="1050000"/>
    <n v="950000"/>
    <m/>
    <n v="2000000"/>
    <n v="1562000"/>
    <n v="3562000"/>
    <s v="Y"/>
    <s v="2030 goals:_x000a_• Achieve 100% renewable energy use across our global manufacturing operations_x000a_• Conserve an additional 4 billion kWh of energy_x000a_• Drive an additional 10% reduction in our absolute Scope 1 and 2 carbon_x000a_emissions as we grow, informed by climate science_x000a_• Increase product energy efficiency 10x for Intel client and server microprocessors_x000a_to reduce our Scope 3 emissions_x000a__x000a_- Invested more than $145 million in energy-conservation projects (saving an estimated 3.19 billion kWh of energy)_x000a_- Installed more than 40 on-site projects that use solar, wind, fuel cell, and other alternative energy sources worldwide_x000a_- Remained the largest voluntary purchaser of green power in the United States_x000a_- Sustainability metrics tied to executive and employee performance since 2008_x000a_- Working on creating a carbon neutral PC / carbon neutral computing_x000a_- Policy engagement-collaborated with technology industry and EPA to influence  energy consumption targets for notebooks and desktop PCs"/>
    <m/>
    <s v="- https://csrreportbuilder.intel.com/pdfbuilder/pdfs/CSR-2019-20-Full-Report.pdf_x000a_- http://csrreportbuilder.intel.com/pdfbuilder/pdfs/CSR-2018-Full-Report.pdf_x000a_- https://csrreportbuilder.intel.com/PDFfiles/CSR-2017_Full-Report.pdf_x000a_- https://csrreportbuilder.intel.com/PDFfiles/CSR-2016_Full-Report.pdf_x000a_- http://csrreportbuilder.intel.com/PDFfiles/CSR-2015_Full-Report.pdf"/>
  </r>
  <r>
    <x v="54"/>
    <s v="J&amp;J"/>
    <x v="1"/>
    <x v="2"/>
    <n v="82060000000"/>
    <n v="15120000000"/>
    <n v="1944"/>
    <x v="0"/>
    <x v="0"/>
    <x v="0"/>
    <m/>
    <m/>
    <x v="19"/>
    <s v="N"/>
    <s v="Y"/>
    <n v="2050"/>
    <n v="415094"/>
    <n v="518542"/>
    <m/>
    <n v="933636"/>
    <n v="20300054"/>
    <n v="21233690"/>
    <n v="452407"/>
    <n v="583361"/>
    <m/>
    <n v="1035768"/>
    <n v="19612181"/>
    <n v="20647949"/>
    <n v="474497"/>
    <n v="639323"/>
    <m/>
    <n v="1113820"/>
    <n v="17988490"/>
    <n v="19102310"/>
    <n v="463622"/>
    <n v="694257"/>
    <m/>
    <n v="1157879"/>
    <n v="284901"/>
    <n v="1442780"/>
    <n v="449078"/>
    <n v="724819"/>
    <m/>
    <n v="1173897"/>
    <n v="353974"/>
    <n v="1527871"/>
    <s v="Y"/>
    <s v="- Investing in energy efficiency programs through our CO2 Capital Relief Program_x000a_- Reduced Scope 1 and Scope 2 GHG emissions by 32% since 2010 (in 2019), exceeding 2020 target_x000a_- 13% of all built space is LEED certified_x000a_- Became founding members of the Renewable Energy Buyers Alliance (REBA) to advance a zero-carbon energy and secured four new PPAs totaling over 370,000 megawatt-hours (MWh) per year, and installed a 3.4 MW capacity windmill at Belgium chemical plant_x000a_- Aiming for 35% renewable energy by 2020"/>
    <s v="Seems like somewhat of a laggard in terms of carbon reduction (not very ambitious goals or initiatives) but CDP has them on their A list (maybe that's just for their diclosure)_x000a__x000a_Scope 2 is location-based"/>
    <s v="- https://healthforhumanityreport.jnj.com/environmental-health/climate-resilience_x000a_- https://www.jnj.com/_document/2017-health-for-humanity-report-johnson-johnson?id=0000016c-4ece-dd15-a37d-6feeda030000_x000a_- https://healthforhumanityreport.jnj.com/_document/health-for-humanity-2020-goals-scorecard?id=00000172-5b7e-d027-a1fa-fb7e9b460000"/>
  </r>
  <r>
    <x v="55"/>
    <s v="JPMorgan Chase "/>
    <x v="3"/>
    <x v="13"/>
    <n v="115600000000"/>
    <n v="36430000000"/>
    <n v="1940"/>
    <x v="0"/>
    <x v="0"/>
    <x v="0"/>
    <m/>
    <m/>
    <x v="4"/>
    <s v="Y"/>
    <s v="Y"/>
    <n v="2020"/>
    <n v="81655"/>
    <n v="556142"/>
    <m/>
    <n v="637797"/>
    <n v="181004"/>
    <n v="818801"/>
    <n v="83101"/>
    <n v="572067"/>
    <m/>
    <n v="655168"/>
    <n v="176356"/>
    <n v="831524"/>
    <n v="78229"/>
    <n v="596843"/>
    <m/>
    <n v="675072"/>
    <n v="187020"/>
    <n v="862092"/>
    <n v="79556"/>
    <n v="780710"/>
    <m/>
    <n v="860266"/>
    <n v="130430"/>
    <n v="990696"/>
    <n v="82525"/>
    <n v="844403"/>
    <m/>
    <n v="926928"/>
    <n v="138878"/>
    <n v="1065806"/>
    <s v="Y"/>
    <s v="- 100% renewable energy by 2020 through on-site renewable energy, PPAs, and RECs_x000a_- Created a dedicated risk team focused on climate_x000a_- Integrated climate-related risks into the processes the firm uses to identify, assess and review the most material risks to our business_x000a_- Evaluating stress testing approaches to deepen understanding of the relationship between climate change and financial impact to the firm_x000a_- Offset 100% of employee air and rail travel emissions in 2019_x000a_-joined Climate Leadership Council, which promotes a bipartisan roadmap for a revenue neutral carbon tax-and-dividend in the US_x000a_- Scope 3: + (just employee air travel)"/>
    <s v="Scope 3 non-exhaustive"/>
    <s v="- https://institute.jpmorganchase.com/content/dam/jpmc/jpmorgan-chase-and-co/documents/jpmc-cr-climate-report-2019.pdf_x000a_- https://www.jpmorganchase.com/corporate/news/pr/jpmorgan-chase-expands-commitment-to-low-carbon-economy-and-clean-energy.htm_x000a_- https://impact.jpmorganchase.com/content/dam/jpmc/jpmorgan-chase-and-co/documents/jpmc-cr-esg-report-2016.pdf_x000a_- https://about.jpmorganchase.com/content/dam/jpmc/jpmorgan-chase-and-co/documents/jpmc-cr-esg-report-2019.pdf"/>
  </r>
  <r>
    <x v="56"/>
    <s v="Kinder Morgan"/>
    <x v="8"/>
    <x v="19"/>
    <n v="13209000000"/>
    <n v="2190000000"/>
    <n v="2011"/>
    <x v="0"/>
    <x v="0"/>
    <x v="0"/>
    <m/>
    <m/>
    <x v="4"/>
    <s v="Y"/>
    <s v="N"/>
    <m/>
    <s v="NR"/>
    <s v="NR"/>
    <m/>
    <s v=""/>
    <s v="NR"/>
    <s v=""/>
    <s v="NR"/>
    <s v="NR"/>
    <m/>
    <s v=""/>
    <s v="NR"/>
    <s v=""/>
    <s v="NR"/>
    <s v="NR"/>
    <m/>
    <s v=""/>
    <s v="NR"/>
    <s v=""/>
    <s v="NR"/>
    <s v="NR"/>
    <m/>
    <s v=""/>
    <s v="NR"/>
    <s v=""/>
    <s v="NR"/>
    <s v="NR"/>
    <m/>
    <s v=""/>
    <s v="NR"/>
    <s v=""/>
    <s v="N"/>
    <s v="-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
    <s v="Planning to start measuring Scope 1 and 2 emissions starting in 2021"/>
    <s v="- https://www.kindermorgan.com/WWWKM/media/Documents/2018_ESG_Report_1.pdf"/>
  </r>
  <r>
    <x v="57"/>
    <s v="Kraft Heinz"/>
    <x v="5"/>
    <x v="20"/>
    <n v="24970000000"/>
    <n v="1935000000"/>
    <n v="2001"/>
    <x v="0"/>
    <x v="0"/>
    <x v="1"/>
    <m/>
    <m/>
    <x v="4"/>
    <m/>
    <m/>
    <m/>
    <n v="649256"/>
    <n v="773066"/>
    <m/>
    <n v="1422322"/>
    <n v="23277532.905999999"/>
    <n v="24699854.905999999"/>
    <n v="649256"/>
    <n v="773066"/>
    <m/>
    <n v="1422322"/>
    <n v="22922723.25"/>
    <n v="24345045.25"/>
    <n v="709692"/>
    <n v="765557"/>
    <m/>
    <n v="1475249"/>
    <n v="21519075.350000001"/>
    <n v="22994324.350000001"/>
    <n v="742200"/>
    <n v="800400"/>
    <m/>
    <n v="1542600"/>
    <n v="26565258"/>
    <n v="28107858"/>
    <n v="769761"/>
    <n v="804156"/>
    <m/>
    <n v="1573917"/>
    <m/>
    <n v="1573917"/>
    <m/>
    <s v="- 15% reduction in GHG emissions by 2020 from 2015 baseline_x000a_- Energy reduction initiatives_x000a_- Investing in renewable energy technology for our manufacturing plants_x000a_- Conducting a mapping of our direct supply chain of palm oil and soy to assess deforestation risks and develop action plans_x000a_- Having Kraft Heinz agronomists directly engage growers and farmers of key raw materials to enact best practices for environmental efficiencies, such as increased yields, optimization of fertilizer application, water conservation and an overall increase in crop resilience_x000a_- Joining the Science Based Targets Initiative to set science-based greenhouse gas emissions reduction goals in its supply chain_x000a_- Aiming to make 100 percent of our packaging globally recyclable, reusable or compostable by 2025"/>
    <s v="2018 Scope 1 + 2 were not measured so 2019 data was used as a proxy"/>
    <s v="-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_x000a_- https://www.cdp.net/en/formatted_responses/pages?locale=en&amp;organization_name=The+Kraft+Heinz+Company&amp;organization_number=58857&amp;program=Investor&amp;project_year=2017&amp;redirect=https%3A%2F%2Fwww.cdp.net%2Fsites%2F2017%2F57%2F58857%2FClimate+Change+2017%2FPages%2FDisclosureView.aspx"/>
  </r>
  <r>
    <x v="58"/>
    <s v="Lockheed Martin "/>
    <x v="0"/>
    <x v="15"/>
    <n v="59810000000"/>
    <n v="6230000000"/>
    <s v="~1995"/>
    <x v="0"/>
    <x v="0"/>
    <x v="0"/>
    <m/>
    <m/>
    <x v="20"/>
    <m/>
    <s v="N"/>
    <m/>
    <n v="305362"/>
    <n v="466073"/>
    <m/>
    <n v="771435"/>
    <n v="30584500"/>
    <n v="31355935"/>
    <n v="291782"/>
    <n v="527766"/>
    <m/>
    <n v="819548"/>
    <n v="30551000"/>
    <n v="31370548"/>
    <n v="291523"/>
    <n v="552851"/>
    <m/>
    <n v="844374"/>
    <n v="30605000"/>
    <n v="31449374"/>
    <n v="302679"/>
    <n v="501566"/>
    <m/>
    <n v="804245"/>
    <m/>
    <n v="804245"/>
    <s v="N"/>
    <s v="N"/>
    <s v="N"/>
    <s v=""/>
    <s v="N"/>
    <s v=""/>
    <s v="N"/>
    <s v="- Energy efficiency programs (25% reduction from 2010 to 2020), lighting upgrades, and other emissions reduction strategies_x000a_-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
    <s v="Goals are mostly qualitative without many hard targets set_x000a__x000a_Goals were difficult to find"/>
    <s v="- https://sustainability.lockheedmartin.com/sustainability/downloads/Lockheed_Martin_Sustainability_Report_Full_2019.pdf_x000a_- https://www.lockheedmartin.com/content/dam/lockheed-martin/eo/photo/sustainability/CDP%20CC%202019.pdf_x000a_- https://www.lockheedmartin.com/content/dam/lockheed-martin/eo/documents/sustainability/2018%20Lockheed%20Martin%20Sustainability%20Report%20and%20GHG%20Verification%20Assurance_Final_4.18.19.pdf_x000a_- https://www.lockheedmartin.com/content/dam/lockheed-martin/eo/documents/sustainability/Lockheed_Martin_Sustainability_Report_Full_2018.pdf_x000a_- https://www.lockheedmartin.com/content/dam/lockheed-martin/eo/documents/sustainability/Lockheed_Martin_Sustainability_Report_Full_2017.pdf_x000a_- https://www.lockheedmartin.com/content/dam/lockheed-martin/eo/documents/sustainability/sustainability-report-2016-web.pdf_x000a_- https://lockheedmartin.com/content/dam/lockheed-martin/eo/documents/sustainability/verification-2019.pdf_x000a_- Letters of assurance_x000a_- https://app.one-report.com/report/qgri_index.html?categoryid=1475&amp;qid=3861&amp;rid=ODQwMDMyNjU3&amp;arid=NDc0ODgwMTAx&amp;companyid=924&amp;year=2020_x000a_- https://www.lockheedmartin.com/content/dam/lockheed-martin/eo/photo/sustainability/CDP%20CC%202019.pdf"/>
  </r>
  <r>
    <x v="59"/>
    <s v="Lowe's"/>
    <x v="6"/>
    <x v="8"/>
    <n v="71300000000"/>
    <n v="2307000000"/>
    <n v="1961"/>
    <x v="0"/>
    <x v="0"/>
    <x v="0"/>
    <m/>
    <m/>
    <x v="21"/>
    <m/>
    <s v="N"/>
    <m/>
    <n v="484737"/>
    <n v="1623768"/>
    <m/>
    <n v="2108505"/>
    <n v="123645059.78"/>
    <n v="125753564.78"/>
    <n v="473689"/>
    <n v="1932514"/>
    <m/>
    <n v="2406203"/>
    <n v="342642973"/>
    <n v="345049176"/>
    <n v="400000"/>
    <n v="2022000"/>
    <m/>
    <n v="2422000"/>
    <s v="NR"/>
    <s v=""/>
    <n v="354000"/>
    <n v="2054000"/>
    <m/>
    <n v="2408000"/>
    <s v="NR"/>
    <s v=""/>
    <n v="368000"/>
    <n v="2322000"/>
    <m/>
    <n v="2690000"/>
    <s v="NR"/>
    <s v=""/>
    <m/>
    <s v="- Offered $34 million in discounts to customers who purchased energy efficient products_x000a_- Aim for 100% of our strategic suppliers to have sustainability goals by 2025_x000a_- By 2030, increase share of energy that is renewable_x000a_- Use a building management system (BMS) to maximize the efficiency of assets, such as lighting, HVAC and generators; leverage internal and third-party resources to calculate the performance of assets, inform retrofitting projects and improve energy use (99% of stores have BMS installed)_x000a_- LED lighting retrofit program_x000a_-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
    <m/>
    <s v="- https://corporate.lowes.com/sites/lowes-corp/files/2020-07/Lowes_2019_FINAL_optimized.pdf_x000a_- https://corporate.lowes.com/sites/lowes-corp/files/CSR-reports/lowes-2018cr-report.pdf_x000a_- https://corporate.lowes.com/sites/lowes-corp/files/CSR-reports/Lowes_2017CRReport_FramingOurFuture.pdf"/>
  </r>
  <r>
    <x v="60"/>
    <s v="MasterCard"/>
    <x v="3"/>
    <x v="9"/>
    <n v="16883000000"/>
    <n v="8120000000"/>
    <n v="2006"/>
    <x v="0"/>
    <x v="0"/>
    <x v="1"/>
    <m/>
    <m/>
    <x v="22"/>
    <m/>
    <s v="Y"/>
    <n v="2020"/>
    <n v="4758.3999999999996"/>
    <n v="162"/>
    <m/>
    <n v="4920.3999999999996"/>
    <n v="503012.19"/>
    <n v="507932.59"/>
    <n v="4828"/>
    <n v="52859"/>
    <m/>
    <n v="57687"/>
    <n v="495962"/>
    <n v="553649"/>
    <n v="6587"/>
    <n v="64917"/>
    <m/>
    <n v="71504"/>
    <n v="471614"/>
    <n v="543118"/>
    <n v="4486"/>
    <n v="94728"/>
    <m/>
    <n v="99214"/>
    <n v="849277"/>
    <n v="948491"/>
    <s v="NR"/>
    <s v="NR"/>
    <m/>
    <s v=""/>
    <s v="NR"/>
    <s v=""/>
    <m/>
    <s v="- 100% renewable energy (currently 2% on-site solar, 11% directly procured renewable energy, and 87% RECs - working on installing on-site renewable energy to reduce reliance on RECs)_x000a_- 79% green-certified buildings_x000a_- Working directly with suppliers on climate initiatives to reduce Scope 3 emissions_x000a_- Launched the Priceless Planet Coalition, which encourage corporates to invest in energy-efficient workplaces and operations, source renewable energy and maintain sustainable supply chains to reduce carbon footprints"/>
    <s v="First payments company to set an approved Science Based Target"/>
    <s v="- https://www.mastercard.us/content/dam/mccom/global/aboutus/Sustainability/mastercard-sustainability-report-2018.pdf_x000a_- https://www.smart-energy.com/industry-sectors/policy-regulation/mastercard-unveils-priceless-planet-coalition-to-combat-climate-change/"/>
  </r>
  <r>
    <x v="61"/>
    <s v="McDonald's "/>
    <x v="6"/>
    <x v="20"/>
    <n v="21076000000"/>
    <n v="6025000000"/>
    <n v="1965"/>
    <x v="0"/>
    <x v="0"/>
    <x v="1"/>
    <m/>
    <m/>
    <x v="23"/>
    <m/>
    <s v="N"/>
    <m/>
    <n v="107034.65"/>
    <n v="492114.18"/>
    <m/>
    <n v="599148.82999999996"/>
    <n v="52955642.099999994"/>
    <n v="53554790.929999992"/>
    <n v="111499.18"/>
    <n v="491052.97"/>
    <m/>
    <n v="602552.14999999991"/>
    <n v="36290894"/>
    <n v="36893446.149999999"/>
    <n v="151000"/>
    <n v="764000"/>
    <m/>
    <n v="915000"/>
    <m/>
    <n v="915000"/>
    <n v="182000"/>
    <n v="1780000"/>
    <m/>
    <n v="1962000"/>
    <n v="36677198"/>
    <n v="38639198"/>
    <n v="178000"/>
    <n v="2029999.9999999998"/>
    <m/>
    <n v="2208000"/>
    <s v="NR"/>
    <s v=""/>
    <m/>
    <s v="-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_x000a_- In collaboration with thousands of franchisees, suppliers and producers, McDonald’s will prioritize action on the largest segments of its carbon footprint: beef production, restaurant energy usage and sourcing, packaging and waste_x000a_- Goal of 31% reduction in emissions intensity (per metric ton of food and packaging) across our supply chain by 2030 from 2015 levels_x000a_- Working with farmers, ranchers, beef suppliers, and industry leaders to identify, magnify and share best practices on farming, grazing, and conservation, in ways that empower more producers to adopt sustainability practices_x000a_- Innovations and programs to promote energy efficiency and renewable energy. This includes equipment and building design innovation, energy monitoring, and crew training programs"/>
    <s v="Beef, energy, and packaging are biggest drivers of environmental footprint"/>
    <s v="- https://corporate.mcdonalds.com/corpmcd/scale-for-good/esg-reporting/progress-and-performance.html#3_x000a_- https://corporate.mcdonalds.com/corpmcd/scale-for-good/climate-action.html_x000a_- https://corporate.mcdonalds.com/content/dam/gwscorp/nfl/scale-for-good/McDonalds_CDP_Climate_Change_2018.pdf_x000a_- https://corporate.mcdonalds.com/content/dam/gwscorp/nfl/scale-for-good/CDP%20Climate%20Change_2017_McDonald%27s.pdf"/>
  </r>
  <r>
    <x v="62"/>
    <s v="Medtronic"/>
    <x v="1"/>
    <x v="1"/>
    <n v="30557000000"/>
    <n v="4631000000"/>
    <n v="1982"/>
    <x v="0"/>
    <x v="0"/>
    <x v="0"/>
    <m/>
    <m/>
    <x v="24"/>
    <m/>
    <s v="N"/>
    <m/>
    <n v="62931"/>
    <n v="225841"/>
    <m/>
    <n v="288772"/>
    <n v="278482"/>
    <n v="567254"/>
    <n v="65312"/>
    <n v="233364"/>
    <m/>
    <n v="298676"/>
    <n v="238792"/>
    <n v="537468"/>
    <n v="74992"/>
    <n v="269008"/>
    <m/>
    <n v="344000"/>
    <m/>
    <n v="344000"/>
    <s v="N"/>
    <s v="N"/>
    <s v="N"/>
    <s v=""/>
    <s v="N"/>
    <s v=""/>
    <s v="N"/>
    <s v="N"/>
    <s v="N"/>
    <s v=""/>
    <s v="N"/>
    <s v=""/>
    <m/>
    <s v="- Manufacturing facilities account for most of our energy consumption, water use, and waste generation. At those siteswe use management systems, based on the ISO 14001 and OHSAS 18001 standards, to track EHS performance_x000a_- Program to convert all Medtronic lighting to LED bulbs_x000a_- Optimization initiative focused on global building automation, HVAC, and compressed air systems_x000a_- Sourcing renewable grid electricity has been part of our energy strategy since 2007. In FY19, we sourced 22,000 MWh of renewable energy"/>
    <s v="Scope 3 non-exhaustive"/>
    <s v="- https://www.medtronic.com/content/dam/medtronic-com/global/Corporate/citizenship/documents/2019-integrated-performance-report.pdf_x000a_- https://www.medtronic.com/content/dam/medtronic-com/global/Corporate/Documents/2018-integrated-performance-report.pdf_x000a_- https://www.medtronic.com/content/dam/medtronic-com/global/Corporate/Documents/integrated-performance-report.pdf_x000a_- https://www.medtronic.com/content/dam/medtronic-com/us-en/corporate/documents/17267.MED.Sustainability.Report_4_FINAL%20NOV%208.pdf"/>
  </r>
  <r>
    <x v="63"/>
    <s v="Merck "/>
    <x v="1"/>
    <x v="2"/>
    <n v="42290000000"/>
    <n v="6220000000"/>
    <m/>
    <x v="0"/>
    <x v="0"/>
    <x v="0"/>
    <m/>
    <m/>
    <x v="25"/>
    <m/>
    <s v="N"/>
    <s v="2040 (not a RE100 signatory)"/>
    <n v="755340"/>
    <n v="316630"/>
    <m/>
    <n v="1071970"/>
    <n v="6965600"/>
    <n v="8037570"/>
    <n v="783500"/>
    <n v="389700"/>
    <m/>
    <n v="1173200"/>
    <n v="6231700"/>
    <n v="7404900"/>
    <n v="801600"/>
    <n v="462500"/>
    <m/>
    <n v="1264100"/>
    <n v="6586000"/>
    <n v="7850100"/>
    <n v="847400"/>
    <n v="562200"/>
    <m/>
    <n v="1409600"/>
    <n v="7975100"/>
    <n v="9384700"/>
    <n v="865100"/>
    <n v="635900"/>
    <m/>
    <n v="1501000"/>
    <s v="NR"/>
    <s v=""/>
    <m/>
    <s v="- By 2025, we will reduce global Scope 1 and market-based Scope 2 GHG emissions by at least 40% from 2015 levels_x000a_- By 2025, at least 50% of our purchased electricity will come from renewable sources. By 2040, 100% of our purchased electricity will come from renewable sources_x000a_- Established an Energy Capital Fund of up to $12 million per year in order to transition to more energy-efficient technology_x000a_- Converted US Sales fleet vehicles to more fuel-efficient versions to increase average mpg from 22 to 28 from 2008 to 2018_x000a_- All new buildings are designed to be LEED Silver or higher_x000a_- Long-standing partnership with the U.S. EPA's ENERGY STAR® program, which provides a broad energy-management strategy"/>
    <m/>
    <s v="- https://www.msdresponsibility.com/environmental-sustainability/_x000a_- https://www.msdresponsibility.com/environmental-sustainability/climate-change-energy-use/"/>
  </r>
  <r>
    <x v="64"/>
    <s v="MetLife"/>
    <x v="3"/>
    <x v="5"/>
    <n v="67941000000"/>
    <n v="5070000000"/>
    <n v="2000"/>
    <x v="0"/>
    <x v="1"/>
    <x v="0"/>
    <n v="2016"/>
    <n v="2015"/>
    <x v="4"/>
    <s v="Y"/>
    <s v="N"/>
    <m/>
    <n v="13613"/>
    <n v="0"/>
    <m/>
    <n v="13613"/>
    <n v="25959"/>
    <n v="39572"/>
    <n v="16016"/>
    <n v="0"/>
    <m/>
    <n v="16016"/>
    <n v="26381"/>
    <n v="42397"/>
    <n v="15722"/>
    <n v="0"/>
    <m/>
    <n v="15722"/>
    <n v="34019"/>
    <n v="49741"/>
    <n v="17555"/>
    <n v="0"/>
    <m/>
    <n v="17555"/>
    <n v="34019"/>
    <n v="51574"/>
    <n v="19780"/>
    <n v="67962"/>
    <m/>
    <n v="87742"/>
    <n v="36166"/>
    <n v="123908"/>
    <s v="N"/>
    <s v="- Required all 103 suppliers to disclose their GHG emissions and emissions reduction activities publicly in 2019_x000a_- Supports third-party certified carbon reduction projects in markets where we operate around the world (reforestation in Mississippi, replacement of coal-fired stoves in China, conservation of Colombia rainforest)_x000a_- Capital improvement projects and facility upgrades for building efficiency, including lighting retrofits, chiller and boiler replacements, LED lighting systems, demand metering, and occupancy-sensor installations_x000a_- 25% of buildings are LEED certified_x000a_- Invested $18.3 billion in green investments such as renewable energy projectsa and RECs in 2019_x000a_-Policy- membership in environmental associations but not talking about active policy lobbying_x000a_- Scope 3 is business air travel only"/>
    <s v="- first U.S. insurer to achieve carbon neutrality (2016)"/>
    <s v="- https://www.metlife.com/sustainability/MetLife-sustainability/climate/energy-emissions/_x000a_- https://sustainabilityreport.metlife.com/content/dam/metlifecom/us/sustainability/pdf/report/2019/2019-sustainability-report.pdf"/>
  </r>
  <r>
    <x v="65"/>
    <s v="Microsoft "/>
    <x v="2"/>
    <x v="4"/>
    <n v="125800000000"/>
    <n v="39240000000"/>
    <n v="1986"/>
    <x v="0"/>
    <x v="1"/>
    <x v="1"/>
    <n v="2030"/>
    <n v="2020"/>
    <x v="4"/>
    <s v="Y"/>
    <s v="Y"/>
    <n v="2014"/>
    <n v="113412"/>
    <n v="275375"/>
    <m/>
    <n v="388787"/>
    <n v="11322213"/>
    <n v="11711000"/>
    <n v="90723"/>
    <n v="183329"/>
    <m/>
    <n v="274052"/>
    <n v="11820948"/>
    <n v="12095000"/>
    <n v="97639"/>
    <n v="139110"/>
    <m/>
    <n v="236749"/>
    <n v="10963251"/>
    <n v="11200000"/>
    <n v="94651"/>
    <n v="37087"/>
    <m/>
    <n v="131738"/>
    <n v="11155883"/>
    <n v="11287621"/>
    <n v="94548"/>
    <n v="1697297"/>
    <m/>
    <n v="1791845"/>
    <n v="9050676"/>
    <n v="10842521"/>
    <s v="Y"/>
    <s v="- Implemented an internal carbon fee in 2012 to charge direct emissions and those of suppliers -- helps fund carbon emission reductions ($15/metric ton for Scope 3)_x000a_- Launching an initiative to use Microsoft technology to help our suppliers and customers around the world reduce their own carbon footprints_x000a_-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_x000a_- Will now make carbon reduction an explicit aspect of our procurement processes for supply chain_x000a_- Uses voice and advocacy supporting public policy that will accelerate carbon reduction and removal opportunities_x000a_- By 2050 Microsoft will remove from the environment all the carbon the company has emitted either directly or by electrical consumption since it was founded in 1975_x000a_-support policy for accelerating carbon reduction and removal"/>
    <m/>
    <s v="- https://blogs.microsoft.com/blog/2020/01/16/microsoft-will-be-carbon-negative-by-2030/_x000a_- file:///C:/Users/pfedm/Downloads/Microsoft_2017_Environmental_Data_Factsheet.pdf_x000a_- https://query.prod.cms.rt.microsoft.com/cms/api/am/binary/RE3455q"/>
  </r>
  <r>
    <x v="66"/>
    <s v="Mondelez"/>
    <x v="5"/>
    <x v="20"/>
    <n v="25870000000"/>
    <n v="3870000000"/>
    <n v="2012"/>
    <x v="0"/>
    <x v="0"/>
    <x v="1"/>
    <m/>
    <m/>
    <x v="26"/>
    <m/>
    <s v="N"/>
    <m/>
    <n v="856590"/>
    <n v="906349"/>
    <m/>
    <n v="1762939"/>
    <n v="19852210"/>
    <n v="21615149"/>
    <n v="819933"/>
    <n v="958647"/>
    <m/>
    <n v="1778580"/>
    <n v="21729924"/>
    <n v="23508504"/>
    <n v="778304"/>
    <n v="907536"/>
    <m/>
    <n v="1685840"/>
    <n v="12217015"/>
    <n v="13902855"/>
    <n v="812564"/>
    <n v="987618"/>
    <m/>
    <n v="1800182"/>
    <n v="12578434"/>
    <n v="14378616"/>
    <n v="757010"/>
    <n v="772308"/>
    <m/>
    <n v="1529318"/>
    <n v="15456021"/>
    <n v="16985339"/>
    <m/>
    <s v="- Reduced energy consumption by improving energy management systems and investing in energy efficient technologies in our factories_x000a_- Using low-carbon renewable energy sources_x000a_- In late 2015, our chocolate factory in Upplands Väsby, Sweden converted heavy oil burners to use waste vegetable oil instead, significantly reducing CO2 emissions while saving operating costs"/>
    <s v="Poor reporting -- only links to CDP Disclosures"/>
    <s v="- https://www.mondelezinternational.com/-/media/Mondelez/Snacking-Made-Right/Impact-Reporting/Measuring-Our-Progress/Additional-Resources-2/CDP-ClimateChange2019_Final.pdf_x000a_- https://www.mondelezinternational.com/-/media/Mondelez/PDFs/Mdlz-CDP-C_2018submission.pdf_x000a_- https://www.mondelezinternational.com/-/media/Mondelez/Snacking-Made-Right/Impact-Reporting/Measuring-Our-Progress/Additional-Resources-2/cdpclimate20162125.pdf_x000a_- https://www.mondelezinternational.com/~/media/MondelezCorporate/uploads/downloads/cdpClimate2017.pdf"/>
  </r>
  <r>
    <x v="67"/>
    <s v="Morgan Stanley"/>
    <x v="3"/>
    <x v="14"/>
    <n v="41419000000"/>
    <n v="8512000000"/>
    <n v="1935"/>
    <x v="0"/>
    <x v="1"/>
    <x v="0"/>
    <n v="2022"/>
    <n v="2017"/>
    <x v="4"/>
    <m/>
    <s v="Y"/>
    <n v="2022"/>
    <n v="28300"/>
    <n v="176200"/>
    <m/>
    <n v="204500"/>
    <n v="1374540"/>
    <n v="1579040"/>
    <n v="29800"/>
    <n v="183900"/>
    <m/>
    <n v="213700"/>
    <n v="1227000"/>
    <n v="1440700"/>
    <n v="29450"/>
    <n v="178350"/>
    <m/>
    <n v="207800"/>
    <n v="1357000"/>
    <n v="1564800"/>
    <n v="27610"/>
    <n v="237080"/>
    <m/>
    <n v="264690"/>
    <n v="2058261"/>
    <n v="2322951"/>
    <n v="33870"/>
    <n v="272720"/>
    <m/>
    <n v="306590"/>
    <n v="1591300"/>
    <n v="1897890"/>
    <m/>
    <m/>
    <s v="- Appointed a Chief Sustainability Officer for the first time in 2017"/>
    <s v="- https://www.morganstanley.com/pub/content/dam/msdotcom/about-us/giving-back/sustainability-at-morgan-stanley/Morgan_Stanley_2018_CDP_Climate_Change_Response.pdf_x000a_- https://www.morganstanley.com/pub/content/dam/msdotcom/about-us/giving-back/sustainability-at-morgan-stanley/Morgan_Stanley_2019_CDP_Climate_Change_Response.pdf"/>
  </r>
  <r>
    <x v="68"/>
    <s v="Netflix"/>
    <x v="4"/>
    <x v="18"/>
    <n v="20160000000"/>
    <n v="1866000000"/>
    <n v="2002"/>
    <x v="0"/>
    <x v="0"/>
    <x v="0"/>
    <m/>
    <m/>
    <x v="6"/>
    <s v="Y"/>
    <s v="N"/>
    <s v="N"/>
    <s v="NR"/>
    <s v="NR"/>
    <m/>
    <s v=""/>
    <s v="NR"/>
    <s v=""/>
    <s v="NR"/>
    <s v="NR"/>
    <m/>
    <s v=""/>
    <s v="NR"/>
    <s v=""/>
    <s v="NR"/>
    <s v="NR"/>
    <m/>
    <s v=""/>
    <s v="NR"/>
    <s v=""/>
    <s v="NR"/>
    <s v="NR"/>
    <m/>
    <s v=""/>
    <s v="NR"/>
    <s v=""/>
    <s v="NR"/>
    <s v="NR"/>
    <m/>
    <s v=""/>
    <s v="NR"/>
    <s v=""/>
    <s v="N"/>
    <m/>
    <s v="~50,000 MT CO2e is best guess for annual emissions. No reporting except to say that emissions were 300g / customer in 2014 and they have182.8 million subscribers today_x000a__x000a_Claim to use 100% renewable energy through the end of RECs"/>
    <s v="- https://netflixtechblog.com/netflix-streaming-more-energy-efficient-than-breathing-57658d47b9fd_x000a_- https://b8f65cb373b1b7b15feb-c70d8ead6ced550b4d987d7c03fcdd1d.ssl.cf3.rackcdn.com/cms/reports/documents/000/002/891/original/CDP-US-Report-2017.pdf?1512668320"/>
  </r>
  <r>
    <x v="69"/>
    <s v="Nextera Energy"/>
    <x v="10"/>
    <x v="24"/>
    <n v="19204000000"/>
    <n v="3769000000"/>
    <n v="2014"/>
    <x v="0"/>
    <x v="0"/>
    <x v="0"/>
    <m/>
    <m/>
    <x v="6"/>
    <s v="N"/>
    <s v="N"/>
    <s v="N"/>
    <s v="NR"/>
    <s v="NR"/>
    <m/>
    <n v="107082396"/>
    <s v="NR"/>
    <s v=""/>
    <s v="NR"/>
    <s v="NR"/>
    <m/>
    <n v="90006931"/>
    <s v="NR"/>
    <s v=""/>
    <s v="NR"/>
    <s v="NR"/>
    <m/>
    <n v="93387385"/>
    <s v="NR"/>
    <s v=""/>
    <s v="NR"/>
    <s v="NR"/>
    <m/>
    <n v="100072736"/>
    <s v="NR"/>
    <s v=""/>
    <s v="NR"/>
    <s v="NR"/>
    <m/>
    <s v=""/>
    <s v="NR"/>
    <s v=""/>
    <s v="Y"/>
    <s v="-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
    <s v="Used CO2e multipliers to convert CO2 and NO2 metrics into total CO2e"/>
    <s v="- http://www.nexteraenergy.com/sustainability/overview/about-this-report/by-the-numbers.html"/>
  </r>
  <r>
    <x v="70"/>
    <s v="Nike"/>
    <x v="6"/>
    <x v="28"/>
    <n v="39100000000"/>
    <n v="4000000000"/>
    <n v="1980"/>
    <x v="0"/>
    <x v="1"/>
    <x v="1"/>
    <n v="2050"/>
    <n v="2020"/>
    <x v="27"/>
    <s v="N"/>
    <s v="Y"/>
    <n v="2025"/>
    <n v="46714"/>
    <n v="209065"/>
    <m/>
    <n v="255779"/>
    <n v="3250744"/>
    <n v="3506523"/>
    <n v="41942"/>
    <n v="218240"/>
    <m/>
    <n v="260182"/>
    <n v="2787707"/>
    <n v="3047889"/>
    <n v="40139"/>
    <n v="224489"/>
    <m/>
    <n v="264628"/>
    <n v="2751744"/>
    <n v="3016372"/>
    <n v="37325"/>
    <n v="225772"/>
    <m/>
    <n v="263097"/>
    <n v="2468365"/>
    <n v="2731462"/>
    <n v="35623"/>
    <n v="228680"/>
    <m/>
    <n v="264303"/>
    <n v="2460556"/>
    <n v="2724859"/>
    <s v="Yes - member of Oregon Business Alliance for Climate, which supports climate policy and a carbon price while investing in Oregon’s clean economy"/>
    <s v="- Innovating and sourcing innovative, lower-impact materials_x000a_- Driving more energy efficiency in our operations and within our supply chain_x000a_- Increasing renewable energy use throughout our operations and encouraging broader adoption throughout our supply chain_x000a_- Collaborating with other organizations (corporate peers, government and NGOs) to scale impact and create better market conditions for clean energy_x000a_- Decrease energy use and CO2e emissions 25% per unit in key operations (inbound and outbound logistics, distribution centers, headquarter locations, finished goods manufacturing, and NIKE-owned retail) from FY15 to FY20"/>
    <m/>
    <s v="- https://news.nike.com/news/nike-inc-reports-fiscal-2019-fourth-quarter-and-full-year-results_x000a_- https://s3-us-west-2.amazonaws.com/purpose-cms-production01/wp-content/uploads/2019/05/15172335/FY18-Nike-Impact-Report_Final.pdf_x000a_- https://purpose.nike.com/carbon-energy_x000a_- https://s3-us-west-2.amazonaws.com/purpose-cms-preprod01/wp-content/uploads/2020/04/10225416/FY19-Nike-Inc.-Impact-Report.pdf"/>
  </r>
  <r>
    <x v="71"/>
    <s v="Nvidia"/>
    <x v="2"/>
    <x v="11"/>
    <n v="11720000000"/>
    <n v="4141000000"/>
    <n v="1999"/>
    <x v="0"/>
    <x v="0"/>
    <x v="0"/>
    <m/>
    <m/>
    <x v="28"/>
    <m/>
    <m/>
    <s v="65% by end of FY 2025"/>
    <n v="2695"/>
    <n v="60093"/>
    <m/>
    <n v="62788"/>
    <n v="427730"/>
    <n v="490518"/>
    <n v="2370"/>
    <n v="56903"/>
    <m/>
    <n v="59273"/>
    <n v="326648"/>
    <n v="385921"/>
    <n v="2571"/>
    <n v="47142"/>
    <m/>
    <n v="49713"/>
    <n v="277014"/>
    <n v="326727"/>
    <n v="2419"/>
    <n v="43889"/>
    <m/>
    <n v="46308"/>
    <n v="237579"/>
    <n v="283887"/>
    <n v="3339"/>
    <n v="51482"/>
    <m/>
    <n v="54821"/>
    <n v="114259"/>
    <n v="169080"/>
    <m/>
    <s v="- Planning to implement an energy management system, certified to ISO 50001, in FY21_x000a_- LEED Gold certification for our new Silicon Valley headquarters building_x000a_- Focus on siting expansions strategically, managing our operations efficiently, and sourcing low-carbon and renewable forms of energy_x000a_- Deployed state-of-the-art cooling technology designed for NVIDIA server products_x000a_- Data centers have also been deployed with white surfaces to optimize reflective lighting_x000a_- Controllable, high-efficiency LED lighting is installed where artificial lighting is needed"/>
    <m/>
    <s v="- https://www.nvidia.com/content/dam/en-zz/Solutions/documents/FY2020-NVIDIA-CSR-Social-Responsibility.pdf_x000a_- https://images.nvidia.com/content/crr/2017/sustainability/pdf/2017-NVIDIA-Sustainability-Report-Final.pdf"/>
  </r>
  <r>
    <x v="72"/>
    <s v="Occidental Petroleum"/>
    <x v="8"/>
    <x v="19"/>
    <n v="21230000000"/>
    <n v="-652000000"/>
    <n v="1986"/>
    <x v="0"/>
    <x v="0"/>
    <x v="0"/>
    <m/>
    <m/>
    <x v="29"/>
    <s v="Y - through their own carbon capture"/>
    <s v="N"/>
    <m/>
    <n v="22430197"/>
    <n v="6420000"/>
    <m/>
    <n v="28850197"/>
    <n v="103000000"/>
    <n v="131850197"/>
    <n v="10370000"/>
    <n v="4100000"/>
    <m/>
    <n v="14470000"/>
    <n v="71000000"/>
    <n v="85470000"/>
    <n v="11300000"/>
    <n v="4200000"/>
    <m/>
    <n v="15500000"/>
    <n v="63000000"/>
    <n v="78500000"/>
    <n v="10490000"/>
    <n v="5380000"/>
    <m/>
    <n v="15870000"/>
    <m/>
    <n v="15870000"/>
    <n v="9300000"/>
    <n v="4800000"/>
    <m/>
    <n v="14100000"/>
    <m/>
    <n v="14100000"/>
    <m/>
    <s v="-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_x000a_- A sensitivity analysis using a carbon price of $50 per metric ton is done for all projects above $5 million (increased from $40 per metric ton in 2018)_x000a_- Added an executive compensation metric related to the advancement of CCUS_x000a_- Aiming to end routine gas flaring by 2030"/>
    <m/>
    <s v="- https://www.oxy.com/SocialResponsibility/overview/SiteAssets/Pages/Social-Responsibility-at-Oxy/Assets/Occidental-Climate-Report-2019.pdf_x000a_- https://www.oxy.com/SocialResponsibility/overview/SiteAssets/Pages/Social-Responsibility-at-Oxy/Assets/Oxy%202018%20CDP%20survey%20response.pdf_x000a_- https://www.oxy.com/SocialResponsibility/overview/SiteAssets/Pages/Social-Responsibility-at-Oxy/Assets/Occidental-CDP_Climate_Change_Questionnaire_2019.pdf_x000a_- https://www.oxy.com/SocialResponsibility/overview/SiteAssets/Pages/Social-Responsibility-at-Oxy/HTML/performance%20-%20Copy.html#climateChange1_x000a_- https://www.oxy.com/SocialResponsibility/overview/SiteAssets/Pages/Social-Responsibility-at-Oxy/Assets/CDP%202017%20Climate%20Programme%20Report-Occidental.pdf_x000a_- https://www.oxy.com/SocialResponsibility/overview/Pages/Performance.aspx#climateChange1"/>
  </r>
  <r>
    <x v="73"/>
    <s v="Oracle"/>
    <x v="2"/>
    <x v="4"/>
    <n v="39500000000"/>
    <n v="11080000000"/>
    <n v="1986"/>
    <x v="0"/>
    <x v="0"/>
    <x v="0"/>
    <m/>
    <m/>
    <x v="30"/>
    <m/>
    <s v="N"/>
    <m/>
    <n v="16520"/>
    <n v="349022"/>
    <m/>
    <n v="365542"/>
    <n v="1543540"/>
    <n v="1909082"/>
    <n v="17084"/>
    <n v="362448"/>
    <m/>
    <n v="379532"/>
    <n v="1766048"/>
    <n v="2145580"/>
    <n v="14763"/>
    <n v="403160"/>
    <m/>
    <n v="417923"/>
    <n v="991706.12"/>
    <n v="1409629.12"/>
    <n v="11293"/>
    <n v="354428"/>
    <m/>
    <n v="365721"/>
    <n v="649542.85"/>
    <n v="1015263.85"/>
    <n v="11741"/>
    <n v="358673"/>
    <m/>
    <n v="370414"/>
    <m/>
    <n v="370414"/>
    <m/>
    <s v="- Increased renewable energy use and improved energy effciency_x000a_- Goal of 55% reduction in emissions per unit of energy consumed by 2025_x000a_- Investments in offering a 'Clean Cloud' for customers through energy efficiency and renewable energy"/>
    <m/>
    <s v="- http://www.oracle.com/us/corporate/citizenship/cdp-climate-change-response-5181041.pdf_x000a_- https://www.oracle.com/corporate/citizenship/sustainability/operations.html_x000a_- http://www.oracle.com/us/corporate/citizenship/cdp-investor-survey-response-2017-3809919.pdf_x000a_- https://www.oracle.com/us/assets/oracle-corp-citizenship-report-3941904.pdf_x000a_- https://www.oracle.com/a/ocom/docs/sustainability-at-oracle.pdf"/>
  </r>
  <r>
    <x v="74"/>
    <s v="PayPal"/>
    <x v="3"/>
    <x v="9"/>
    <n v="17770000000"/>
    <n v="2459000000"/>
    <n v="2002"/>
    <x v="0"/>
    <x v="0"/>
    <x v="1"/>
    <m/>
    <m/>
    <x v="4"/>
    <m/>
    <s v="N"/>
    <m/>
    <n v="9900"/>
    <n v="47000"/>
    <m/>
    <n v="56900"/>
    <n v="32100"/>
    <n v="89000"/>
    <n v="10600"/>
    <n v="57900"/>
    <m/>
    <n v="68500"/>
    <n v="31100"/>
    <n v="99600"/>
    <n v="9600"/>
    <n v="57800"/>
    <m/>
    <n v="67400"/>
    <n v="24500"/>
    <n v="91900"/>
    <s v="NR"/>
    <s v="NR"/>
    <m/>
    <s v=""/>
    <s v="NR"/>
    <s v=""/>
    <s v="NR"/>
    <s v="NR"/>
    <m/>
    <s v=""/>
    <s v="NR"/>
    <s v=""/>
    <s v="Sort of -  joined the Renewable Energy Buyers Alliance (REBA) as a founding member to share best practices, build relationships, and gather insights into the latest corporate renewable energy procurement trends"/>
    <s v="- Cross-functional environmental working group is identifying potential cost-effective emissions reductions activities and building an indirect emissions management strategy for our global supply chain_x000a_- Continue to transition to LED lighting around the globe, which has reduced energy use and operational costs across many of our offices worldwide_x000a_- Joined the United for the Paris Agreement coalition to reinforce our support for meeting the goals set forth in the global Agreement_x000a_- Made substantial progress advancing our environmental management system in alignment with global standards, including ISO 14001. We enhanced our data management systems, refined reporting processes, and empowered teams to better manage performance"/>
    <s v="No reporting for 2016 and earlier_x000a__x000a_2017 and 2018 GHG emissions figures were revied in the 2019 report so the 2019 figures were used"/>
    <s v="- https://www.paypalobjects.com/marketing/web/us/globalimpact/PayPal_2019_Global_Impact_Report_FINAL.pdf"/>
  </r>
  <r>
    <x v="75"/>
    <s v="PepsiCo"/>
    <x v="5"/>
    <x v="20"/>
    <n v="67160000000"/>
    <n v="7353000000"/>
    <n v="1999"/>
    <x v="0"/>
    <x v="0"/>
    <x v="1"/>
    <m/>
    <m/>
    <x v="31"/>
    <m/>
    <s v="N"/>
    <n v="2020"/>
    <n v="3552415"/>
    <n v="1425255"/>
    <m/>
    <n v="4977670"/>
    <n v="50465066"/>
    <n v="55442736"/>
    <n v="3577266"/>
    <n v="1558167"/>
    <m/>
    <n v="5135433"/>
    <n v="62817980"/>
    <n v="67953413"/>
    <n v="3734520"/>
    <n v="1713950"/>
    <m/>
    <n v="5448470"/>
    <n v="62817980"/>
    <n v="68266450"/>
    <n v="3798343"/>
    <n v="1912298"/>
    <m/>
    <n v="5710641"/>
    <n v="62817971"/>
    <n v="68528612"/>
    <n v="3766456"/>
    <n v="1985249"/>
    <m/>
    <n v="5751705"/>
    <n v="63000000"/>
    <n v="68751705"/>
    <m/>
    <s v="- Scope 1 &amp; 2: Reduce absolute greenhouse gas (GHG) emissions by at least 20% by 2030 from 2015 baseline_x000a_- Scope 3: Reduce absolute greenhouse gas (GHG) emissions by at least 20% by 2030 from 2015 baseline_x000a_- Sustainable from the Start program helps our product development teams project and consider the environmental impact, carbon and water footprint, and packaging recyclability of a product"/>
    <m/>
    <s v="- https://www.pepsico.com/docs/album/esg-topics-policies/cdp_climate_change_2017_information_request_pepsico_final_submission-2.pdf?sfvrsn=d0608346_6_x000a_- https://www.pepsico.com/docs/album/esg-topics-policies/2019-cdp-climate-response.pdf?sfvrsn=feb57a1a_4_x000a_- https://www.pepsico.com/docs/album/esg-topics-policies/2018-cdp-climate-response.pdf?sfvrsn=3d7c9d36_6_x000a_- https://www.pepsico.com/docs/album/sustainability-report/2019-csr/2019_sustainability_report_summary.pdf"/>
  </r>
  <r>
    <x v="76"/>
    <s v="Pfizer"/>
    <x v="1"/>
    <x v="2"/>
    <n v="51750000000"/>
    <n v="16270000000"/>
    <n v="1942"/>
    <x v="0"/>
    <x v="0"/>
    <x v="1"/>
    <m/>
    <m/>
    <x v="32"/>
    <m/>
    <s v="N"/>
    <m/>
    <n v="734638"/>
    <n v="634205"/>
    <m/>
    <n v="1368843"/>
    <n v="5674617"/>
    <n v="7043460"/>
    <n v="756964"/>
    <n v="905002"/>
    <m/>
    <n v="1661966"/>
    <n v="3680555"/>
    <n v="5342521"/>
    <n v="788838"/>
    <n v="812923"/>
    <m/>
    <n v="1601761"/>
    <s v="NR"/>
    <s v=""/>
    <n v="940953"/>
    <n v="1106924"/>
    <m/>
    <n v="2047877"/>
    <n v="3819891"/>
    <n v="5867768"/>
    <n v="875274"/>
    <n v="625591"/>
    <m/>
    <n v="1500865"/>
    <n v="3938095"/>
    <n v="5438960"/>
    <s v="N"/>
    <s v="- Reduce greenhouse gas (GHG) emissions by 20% by 2020 compared to a 2012 baseline, which keeps us on the trajectory to reduce our GHG footprint by 60%-80% by 2050 from a 2000 base year"/>
    <m/>
    <s v="- https://pfe-pfizercom-prod.s3.amazonaws.com/responsibility/protecting_environment/Pfizer_2019_Climate_Change.pdf_x000a_- https://www.pfizer.com/sites/default/files/investors/financial_reports/annual_reports/2019/our-performance/key-performance-indicators/index.html_x000a_- https://www.pfizer.com/sites/default/files/investors/financial_reports/annual_reports/2019/assets/pfizer-2019-annual-review.pdf_x000a_- https://pfe-pfizercom-d8-prod.s3.amazonaws.com/2018_Pfizer_KPI_Dashboard.pdf_x000a_- https://www.cdp.net/en/formatted_responses/responses?campaign_id=66216852&amp;discloser_id=825472&amp;locale=en&amp;organization_name=Pfizer+Inc.&amp;organization_number=14683&amp;program=Investor&amp;project_year=2019&amp;redirect=https%3A%2F%2Fcdp.credit360.com%2Fsurveys%2F9hz110bc%2F50007&amp;survey_id=65670419"/>
  </r>
  <r>
    <x v="77"/>
    <s v="Philip Morris"/>
    <x v="5"/>
    <x v="7"/>
    <n v="79820000000"/>
    <n v="7910000000"/>
    <n v="2008"/>
    <x v="0"/>
    <x v="1"/>
    <x v="1"/>
    <n v="2030"/>
    <n v="2019"/>
    <x v="33"/>
    <s v="Y"/>
    <s v="N"/>
    <n v="2030"/>
    <n v="397970"/>
    <n v="159188"/>
    <m/>
    <n v="557158"/>
    <n v="4124842"/>
    <n v="4682000"/>
    <n v="408162"/>
    <n v="175785"/>
    <m/>
    <n v="583947"/>
    <n v="4920000"/>
    <n v="5503947"/>
    <n v="388384"/>
    <n v="241355"/>
    <m/>
    <n v="629739"/>
    <n v="5137000"/>
    <n v="5766739"/>
    <n v="351990"/>
    <n v="314049"/>
    <m/>
    <n v="666039"/>
    <n v="5649000"/>
    <n v="6315039"/>
    <n v="361720"/>
    <n v="329323"/>
    <m/>
    <n v="691043"/>
    <n v="5690000"/>
    <n v="6381043"/>
    <m/>
    <s v="- Projects focused on energy-efficient buildings, fuel control in manufacturing, and LED lighting_x000a_- Internal carbon price of USD 17 per ton of CO2e in order to allocate capital for the best return in terms of carbon reduction and cost-effectiveness_x000a_- Vehicle maintenance, ongoing switch to hybrid and more fuel-effi cient vehicles, and eco-driving behavior_x000a_-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_x000a_- Investments in more efficient curing and curing fuel"/>
    <m/>
    <s v="- https://www.pmi.com/resources/docs/default-source/pmi-sustainability/pmi-sustainability-report-2018-low-res.pdf?sfvrsn=cada91b5_4_x000a_- https://www.pmi.com/docs/default-source/pmi-sustainability/pmi-sustainability-report-2017.pdf_x000a_- https://www.pmi.com/resources/docs/default-source/sustainability-reports-and-publications/pmi-sustainability-report-2018-highlights.pdf?sfvrsn=d4ef95b5_4"/>
  </r>
  <r>
    <x v="78"/>
    <s v="P&amp;G"/>
    <x v="5"/>
    <x v="21"/>
    <n v="67680000000"/>
    <n v="3890000000"/>
    <n v="1978"/>
    <x v="0"/>
    <x v="0"/>
    <x v="1"/>
    <m/>
    <m/>
    <x v="34"/>
    <s v="N"/>
    <s v="N"/>
    <n v="2030"/>
    <n v="2210000"/>
    <n v="1840000"/>
    <m/>
    <n v="4050000"/>
    <n v="381313043"/>
    <n v="385363043"/>
    <n v="2143000"/>
    <n v="1910000"/>
    <m/>
    <n v="4053000"/>
    <n v="235218042"/>
    <n v="239271042"/>
    <n v="2122000"/>
    <n v="2437000"/>
    <m/>
    <n v="4559000"/>
    <n v="235218042"/>
    <n v="239777042"/>
    <n v="2099000"/>
    <n v="2742000"/>
    <m/>
    <n v="4841000"/>
    <n v="210173353"/>
    <n v="215014353"/>
    <n v="2268000"/>
    <n v="2881000"/>
    <m/>
    <n v="5149000"/>
    <n v="210173353"/>
    <n v="215322353"/>
    <s v="Yes -  joined the Climate Leadership Council (CLC), which advocates for a Carbon Dividends Program in the US"/>
    <s v="- Reducing the intensity of greenhouse gas emissions (GHG) from our own operations through:_x000a_Driving energy efficiency measures throughout our facilities_x000a_Transitioning energy sources toward lower/zero carbon alternatives_x000a_Driving more energy-efficient modes of transporting finished products_x000a_- We will help consumers to reduce their own GHG emissions through the use of our products via:_x000a_Product and packaging innovations that enable more efficient consumer product use and energy consumption_x000a_Consumer education to reduce GHG emissions such as the benefits of using cold water for machine washing_x000a_- Work with partners across our value chain to ensure responsible sourcing of agricultural commodities that are known to be associated with deforestation risks (e.g. palm oil, wood pulp)._x000a_- Work with our suppliers to identify meaningful opportunities to reduce our Scope 3 emissions_x000a__x000a_- Internal Climate Council and Sustainability Leadership Council that meet quarterly to review sustainability initiatives_x000a_- Aim to reduce energy by 20% per unit of production by 2020"/>
    <m/>
    <s v="- https://us.pg.com/policies-and-practices/environmental-policies-and-practices/_x000a_- https://assets.ctfassets.net/oggad6svuzkv/6mGPEJVwbe0cIe8ywg2IcA/986dee6a8445a56cfdd30f40f99afd02/Climate_change_perspective.pdf_x000a_- https://assets.ctfassets.net/oggad6svuzkv/4v6eZmhIcES0Ei4YKI0yWy/3f80032b9b6e9307752fa4b217d85e22/FY_17-18_P_G_Assurance_Statement-ASR_authorized.pdf_x000a_- https://downloads.ctfassets.net/oggad6svuzkv/5AXke1Str22EYkYkIyO8QE/c876f5bb05e568aa71e7c1819059c37c/citizenship_report_2019.pdf_x000a_- https://downloads.ctfassets.net/oggad6svuzkv/5AXke1Str22EYkYkIyO8QE/c876f5bb05e568aa71e7c1819059c37c/citizenship_report_2019.pdf_x000a_- https://downloads.ctfassets.net/oggad6svuzkv/325tJmPxGEWQOgc6eGskKy/b69cb86ada52cfe97e468daadf20b741/2017_Full_Citizenship_Report.pdf_x000a_- https://downloads.ctfassets.net/oggad6svuzkv/325tJmPxGEWQOgc6eGskKy/b69cb86ada52cfe97e468daadf20b741/2017_Full_Citizenship_Report.pdf_x000a_-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
  </r>
  <r>
    <x v="79"/>
    <s v="QUALCOMM"/>
    <x v="2"/>
    <x v="11"/>
    <n v="24270000000"/>
    <n v="4390000000"/>
    <n v="1991"/>
    <x v="0"/>
    <x v="0"/>
    <x v="0"/>
    <m/>
    <m/>
    <x v="35"/>
    <s v="Y"/>
    <s v="N"/>
    <m/>
    <n v="75290"/>
    <n v="114060"/>
    <m/>
    <n v="189350"/>
    <n v="112252"/>
    <n v="301602"/>
    <n v="73832"/>
    <n v="120771"/>
    <m/>
    <n v="194603"/>
    <n v="112252"/>
    <n v="306855"/>
    <n v="80179"/>
    <n v="128298"/>
    <m/>
    <n v="208477"/>
    <n v="112252"/>
    <n v="320729"/>
    <n v="75205"/>
    <n v="147681"/>
    <m/>
    <n v="222886"/>
    <n v="112252"/>
    <n v="335138"/>
    <n v="75349"/>
    <n v="155288"/>
    <m/>
    <n v="230637"/>
    <n v="38845"/>
    <n v="269482"/>
    <m/>
    <s v="- To date, we've reduced our GHG emissions by 17.9 percent, of which 5.8 percent is attributed to the purchase of renewable energy certificates (AP81RECs) and carbon offsets (do offsets and RECs through Natural Capital Partners)_x000a_- Own and operate several on-site solar generating systems in San Diego and Bangalore_x000a_- Promote the use of electric vehicles (EVs) by installing dozens of new EV charging stations at our campuses in San_x000a_Diego and Santa Clara, and give employees discounted electric rates at our owned Level 2 EV charging stations and free charging at Level 1 outlets in our garages_x000a_- Combined heat and power plants enable us to self-generate electricity to meet our site needs, while efficiently utilizing the waste heat to provide cooling to our headquarters’ buildings_x000a_-Scope 3: employee business air travel, business car rental and employee commuting)"/>
    <m/>
    <s v="- https://www.qualcomm.com/media/documents/files/2019-qualcomm-sustainability-report.pdf_x000a_- https://www.qualcomm.com/media/documents/files/2017-qualcomm-sustainability-report.pdf_x000a_- https://www.cdp.net/en/formatted_responses/responses?campaign_id=66216852&amp;discloser_id=832614&amp;locale=en&amp;organization_name=QUALCOMM+Inc.&amp;organization_number=15419&amp;program=Investor&amp;project_year=2019&amp;redirect=https%3A%2F%2Fcdp.credit360.com%2Fsurveys%2F9hz110bc%2F49086&amp;survey_id=65670419"/>
  </r>
  <r>
    <x v="80"/>
    <s v="Raytheon"/>
    <x v="0"/>
    <x v="15"/>
    <n v="29176000000"/>
    <n v="3343000000"/>
    <n v="1952"/>
    <x v="0"/>
    <x v="0"/>
    <x v="0"/>
    <m/>
    <m/>
    <x v="36"/>
    <m/>
    <s v="N"/>
    <m/>
    <n v="612307"/>
    <n v="1114227"/>
    <m/>
    <n v="1726534"/>
    <n v="11061240"/>
    <n v="12787774"/>
    <s v="NR"/>
    <s v="NR"/>
    <m/>
    <s v=""/>
    <s v="NR"/>
    <s v=""/>
    <s v="NR"/>
    <s v="NR"/>
    <m/>
    <s v=""/>
    <s v="NR"/>
    <s v=""/>
    <s v="NR"/>
    <s v="NR"/>
    <m/>
    <s v=""/>
    <s v="NR"/>
    <s v=""/>
    <s v="NR"/>
    <s v="NR"/>
    <m/>
    <s v=""/>
    <s v="NR"/>
    <s v=""/>
    <m/>
    <s v="- Upgraded/optimized HVAC systems, installed energy-effi cient measures in our data centers and server rooms, and installed LED lighting while making other changes to building infrastructure and equipment_x000a_- We also monitor and track developments in alternative energy technologies, low-carbon energy solutions and other techniques for reducing greenhouse gas emissions"/>
    <s v="Poor reporting, no carbon emissions reduction goals, and minimal initiatives beyond some basic energy efficiency projects"/>
    <s v="- https://investors.rtx.com/static-files/f8a4c491-7745-4e82-be4e-807d6b0e995f_x000a_- https://www.raytheon.com/sites/default/files/2019-05/raytheon-crr-2018.pdf_x000a_- https://sdd-pdf.s3.amazonaws.com/report-pdfs/2017/60b417e473a9ae1f103146ff1b3954a9.pdf?AWSAccessKeyId=AKIAJZQ4KYD2D35QKCDA&amp;Expires=1594924661&amp;Signature=SguKZk1%2FdQ3x1HRRJy0UTofONhs%3D"/>
  </r>
  <r>
    <x v="81"/>
    <s v="Salesforce"/>
    <x v="2"/>
    <x v="4"/>
    <n v="13280000000"/>
    <n v="1110000000"/>
    <n v="2004"/>
    <x v="0"/>
    <x v="1"/>
    <x v="1"/>
    <n v="2017"/>
    <m/>
    <x v="37"/>
    <s v="Y"/>
    <s v="Y"/>
    <n v="2022"/>
    <n v="5000"/>
    <n v="291000"/>
    <n v="296000"/>
    <n v="0"/>
    <n v="181000"/>
    <n v="181000"/>
    <n v="4000"/>
    <n v="236000"/>
    <n v="240000"/>
    <n v="0"/>
    <n v="134000"/>
    <n v="134000"/>
    <n v="4000"/>
    <n v="174000"/>
    <n v="40940"/>
    <n v="137060"/>
    <n v="99000"/>
    <n v="236060"/>
    <n v="3000"/>
    <n v="132000"/>
    <n v="31050"/>
    <n v="103950"/>
    <n v="84000"/>
    <n v="187950"/>
    <n v="5000"/>
    <n v="71000"/>
    <m/>
    <n v="76000"/>
    <n v="56000"/>
    <n v="132000"/>
    <m/>
    <s v="- Avoid emissions by siting facilities on clean energy grids._x000a_- Reduce ongoing projects throughout our operations with investments in green office spaces and improvements to data center efficiency._x000a_- Mitigate and offset electricity consumption for years to come by signing virtual power purchase agreements._x000a_- Commits that suppliers representing 60% of its scope 3 emissions, covering all upstream emission categories, will set science-based targets by 2024"/>
    <s v="Net zero as of FY18 through carbon offsets (including Scope 3)_x000a__x000a_Scope 3 only includes business travel and employee commuting"/>
    <s v="- https://www.salesforce.com/content/dam/web/en_us/www/documents/white-papers/sustainability-FY20-stakeholder-impact-report.pdf_x000a_- https://www.salesforce.com/content/dam/web/en_us/www/documents/reports/sustainability-FY19-stakeholder-impact-report.pdf_x000a_- https://www.salesforce.com/content/dam/web/en_us/www/documents/reports/sustainability-FY18-stakeholder-impact-report.pdf_x000a_- https://www.salesforce.com/content/dam/web/en_us/www/documents/datasheets/sfdc-fy17-stakeholder-impact.pdf"/>
  </r>
  <r>
    <x v="82"/>
    <s v="Schlumberger"/>
    <x v="8"/>
    <x v="19"/>
    <n v="32900000000"/>
    <n v="-10137000000"/>
    <n v="1956"/>
    <x v="0"/>
    <x v="0"/>
    <x v="1"/>
    <m/>
    <m/>
    <x v="4"/>
    <m/>
    <s v="N"/>
    <m/>
    <s v="NR"/>
    <s v="NR"/>
    <m/>
    <s v=""/>
    <s v="NR"/>
    <s v=""/>
    <n v="1423000"/>
    <n v="642000"/>
    <m/>
    <n v="2065000"/>
    <n v="1185000"/>
    <n v="3250000"/>
    <n v="1358000"/>
    <n v="561000"/>
    <m/>
    <n v="1919000"/>
    <n v="911000"/>
    <n v="2830000"/>
    <n v="1136000"/>
    <n v="704000"/>
    <m/>
    <n v="1840000"/>
    <n v="876000"/>
    <n v="2716000"/>
    <n v="1400000"/>
    <n v="577000"/>
    <m/>
    <n v="1977000"/>
    <n v="1057000"/>
    <n v="3034000"/>
    <s v="N"/>
    <s v="- Sells CCUS services to clients"/>
    <m/>
    <s v="- https://investorcenter.slb.com/news-releases/news-release-details/schlumberger-announces-full-year-and-fourth-quarter-2019-results#:~:text=Schlumberger%20CEO%20Olivier%20Le%20Peuch,achievement%20under%20these%20market%20conditions._x000a_- https://www.slb.com/globalstewardship/pdf/Schlumberger_GlobalStewardship_2018.pdf_x000a_- https://www.slb.com/globalstewardship/pdf/Schlumberger_GlobalStewardship_2016.pdf_x000a_- https://www.slb.com/newsroom/press-release/2019/pr-2019-1219-slb-gs-sbti"/>
  </r>
  <r>
    <x v="83"/>
    <s v="Simon Property Group"/>
    <x v="7"/>
    <x v="10"/>
    <n v="5755000000"/>
    <n v="2098000000"/>
    <n v="1993"/>
    <x v="0"/>
    <x v="0"/>
    <x v="0"/>
    <m/>
    <m/>
    <x v="38"/>
    <m/>
    <s v="N"/>
    <m/>
    <n v="16863.186000000002"/>
    <n v="249714.82"/>
    <m/>
    <n v="266578.00599999999"/>
    <n v="579588"/>
    <n v="846166.00600000005"/>
    <n v="21923"/>
    <n v="287974"/>
    <m/>
    <n v="309897"/>
    <n v="591378"/>
    <n v="901275"/>
    <n v="19404"/>
    <n v="293618"/>
    <m/>
    <n v="313022"/>
    <n v="580998"/>
    <n v="894020"/>
    <n v="20364"/>
    <n v="304405"/>
    <m/>
    <n v="324769"/>
    <n v="604001"/>
    <n v="928770"/>
    <n v="23000"/>
    <n v="358862"/>
    <m/>
    <n v="381862"/>
    <n v="618912"/>
    <n v="1000774"/>
    <m/>
    <s v="-  Proprietary sustainability benchmarking tool for enclosed centers that allow us to better compare properties to improve the shopping center’s overall energy use_x000a_- Upgraded conventional lighting such as fluorescent and metal halide to energy-efficient LED lighting at over 200 properties over the last few years_x000a_- Investing in intelligent energy pilots of sensor-enabled LEDs in partnership with industry-leading companies such as GE and Acuity. Simon will further explore opportunities to install smart networks and sensors to optimize LED lighting both indoors and out_x000a_- Continuously assesses our portfolio to upgrade to more efficient equipment, such as Central Plant, Energy Management Systems, and HVAC replacements. Energy audits and retrocommissioning are the foundation of our energy efficiency programs_x000a_- Installing 3MW solar photovoltaic arrays at three regional malls and three Premium Outlets; completed roof-top solar and battery storage installations_x000a_- Expanding electric vehicle charging stations"/>
    <m/>
    <s v="- https://simon-malls.cld.bz/Simon-Sustainability-Report-2019_x000a_- https://simon-malls.cld.bz/Simon-Sustainability-Report-2018_x000a_- https://simon-malls.cld.bz/Simon-Sustainability-Report-2016_x000a_- https://investors.simon.com/news-releases/news-release-details/simon-launches-bold-new-vision-sustainability"/>
  </r>
  <r>
    <x v="84"/>
    <s v="Southern Company"/>
    <x v="10"/>
    <x v="24"/>
    <n v="21419000000"/>
    <n v="3250000000"/>
    <n v="1949"/>
    <x v="0"/>
    <x v="0"/>
    <x v="0"/>
    <n v="2050"/>
    <n v="2020"/>
    <x v="39"/>
    <m/>
    <s v="N"/>
    <m/>
    <n v="88213565"/>
    <n v="35568"/>
    <m/>
    <n v="88249133"/>
    <n v="38773448"/>
    <n v="127022581"/>
    <n v="102232275"/>
    <n v="2142130.48"/>
    <m/>
    <n v="104374405.48"/>
    <n v="37299499"/>
    <n v="141673904.48000002"/>
    <n v="97534302"/>
    <n v="2701183"/>
    <m/>
    <n v="100235485"/>
    <n v="34630131"/>
    <n v="134865616"/>
    <s v="N"/>
    <s v="N"/>
    <s v="N"/>
    <s v=""/>
    <s v="N"/>
    <s v=""/>
    <s v="N"/>
    <s v="N"/>
    <s v="N"/>
    <s v=""/>
    <s v="N"/>
    <s v=""/>
    <s v="Y"/>
    <s v="-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_x000a_- Invests in the research, development and deployment of new technologies, such as carbon capture, utilization and storage_x000a_- Policy engagement but focus on environmental policy unclear"/>
    <m/>
    <s v="- https://s2.q4cdn.com/471677839/files/doc_financials/2019/annual/SO_2019_AR_Final.pdf_x000a_- https://www.southerncompany.com/content/dam/southern-company/pdf/corpresponsibility/The-Southern-Company-2018-CDP-Climate-Change-response.pdf_x000a_- https://www.southerncompany.com/content/dam/southern-company/pdf/corpresponsibility/CDP-Climate-Disclosure-2019.pdf_x000a_- https://www.southerncompany.com/corporate-responsibility/environment/air-and-climate.html_x000a_- https://www.southerncompany.com/content/dam/southern-company/pdf/corpresponsibility/2017_Corporate_Responsibility_Report.pdf_x000a_- https://www.southerncompany.com/content/dam/southern-company/pdf/reports/CarbonDisclosureReport2016.pdf_x000a_-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_x000a_- https://www.southerncompany.com/content/dam/southern-company/pdf/corpresponsibility/CDP-Climate-Disclosure-2020.pdf"/>
  </r>
  <r>
    <x v="85"/>
    <s v="Starbucks"/>
    <x v="6"/>
    <x v="20"/>
    <n v="26510000000"/>
    <n v="3600000000"/>
    <n v="1992"/>
    <x v="0"/>
    <x v="1"/>
    <x v="1"/>
    <n v="2050"/>
    <n v="2020"/>
    <x v="40"/>
    <m/>
    <s v="Y"/>
    <s v="No target date"/>
    <n v="381198.61"/>
    <n v="281700.89"/>
    <m/>
    <n v="662899.5"/>
    <n v="14963993.050000001"/>
    <n v="15626892.550000001"/>
    <n v="319600"/>
    <n v="285600"/>
    <m/>
    <n v="605200"/>
    <n v="14990000"/>
    <n v="15595200"/>
    <n v="291000"/>
    <n v="390000"/>
    <m/>
    <n v="681000"/>
    <n v="15900000"/>
    <n v="16581000"/>
    <n v="321763"/>
    <n v="253819"/>
    <m/>
    <n v="575582"/>
    <n v="15187612"/>
    <n v="15763194"/>
    <n v="329002"/>
    <n v="513511"/>
    <m/>
    <n v="842513"/>
    <n v="10670765"/>
    <n v="11513278"/>
    <m/>
    <s v="- At the farm level, we have worked with Conservation International to include climate-smart agricultural practices as part of Coffee and Farmer Equity (C.A.F.E.) practices, our ethical Coffee buying guidelines_x000a_- Through the purchase of Renewable Energy Credits (RECs) we are able to offset 62% of our store emissions globally_x000a_- Expanding plant-based and environmentally friendly menu options (shifting consumers away from dairy to alternative milks)_x000a_- Shifting from single-use to reusable packaging_x000a_- Investing in innovative agricultural, water conservation and reforestation practices_x000a_- Looking for ways to better manage waste (including food waste) in stores and in communities_x000a_- Developing more eco-friendly operations, from stores to supply chain to manufacturing"/>
    <m/>
    <s v="- https://www.starbucks.com/responsibility/environment/climate-change_x000a_- https://stories.starbucks.com/uploads/2020/01/Starbucks-Environmental-Baseline-Report.pdf_x000a_- https://stories.starbucks.com/stories/2020/5-things-to-know-about-starbucks-new-environmental-sustainability-commitment/_x000a_- https://fortune.com/2020/01/21/starbucks-carbon-footprint-dairy/"/>
  </r>
  <r>
    <x v="86"/>
    <s v="Target"/>
    <x v="5"/>
    <x v="8"/>
    <n v="78100000000"/>
    <n v="3269000000"/>
    <n v="1967"/>
    <x v="0"/>
    <x v="0"/>
    <x v="1"/>
    <m/>
    <m/>
    <x v="41"/>
    <m/>
    <s v="Y"/>
    <s v="2030_x000a__x000a_60% by 2025"/>
    <n v="752552"/>
    <n v="1545898"/>
    <m/>
    <n v="2298450"/>
    <n v="52049000"/>
    <n v="54347450"/>
    <n v="755484"/>
    <n v="2108893"/>
    <m/>
    <n v="2864377"/>
    <n v="78400000"/>
    <n v="81264377"/>
    <n v="706176"/>
    <n v="2111537"/>
    <m/>
    <n v="2817713"/>
    <n v="78400000"/>
    <n v="81217713"/>
    <n v="730846"/>
    <n v="2155763"/>
    <m/>
    <n v="2886609"/>
    <s v="NR"/>
    <s v=""/>
    <n v="581568"/>
    <n v="2290938"/>
    <m/>
    <n v="2872506"/>
    <s v="NR"/>
    <s v=""/>
    <m/>
    <s v="- Committing 80 percent of our suppliers by spend to set science-based reduction targets on their Scope 1 and 2 emissions by 2023_x000a_- Partnership with the Apparel Impact Institute’s Clean by Design program, which is reducing the environmental impact of textile mills_x000a_- Plan to leverage the Vietnam Improvement Program in partnership with the International Finance Corporation as it increases factories’ energy and water efficiency_x000a_- Launching an electric vehicle programs_x000a_- Converting to LED lights_x000a_- Adopting renewable energy onsite and through PPAs"/>
    <m/>
    <s v="- https://corporate.target.com/annual-reports/2019_x000a_- https://corporate.target.com/_media/TargetCorp/csr/pdf/2019_corporate_responsibility_report.pdf_x000a_- https://corporate.target.com/_media/targetcorp/csr/pdf/2016-corporate-social-responsibility-report.pdf_x000a_- https://corporate.target.com/_media/TargetCorp/csr/pdf/2018_corporate_responsibility_report.pdf_x000a_- https://corporate.target.com/_media/TargetCorp/csr/pdf/2015-Corporate-Social-Responsibility-Report.pdf"/>
  </r>
  <r>
    <x v="87"/>
    <s v="Texas Instruments"/>
    <x v="2"/>
    <x v="11"/>
    <n v="14318000000"/>
    <n v="5020000000"/>
    <n v="1953"/>
    <x v="0"/>
    <x v="0"/>
    <x v="0"/>
    <m/>
    <m/>
    <x v="42"/>
    <s v="Y"/>
    <s v="N"/>
    <m/>
    <n v="966579"/>
    <n v="13430"/>
    <m/>
    <n v="980009"/>
    <s v="NR"/>
    <s v=""/>
    <n v="1157549"/>
    <n v="1110819"/>
    <m/>
    <n v="2268368"/>
    <s v="NR"/>
    <s v=""/>
    <n v="1161654"/>
    <n v="1256755"/>
    <m/>
    <n v="2418409"/>
    <s v="NR"/>
    <s v=""/>
    <n v="1076947"/>
    <n v="1319215"/>
    <m/>
    <n v="2396162"/>
    <s v="NR"/>
    <s v=""/>
    <n v="1085622"/>
    <n v="1322813"/>
    <m/>
    <n v="2408435"/>
    <s v="NR"/>
    <s v=""/>
    <s v="Y"/>
    <s v="- Reducing energy use through improved building energy efficiency_x000a_- Reducing PFCs by using alternative gases and reusing chemicals_x000a_- Encouraging employees to use alternative forms of transportation to commute to work_x000a_- - but to PACs that support their &quot;competitiveness,&quot; not environmental causes"/>
    <m/>
    <s v="- https://www.ti.com/lit/ml/sszo049/sszo049.pdf?ts=1594900881760&amp;ref_url=https%253A%252F%252Fwww.google.com%252F_x000a_- https://www.ti.com/lit/ml/sszo011/sszo011.pdf?ts=1594900884309&amp;ref_url=https%253A%252F%252Fwww.google.com%252F"/>
  </r>
  <r>
    <x v="88"/>
    <s v="Bank of New York Mellon"/>
    <x v="3"/>
    <x v="14"/>
    <n v="20820000000"/>
    <n v="4250000000"/>
    <n v="1784"/>
    <x v="0"/>
    <x v="1"/>
    <x v="0"/>
    <n v="2015"/>
    <n v="2008"/>
    <x v="6"/>
    <s v="Y"/>
    <s v="N"/>
    <s v="N"/>
    <n v="8102"/>
    <n v="3397"/>
    <n v="31457"/>
    <n v="-19958"/>
    <n v="14605"/>
    <n v="-5353"/>
    <n v="8000"/>
    <n v="2500"/>
    <n v="32000"/>
    <n v="-21500"/>
    <n v="17200"/>
    <n v="-4300"/>
    <n v="8265"/>
    <n v="2248"/>
    <n v="38000"/>
    <n v="-27487"/>
    <n v="17944"/>
    <n v="-9543"/>
    <n v="9000"/>
    <n v="3350"/>
    <n v="32000"/>
    <n v="-19650"/>
    <n v="19700"/>
    <n v="50"/>
    <m/>
    <m/>
    <m/>
    <n v="0"/>
    <m/>
    <n v="0"/>
    <m/>
    <s v="-Reduce GHG emissions by 20% by 2025 from a 2018 base year_x000a_- maintain carbon neutrality commitment through 2025_x000a_-Offsets purchased for Scope 3 emissions_x000a_-Purchase of Renewable energy certifcates to offset non-renewable energy use"/>
    <m/>
    <m/>
  </r>
  <r>
    <x v="89"/>
    <s v="Disney"/>
    <x v="4"/>
    <x v="18"/>
    <n v="69570000000"/>
    <n v="11050000000"/>
    <n v="1957"/>
    <x v="0"/>
    <x v="0"/>
    <x v="0"/>
    <m/>
    <m/>
    <x v="43"/>
    <m/>
    <s v="N"/>
    <m/>
    <n v="855073"/>
    <n v="931544"/>
    <m/>
    <n v="1786617"/>
    <s v="NR"/>
    <s v=""/>
    <n v="897523"/>
    <n v="975778"/>
    <m/>
    <n v="1873301"/>
    <s v="NR"/>
    <s v=""/>
    <n v="843275"/>
    <n v="1002150"/>
    <m/>
    <n v="1845425"/>
    <s v="NR"/>
    <s v=""/>
    <n v="865577"/>
    <n v="909738"/>
    <m/>
    <n v="1775315"/>
    <s v="NR"/>
    <s v=""/>
    <n v="851038"/>
    <n v="917030"/>
    <m/>
    <n v="1768068"/>
    <s v="NR"/>
    <s v=""/>
    <m/>
    <s v="-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_x000a_- Operate our bus fleet at Walt Disney World using 50% renewable diesel fuel, while our film and TV productions are piloting electric generators on set_x000a_- Commuter assistance program for employees_x000a_- The Grand Central Creative Campus expansion in Glendale, CA received a Leadership in Energy and Environmental Design (LEED) Platinum certification. The 460-kilowatt solar photovoltaic installation on the parking garage provides 12% of the energy use for the new building"/>
    <m/>
    <s v="- https://thewaltdisneycompany.com/environmental-sustainability/_x000a_- https://www.cdp.net/en/responses?page=2&amp;per_page=5&amp;queries%5Bname%5D=disney&amp;sort_by=project_year&amp;sort_dir=desc&amp;utf8=%E2%9C%93_x000a_-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
  </r>
  <r>
    <x v="90"/>
    <s v="Thermo Fisher"/>
    <x v="1"/>
    <x v="22"/>
    <n v="25540000000"/>
    <n v="3696000000"/>
    <n v="1965"/>
    <x v="0"/>
    <x v="0"/>
    <x v="0"/>
    <m/>
    <m/>
    <x v="4"/>
    <m/>
    <s v="N"/>
    <m/>
    <s v="NR"/>
    <s v="NR"/>
    <m/>
    <s v=""/>
    <s v="NR"/>
    <s v=""/>
    <n v="147521.62"/>
    <n v="690767.33"/>
    <m/>
    <n v="838288.95"/>
    <s v="NR"/>
    <s v=""/>
    <n v="70255"/>
    <n v="408244"/>
    <m/>
    <n v="478499"/>
    <n v="206994"/>
    <n v="685493"/>
    <n v="83529"/>
    <n v="305579"/>
    <m/>
    <n v="389108"/>
    <m/>
    <n v="389108"/>
    <n v="92458"/>
    <n v="301234"/>
    <m/>
    <n v="393692"/>
    <m/>
    <n v="393692"/>
    <m/>
    <s v="- Some investments in renewable energy projects like solar_x000a_- Some investments to make products that can be reused to reduce single use plastics"/>
    <m/>
    <s v="- https://www.thermofisher.com/content/dam/LifeTech/global/CSR/2018%20CSR%20Report.pdf_x000a_- https://www.thermofisher.com/us/en/home/about-us/corporate-social-responsibility/environment/performance.html_x000a_- https://www.thermofisher.com/content/dam/LifeTech/Documents/PDFs/2018_Thermo_Fisher_Scientific_CDP_Report_2017reportingperiod.pdf"/>
  </r>
  <r>
    <x v="91"/>
    <s v="Union Pacific"/>
    <x v="0"/>
    <x v="25"/>
    <n v="21700000000"/>
    <n v="5900000000"/>
    <m/>
    <x v="0"/>
    <x v="0"/>
    <x v="1"/>
    <m/>
    <m/>
    <x v="4"/>
    <m/>
    <s v="N"/>
    <m/>
    <n v="9688964"/>
    <n v="726505"/>
    <m/>
    <n v="10415469"/>
    <n v="15495"/>
    <n v="10430964"/>
    <n v="10874731"/>
    <n v="885635"/>
    <m/>
    <n v="11760366"/>
    <n v="17138"/>
    <n v="11777504"/>
    <n v="10216978"/>
    <n v="773007"/>
    <m/>
    <n v="10989985"/>
    <n v="18466"/>
    <n v="11008451"/>
    <n v="9913870"/>
    <n v="771380"/>
    <m/>
    <n v="10685250"/>
    <n v="18603"/>
    <n v="10703853"/>
    <n v="10834984"/>
    <n v="848565"/>
    <m/>
    <n v="11683549"/>
    <n v="19803"/>
    <n v="11703352"/>
    <s v="N - partnered with environmnetal NGOs who lobby but not actively engaged in policy work"/>
    <s v="- Committed to investing in technology that helps us identify fuel saving opportunities and increase locomotive productivity. For example, new software helps us predict potential locomotive failures_x000a_- Building longer trains, meaning fewer locomotives haul the same amount of freight, thus reducing emissions_x000a_- Purchased nearly 14,000 square yards of carbon neutral flooring, resulting in the retirement of 120 metric tons of carbon dioxide_x000a_- Scope 3 business travel"/>
    <m/>
    <s v="- https://www.up.com/cs/groups/public/@uprr/@corprel/documents/up_pdf_nativedocs/pdf_up_2019_building_america_r.pdf_x000a_- https://www.up.com/cs/groups/public/@uprr/documents/up_pdf_nativedocs/pdf_up_build_america_rep_2017.pdf"/>
  </r>
  <r>
    <x v="92"/>
    <s v="United Health Group"/>
    <x v="1"/>
    <x v="29"/>
    <n v="242200000000"/>
    <n v="14240000000"/>
    <n v="1984"/>
    <x v="0"/>
    <x v="0"/>
    <x v="0"/>
    <m/>
    <m/>
    <x v="44"/>
    <m/>
    <s v="N"/>
    <m/>
    <n v="17709"/>
    <n v="149418"/>
    <m/>
    <n v="167127"/>
    <n v="429811"/>
    <n v="596938"/>
    <n v="13924"/>
    <n v="158042"/>
    <m/>
    <n v="171966"/>
    <n v="301410"/>
    <n v="473376"/>
    <n v="16570"/>
    <n v="156719"/>
    <m/>
    <n v="173289"/>
    <n v="127671"/>
    <n v="300960"/>
    <n v="15838"/>
    <n v="161303"/>
    <m/>
    <n v="177141"/>
    <n v="146373"/>
    <n v="323514"/>
    <n v="16567"/>
    <n v="180096"/>
    <m/>
    <n v="196663"/>
    <n v="173042"/>
    <n v="369705"/>
    <m/>
    <s v="- Goal is to decrease our environmental impact through energy conservation and renewable energy; incorporate energy efficiency and high-performance design during construction practices; and invest annually in energy efficiency projects to reduce carbon emissions_x000a_- Completed 20 funded sustainability projects including interior and exterior lighting upgrades and water reduction projects_x000a_- Maintained business operations in LEED-certified facilities (Leadership in Energy &amp; Environmental Design) totaling 2.1 million square feet_x000a_"/>
    <m/>
    <s v="- https://www.unitedhealthgroup.com/viewer.html?file=%2Fcontent%2Fdam%2FUHG%2FPDF%2FAbout%2FUNH-Environmental-Impact-Statement.pdf_x000a_- https://www.unitedhealthgroup.com/what-we-do/performance-tables.html"/>
  </r>
  <r>
    <x v="93"/>
    <s v="UPS"/>
    <x v="0"/>
    <x v="25"/>
    <n v="74094000000"/>
    <n v="4400000000"/>
    <n v="1999"/>
    <x v="0"/>
    <x v="0"/>
    <x v="0"/>
    <m/>
    <m/>
    <x v="45"/>
    <s v="Y"/>
    <s v="N"/>
    <m/>
    <n v="14223000"/>
    <n v="731000"/>
    <m/>
    <n v="14954000"/>
    <n v="21008000"/>
    <n v="35962000"/>
    <n v="13851000"/>
    <n v="784000"/>
    <n v="103500"/>
    <n v="14531500"/>
    <n v="21783000"/>
    <n v="36314500"/>
    <n v="13047000"/>
    <n v="745000"/>
    <n v="84200"/>
    <n v="13707800"/>
    <n v="20071000"/>
    <n v="33778800"/>
    <n v="12432000"/>
    <n v="831000"/>
    <n v="101700"/>
    <n v="13161300"/>
    <n v="17430000"/>
    <n v="30591300"/>
    <n v="12197000"/>
    <n v="814000"/>
    <n v="48100"/>
    <n v="12962900"/>
    <n v="16877000"/>
    <n v="29839900"/>
    <s v="Y - participate in public policy forums, where we advocate for prudent innovation and investment_x000a_in new technologies and infrastructure development"/>
    <s v="-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_x000a_- Expanding our fleet of alternative fuel and advanced technology vehicles, known as our rolling laboratory, in order to reduce the proportion of conventional fuels we use;_x000a_- Reducing conventional energy use and increasing the use of renewable energy in our facilities and alternative fuel in our fleet;_x000a_- Providing customers with services that help them reduce their environmental impact; and_x000a_- Helping increase supplier awareness about GHG emissions and how to reduce them"/>
    <m/>
    <s v="- https://sustainability.ups.com/media/2018-gri-index.pdf_x000a_- https://sustainability.ups.com/media/GRI-Index-2017.pdf"/>
  </r>
  <r>
    <x v="94"/>
    <s v="US Bancorp"/>
    <x v="3"/>
    <x v="13"/>
    <n v="25775000000"/>
    <n v="6914000000"/>
    <s v="1968?"/>
    <x v="1"/>
    <x v="0"/>
    <x v="0"/>
    <m/>
    <m/>
    <x v="46"/>
    <m/>
    <s v="N"/>
    <m/>
    <n v="56482"/>
    <n v="176447"/>
    <m/>
    <n v="232929"/>
    <n v="170573"/>
    <n v="403502"/>
    <n v="63333"/>
    <n v="233322"/>
    <n v="85864"/>
    <n v="210791"/>
    <m/>
    <n v="210791"/>
    <n v="55029"/>
    <n v="239367"/>
    <m/>
    <n v="294396"/>
    <m/>
    <n v="294396"/>
    <n v="53544"/>
    <n v="325439"/>
    <m/>
    <n v="378983"/>
    <n v="86665"/>
    <n v="465648"/>
    <m/>
    <m/>
    <m/>
    <n v="0"/>
    <m/>
    <n v="0"/>
    <m/>
    <s v="- In 2019 alone, U.S. Bank committed more than $1.2 billion to finance over 2.2 gigawatts of renewable energy projects throughout the U.S._x000a_- To date, we have 26 LEED certified branches and are continuing to follow sustainable principles in the design of our new facilities with plans to maintain this focus in the future_x000a_- Partnerships with CERES, GRID Alternatives, and Earthwatch Ignite Program -- environmental NGOs -- to better understand environmental issues and identify solutions_x000a_- We will continue to evaluate opportunities to invest in products and practices that reduce our dependence on energy in areas such as facilities, equipment, operations and business travel"/>
    <m/>
    <s v="- https://www.usbank.com/about-us-bank/community/sustainability.html_x000a_- https://www.usbank.com/about-us-bank/community/sustainability/environment-initiatives.html_x000a_- https://www.usbank.com/dam/documents/pdf/about-us-bank/community/sustainability/USBank-2019-CDP.pdf_x000a_- https://www.usbank.com/dam/documents/pdf/about-us-bank/community/sustainability/USBank-2017-CDP-Report_v2.pdf_x000a_- https://www.usbank.com/dam/documents/pdf/about-us-bank/community/sustainability/Environmental-Responsibility-Policy-2019.pdf_x000a_- https://www.cdp.net/en/formatted_responses/responses?campaign_id=66216852&amp;discloser_id=824883&amp;locale=en&amp;organization_name=U.S.+Bancorp&amp;organization_number=19593&amp;program=Investor&amp;project_year=2019&amp;redirect=https%3A%2F%2Fcdp.credit360.com%2Fsurveys%2F9hz110bc%2F54190&amp;survey_id=65670419"/>
  </r>
  <r>
    <x v="95"/>
    <s v="Verizon"/>
    <x v="4"/>
    <x v="12"/>
    <n v="131860000000"/>
    <n v="19790000000"/>
    <n v="2000"/>
    <x v="0"/>
    <x v="1"/>
    <x v="0"/>
    <n v="2035"/>
    <n v="2019"/>
    <x v="4"/>
    <s v="Y"/>
    <s v="N"/>
    <s v="50% by 2025"/>
    <n v="358753"/>
    <n v="3982613"/>
    <m/>
    <n v="4341366"/>
    <n v="17061647"/>
    <n v="21403013"/>
    <n v="385241"/>
    <n v="4033579"/>
    <m/>
    <n v="4418820"/>
    <s v="NR"/>
    <s v=""/>
    <n v="376735"/>
    <n v="4522261"/>
    <m/>
    <n v="4898996"/>
    <n v="69271"/>
    <n v="4968267"/>
    <n v="372496"/>
    <n v="5529727"/>
    <m/>
    <n v="5902223"/>
    <n v="91365"/>
    <n v="5993588"/>
    <n v="445704"/>
    <n v="5529153"/>
    <m/>
    <n v="5974857"/>
    <n v="43333"/>
    <n v="6018190"/>
    <m/>
    <s v="- A 28% Carbon Intensity reduction since 2016 with the goal set for a 50% carbon intensity reduction by 2025_x000a_- A green energy initiative which has offset 20,000 metric tons of CO2_x000a_- A 2025 commitment to source renewable energy equivalent to 50% of Verizon's total electricity usage_x000a_- Carbon abatement will enable customers to also reduce their carbon footprint_x000a_- 278 ENERGY STAR-certified buildings and 22 onsite renewable energy installations_x000a_- 28,000 Green Team employees in 44 countries_x000a_- Two million trees planted by 2030 with more than 700,000 planted already"/>
    <s v="Scope 1 and 2 emissions"/>
    <s v="- https://www.verizon.com/about/news/verizon-goes-carbon-neutral-2035_x000a_- https://www.verizon.com/about/sites/default/files/corporate-responsibility-report/2018/environment/emissions.html_x000a_- https://www.verizon.com/about/sites/default/files/esg-report/2019/environmental/our-emissions-by-scope.html"/>
  </r>
  <r>
    <x v="96"/>
    <s v="Visa"/>
    <x v="3"/>
    <x v="9"/>
    <n v="23000000000"/>
    <n v="12100000000"/>
    <n v="2008"/>
    <x v="0"/>
    <x v="0"/>
    <x v="0"/>
    <m/>
    <m/>
    <x v="4"/>
    <m/>
    <s v="Y"/>
    <n v="2019"/>
    <n v="8642"/>
    <n v="51366"/>
    <m/>
    <n v="60008"/>
    <n v="523963"/>
    <n v="583971"/>
    <n v="8621.6999999999989"/>
    <n v="54604.1"/>
    <m/>
    <n v="63225.799999999996"/>
    <n v="232156"/>
    <n v="295381.8"/>
    <n v="9143"/>
    <n v="56628"/>
    <m/>
    <n v="65771"/>
    <n v="55182"/>
    <n v="120953"/>
    <n v="9005"/>
    <n v="68968"/>
    <m/>
    <n v="77973"/>
    <n v="49736"/>
    <n v="127709"/>
    <n v="17837"/>
    <n v="55177"/>
    <m/>
    <n v="73014"/>
    <n v="33149"/>
    <n v="106163"/>
    <s v="N"/>
    <s v="- Green building design (64% LEED certified)_x000a_- Energy efficiency (lighting upgrades and motion sensors)_x000a_- Efficient electronics policy that mandates at least 90 percent of new electronics in our largest corporate campus offices meet either ENERGY STAR or EPACT certification standards_x000a_- Progress towards our commitment to purchase 100 percent renewable electricity_x000a_- Use mechanical cooling_x000a_- Reduce refrigerant use_x000a_- Decomission underutilized servers_x000a_- Commuter benefits and other incentives to encourage sustainable employee behavior"/>
    <s v="Included purchased goods and services and employee commuting for first time in 2018 Scope 3 reporting"/>
    <s v="- https://s1.q4cdn.com/050606653/files/doc_financials/2019/q4/Visa-Inc.-Q4-2019-Financial-Results.pdf_x000a_- https://usa.visa.com/dam/VCOM/download/corporate-responsibility/visa-2018-corporate-responsibility-report.pdf_x000a_- https://usa.visa.com/dam/VCOM/download/corporate-responsibility/visa-2017-corporate-responsibility-report.pdf"/>
  </r>
  <r>
    <x v="97"/>
    <s v="Walgreens"/>
    <x v="1"/>
    <x v="8"/>
    <n v="136900000000"/>
    <n v="3900000000"/>
    <n v="1927"/>
    <x v="0"/>
    <x v="0"/>
    <x v="0"/>
    <m/>
    <m/>
    <x v="4"/>
    <m/>
    <s v="N"/>
    <m/>
    <n v="389000"/>
    <n v="1645000"/>
    <m/>
    <n v="2034000"/>
    <n v="107000"/>
    <n v="2141000"/>
    <n v="370000"/>
    <n v="1639000"/>
    <m/>
    <n v="2009000"/>
    <n v="120000"/>
    <n v="2129000"/>
    <n v="368000"/>
    <n v="1863000"/>
    <m/>
    <n v="2231000"/>
    <n v="123000"/>
    <n v="2354000"/>
    <m/>
    <m/>
    <m/>
    <n v="0"/>
    <m/>
    <n v="0"/>
    <m/>
    <m/>
    <m/>
    <n v="0"/>
    <m/>
    <n v="0"/>
    <s v=" "/>
    <s v="-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
    <m/>
    <s v="- https://www.walgreensbootsalliance.com/corporate-social-responsibility/resource-library_x000a_- https://www.walgreensbootsalliance.com/corporate-social-responsibility/csr-report-archive"/>
  </r>
  <r>
    <x v="98"/>
    <s v="Walmart"/>
    <x v="5"/>
    <x v="8"/>
    <n v="524000000000"/>
    <n v="14880000000"/>
    <n v="1972"/>
    <x v="0"/>
    <x v="1"/>
    <x v="1"/>
    <n v="2040"/>
    <m/>
    <x v="47"/>
    <s v="N"/>
    <s v="Y"/>
    <n v="2025"/>
    <n v="6484616"/>
    <n v="11078980"/>
    <m/>
    <n v="17563596"/>
    <n v="184474411"/>
    <n v="202038007"/>
    <n v="6101641"/>
    <n v="12022083"/>
    <m/>
    <n v="18123724"/>
    <n v="184474411"/>
    <n v="202598135"/>
    <n v="12160000"/>
    <n v="6520000"/>
    <m/>
    <n v="18680000"/>
    <m/>
    <n v="18680000"/>
    <n v="14080000"/>
    <n v="6650000"/>
    <m/>
    <n v="20730000"/>
    <m/>
    <n v="20730000"/>
    <n v="14930000"/>
    <n v="6110000"/>
    <m/>
    <n v="21040000"/>
    <m/>
    <n v="21040000"/>
    <s v="Membership and participation but seemingly little advocacy - Renewable Energy Buyers Alliance, Paris and Bonn Negotiations, We Are Still In"/>
    <s v="-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_x000a_- 50% renewable energy by 2025_x000a_- In FY2017, Walmart and the Walmart Foundation pledged $25 million in cash and in-kind donations to support disaster preparedness and relief through 2020_x000a_- Improving the performance of our refrigeration systems_x000a_- Maximizing the sustainability of our fleet"/>
    <s v="First retailer to announce a science-based target to reduce greenhouse gases in alignment with the Paris Agreement_x000a__x000a_Has not reported emissions for 2018 or 2019"/>
    <s v="- https://corporate.walmart.com/media-library/document/2019-environmental-social-governance-report/_proxyDocument?id=0000016c-20b5-d46a-afff-f5bdafd30000_x000a_- https://ilsr.org/wp-content/uploads/2012/04/topten-walmartsustainability.pdf"/>
  </r>
  <r>
    <x v="99"/>
    <s v="Wells Fargo"/>
    <x v="3"/>
    <x v="13"/>
    <n v="85060000000"/>
    <n v="19550000000"/>
    <n v="1978"/>
    <x v="0"/>
    <x v="0"/>
    <x v="0"/>
    <m/>
    <m/>
    <x v="48"/>
    <s v="N - renewable energy RECs though"/>
    <s v="Y"/>
    <n v="2017"/>
    <n v="91993"/>
    <n v="4988"/>
    <m/>
    <n v="96981"/>
    <n v="3610451"/>
    <n v="3707432"/>
    <n v="95316"/>
    <n v="833204"/>
    <m/>
    <n v="928520"/>
    <n v="3781802"/>
    <n v="4710322"/>
    <n v="85830"/>
    <n v="848520"/>
    <m/>
    <n v="934350"/>
    <s v="NR"/>
    <s v=""/>
    <n v="85628"/>
    <n v="974982"/>
    <m/>
    <n v="1060610"/>
    <s v="NR"/>
    <s v=""/>
    <n v="92610"/>
    <n v="1193278"/>
    <m/>
    <n v="1285888"/>
    <s v="NR"/>
    <s v=""/>
    <m/>
    <s v="- Continue to purchase renewable electricity to meet 100% of our global operations needs (purchased RECs)_x000a_- Transition to long-term agreements that fund new sources of green power by 2020_x000a_- Sustain or increase our 45% reduction in greenhouse gas emissions from 2008 levels_x000a_- Reduce energy consumption 40% (2008 to 2020)_x000a_- Achieve LEED® status for 35% of buildings (by square footage in leased and owned buildings)_x000a_- Provide $200 billion in financing to sustainable businesses and projects (2018-2030) with more than 50 percent focused on clean technology and renewable energy transactions that directly support the transition to a low-carbon economy"/>
    <m/>
    <s v="- https://www08.wellsfargomedia.com/assets/pdf/about/corporate-responsibility/gri-environmental-indicators.pdf_x000a_- https://www08.wellsfargomedia.com/assets/pdf/about/corporate-responsibility/verification-statement.pdf_x000a_- https://www08.wellsfargomedia.com/assets/pdf/about/corporate-responsibility/climate-change-issue-brief.pdf_x000a_- https://www08.wellsfargomedia.com/assets/pdf/about/corporate-responsibility/climate-change-information-request.pdf_x000a_- https://www08.wellsfargomedia.com/assets/pdf/about/corporate-responsibility/2015-social-responsibility-report.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46A94-9B97-44EC-A574-048D80E2C70B}"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6" firstHeaderRow="1" firstDataRow="1" firstDataCol="1" rowPageCount="2" colPageCount="1"/>
  <pivotFields count="50">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items count="12">
        <item x="4"/>
        <item x="6"/>
        <item x="5"/>
        <item x="8"/>
        <item x="3"/>
        <item x="1"/>
        <item x="0"/>
        <item x="9"/>
        <item x="7"/>
        <item x="2"/>
        <item x="10"/>
        <item t="default"/>
      </items>
    </pivotField>
    <pivotField showAll="0">
      <items count="31">
        <item x="15"/>
        <item x="14"/>
        <item x="26"/>
        <item x="13"/>
        <item x="23"/>
        <item x="28"/>
        <item x="9"/>
        <item x="22"/>
        <item x="2"/>
        <item x="11"/>
        <item x="18"/>
        <item x="20"/>
        <item x="29"/>
        <item x="16"/>
        <item x="21"/>
        <item x="27"/>
        <item x="3"/>
        <item x="5"/>
        <item x="6"/>
        <item x="25"/>
        <item x="17"/>
        <item x="1"/>
        <item x="19"/>
        <item x="10"/>
        <item x="8"/>
        <item x="4"/>
        <item x="0"/>
        <item x="12"/>
        <item x="7"/>
        <item x="24"/>
        <item t="default"/>
      </items>
    </pivotField>
    <pivotField showAll="0"/>
    <pivotField showAll="0"/>
    <pivotField showAll="0"/>
    <pivotField showAll="0">
      <items count="3">
        <item x="1"/>
        <item x="0"/>
        <item t="default"/>
      </items>
    </pivotField>
    <pivotField axis="axisPage" showAll="0">
      <items count="4">
        <item x="0"/>
        <item x="1"/>
        <item x="2"/>
        <item t="default"/>
      </items>
    </pivotField>
    <pivotField axis="axisPage" showAll="0">
      <items count="3">
        <item x="0"/>
        <item x="1"/>
        <item t="default"/>
      </items>
    </pivotField>
    <pivotField showAll="0"/>
    <pivotField showAll="0"/>
    <pivotField showAll="0">
      <items count="50">
        <item x="8"/>
        <item x="14"/>
        <item x="3"/>
        <item x="10"/>
        <item x="2"/>
        <item x="9"/>
        <item x="12"/>
        <item x="13"/>
        <item x="1"/>
        <item x="7"/>
        <item x="11"/>
        <item x="5"/>
        <item x="0"/>
        <item x="18"/>
        <item x="24"/>
        <item x="47"/>
        <item x="32"/>
        <item x="22"/>
        <item x="27"/>
        <item x="30"/>
        <item x="35"/>
        <item x="41"/>
        <item x="34"/>
        <item x="20"/>
        <item x="23"/>
        <item x="21"/>
        <item x="25"/>
        <item x="48"/>
        <item x="39"/>
        <item x="40"/>
        <item x="28"/>
        <item x="43"/>
        <item x="33"/>
        <item x="46"/>
        <item x="45"/>
        <item x="44"/>
        <item x="15"/>
        <item x="6"/>
        <item x="42"/>
        <item x="36"/>
        <item x="38"/>
        <item x="29"/>
        <item x="37"/>
        <item x="17"/>
        <item x="16"/>
        <item x="19"/>
        <item x="26"/>
        <item x="3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ageFields count="2">
    <pageField fld="9" item="0" hier="-1"/>
    <pageField fld="8" hier="-1"/>
  </pageFields>
  <dataFields count="1">
    <dataField name="Count of Company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4FFCF-A1E3-48CF-933B-0806807F1D49}" name="Table1" displayName="Table1" ref="A1:BD102" totalsRowCount="1" headerRowDxfId="87" dataDxfId="86">
  <sortState xmlns:xlrd2="http://schemas.microsoft.com/office/spreadsheetml/2017/richdata2" ref="A2:BC101">
    <sortCondition ref="A1:A101"/>
  </sortState>
  <tableColumns count="56">
    <tableColumn id="1" xr3:uid="{398EA38E-C384-4BDD-9E09-25FC1FF0C7C7}" name="Company Name" dataDxfId="85" totalsRowDxfId="41"/>
    <tableColumn id="69" xr3:uid="{537EA2F0-2F2A-42E9-859D-B5A35F2F38C8}" name="Shorthand Company Name" dataDxfId="84" totalsRowDxfId="40"/>
    <tableColumn id="2" xr3:uid="{71B1879C-D438-4C5C-8ADA-01AF3F0C5AF0}" name="Sector"/>
    <tableColumn id="3" xr3:uid="{0C2C7332-081E-4A7F-88D9-2982C2DE2235}" name="Industry" dataDxfId="83" totalsRowDxfId="39"/>
    <tableColumn id="4" xr3:uid="{77C2697E-E2C2-487F-AB09-8EA64EF7DF20}" name="Size (2019 Revenue)" dataDxfId="82" totalsRowDxfId="38" dataCellStyle="Currency"/>
    <tableColumn id="49" xr3:uid="{D40DADBB-A044-4461-A1A8-D1FE4CE1C38E}" name="Net earnings post carbon price @85/t" dataDxfId="44" totalsRowDxfId="37" dataCellStyle="Currency">
      <calculatedColumnFormula>IF(ISNUMBER(Table1[[#This Row],[2019 Scope 3 ]]),IF(Table1[[#This Row],[Net Earnings/Income (2019)]]-k_cost*Table1[[#This Row],[2019 Total Scope 1, 2 + 3]]&lt;0,"Y","N"),"NA")</calculatedColumnFormula>
    </tableColumn>
    <tableColumn id="50" xr3:uid="{2C932F36-92A3-4C39-A624-43EFB70E56ED}" name="Carbon costs in % revenue" dataDxfId="43" totalsRowDxfId="36" dataCellStyle="Currency">
      <calculatedColumnFormula>IF(ISNUMBER(Table1[[#This Row],[2019 Scope 3 ]]),IF(k_cost*Table1[[#This Row],[2019 Total Scope 1, 2 + 3]]/Table1[[#This Row],[Size (2019 Revenue)]]&gt;k_rev_max,"Y","N"),"NA")</calculatedColumnFormula>
    </tableColumn>
    <tableColumn id="51" xr3:uid="{65B9C052-3930-4EA1-8D26-A79EEADEEF7D}" name="Under_Performance" dataDxfId="42" totalsRowDxfId="35" dataCellStyle="Percent">
      <calculatedColumnFormula>IF(OR(Table1[[#This Row],[Net earnings post carbon price @85/t]]="Y",Table1[[#This Row],[Carbon costs in % revenue]] = "Y"),"Y",IF(OR(Table1[[#This Row],[Net earnings post carbon price @85/t]]="NA",Table1[[#This Row],[Carbon costs in % revenue]]="NA"),"NA","N"))</calculatedColumnFormula>
    </tableColumn>
    <tableColumn id="5" xr3:uid="{8F2FF33B-2525-4FB4-A163-5E2571D8B502}" name="Net Earnings/Income (2019)" dataDxfId="45" totalsRowDxfId="34" dataCellStyle="Currency"/>
    <tableColumn id="6" xr3:uid="{CE4200D0-58F6-4F2E-8A32-5ABF8AD49FC4}" name="IPO Year" dataDxfId="81" totalsRowDxfId="33" dataCellStyle="Currency"/>
    <tableColumn id="7" xr3:uid="{4528A40F-3394-4A74-8194-AAFC08C6C072}" name="S&amp;P 100? (Y/N)" dataDxfId="80" totalsRowDxfId="32" dataCellStyle="Currency"/>
    <tableColumn id="8" xr3:uid="{C56AFEC0-BAA3-4F42-BE5B-32940CD8CF1C}" name="Carbon Neutral Goal? (Y/N)"/>
    <tableColumn id="9" xr3:uid="{5A8D5E3F-216C-4049-AF7D-284D43E0BB47}" name="Science-Based Target? (Y/N)"/>
    <tableColumn id="10" xr3:uid="{D571FC94-7AF2-431D-AC48-04599689158B}" name="Carbon Neutral by.... (year)"/>
    <tableColumn id="11" xr3:uid="{4A38C53F-CE16-460B-B710-A9A7A92686B4}" name="Carbon Neutral Announcement (year)"/>
    <tableColumn id="12" xr3:uid="{2E5B117F-AE37-408C-BB2D-14CC69D0A39E}" name="Carbon Goal (if non-zero)"/>
    <tableColumn id="13" xr3:uid="{7BBB9DC0-8C94-449D-9B4F-35C56437727A}" name="Reliance on Offsets? (Y/N)"/>
    <tableColumn id="14" xr3:uid="{A1985EC7-50A3-491A-A7E9-D9F6EB155545}" name="RE100 Commitment? (Y/N)"/>
    <tableColumn id="15" xr3:uid="{55B44FD0-A4F9-4855-ADAD-3F4FC6FE2407}" name="100% Renewable Energy by... (year)"/>
    <tableColumn id="47" xr3:uid="{3F2FA197-63B2-4DC6-B104-4D5620F0BEA8}" name="Evolution vs. LY" dataDxfId="79" dataCellStyle="Percent">
      <calculatedColumnFormula>IFERROR((Table1[[#This Row],[2019 Total Scope 1, 2 + 3]])/Table1[[#This Row],[2018 Total Scope 1, 2 + Scope 3]]-1,"NA")</calculatedColumnFormula>
    </tableColumn>
    <tableColumn id="46" xr3:uid="{36C24F84-0C22-4E46-8C90-A05B16EEE562}" name="Column1"/>
    <tableColumn id="16" xr3:uid="{F3CCBB0D-7275-48EB-A472-9BE1DF1DC5E6}" name="2019 Scope 1 (MeT Co2)" dataDxfId="78" totalsRowDxfId="31" dataCellStyle="Comma"/>
    <tableColumn id="17" xr3:uid="{3AAB91F8-5653-4BA9-B8A2-534E8E5D2B69}" name="2019 Scope 2 " dataDxfId="77" totalsRowDxfId="30" dataCellStyle="Comma"/>
    <tableColumn id="18" xr3:uid="{F14E36A1-FF38-41E0-B480-1B2CB14DE342}" name="2019 Offsets Purchased" dataDxfId="76" totalsRowDxfId="29" dataCellStyle="Comma"/>
    <tableColumn id="19" xr3:uid="{CE5E2375-DA7C-4F58-A701-3FAA145D84B7}" name="2019 Net Scope 1 + 2 Emissions" dataDxfId="75" totalsRowDxfId="28" dataCellStyle="Comma">
      <calculatedColumnFormula>IFERROR(V2+W2-X2,"")</calculatedColumnFormula>
    </tableColumn>
    <tableColumn id="20" xr3:uid="{F9A03DDB-CFFE-4D15-9111-7324364D552B}" name="2019 Scope 3 " dataDxfId="74" totalsRowDxfId="27" dataCellStyle="Comma"/>
    <tableColumn id="62" xr3:uid="{842F8120-486C-488E-BB06-83C15C9B2D83}" name="2019 Total Scope 1, 2 + 3" dataDxfId="73" totalsRowDxfId="26" dataCellStyle="Comma">
      <calculatedColumnFormula>IFERROR(Y2+Z2,"")</calculatedColumnFormula>
    </tableColumn>
    <tableColumn id="21" xr3:uid="{46CB6DCC-3475-40D9-A426-F32EBF168D6D}" name="2018 Scope 1" dataDxfId="72" totalsRowDxfId="25" dataCellStyle="Comma"/>
    <tableColumn id="22" xr3:uid="{E48FFEA6-F944-4042-A53A-BBE0B66FC329}" name="2018 Scope 2" dataDxfId="71" totalsRowDxfId="24" dataCellStyle="Comma"/>
    <tableColumn id="23" xr3:uid="{EE846130-6D2D-45E1-8D82-07C6BA87A779}" name="2018 Offsets Purchased" dataDxfId="70" totalsRowDxfId="23" dataCellStyle="Comma"/>
    <tableColumn id="24" xr3:uid="{F794873A-5F80-4E88-B5AE-80CD8BCDFAAF}" name="2018 Net Scope 1 + 2 Emissions" dataDxfId="69" totalsRowDxfId="22" dataCellStyle="Comma">
      <calculatedColumnFormula>IFERROR(AB2+AC2-AD2,"")</calculatedColumnFormula>
    </tableColumn>
    <tableColumn id="25" xr3:uid="{29A4C0E0-3FAD-4F63-8E5F-88E1F32EA37F}" name="2018 Scope 3" dataDxfId="68" totalsRowDxfId="21" dataCellStyle="Comma"/>
    <tableColumn id="61" xr3:uid="{C45762E3-4919-4A70-8B64-588CE24F1BD0}" name="2018 Total Scope 1, 2 + Scope 3" dataDxfId="67" totalsRowDxfId="20" dataCellStyle="Comma">
      <calculatedColumnFormula>IFERROR(AE2+AF2,"")</calculatedColumnFormula>
    </tableColumn>
    <tableColumn id="26" xr3:uid="{68E54195-066F-49CB-AACD-19A8A2478DF9}" name="2017 Scope 1" dataDxfId="66" totalsRowDxfId="19" dataCellStyle="Comma"/>
    <tableColumn id="27" xr3:uid="{AFD0D8F0-0DD8-4C68-AEE3-452E5FCF0780}" name="2017 Scope 2" dataDxfId="65" totalsRowDxfId="18" dataCellStyle="Comma"/>
    <tableColumn id="28" xr3:uid="{C50834F2-FE8F-4E66-A200-C70133A87101}" name="2017 Offsets Purchased" dataDxfId="64" totalsRowDxfId="17" dataCellStyle="Comma"/>
    <tableColumn id="29" xr3:uid="{18284B08-2E15-4CE2-8A33-5D0BE59C64D8}" name="2017 Net Scope 1 + 2 Emissions" dataDxfId="63" totalsRowDxfId="16" dataCellStyle="Comma">
      <calculatedColumnFormula>IFERROR(AH2+AI2-AJ2,"")</calculatedColumnFormula>
    </tableColumn>
    <tableColumn id="30" xr3:uid="{E2B2A7F0-002B-4018-A9DE-16C831A16512}" name="2017 Scope 3" dataDxfId="62" totalsRowDxfId="15" dataCellStyle="Comma"/>
    <tableColumn id="63" xr3:uid="{9A757284-2687-46CF-BF9A-D5CB4D8ED432}" name="2017 Total Scope 1, 2 + 3" dataDxfId="61" totalsRowDxfId="14" dataCellStyle="Comma">
      <calculatedColumnFormula>IFERROR(AK2+AL2,"")</calculatedColumnFormula>
    </tableColumn>
    <tableColumn id="31" xr3:uid="{6B018613-C9C4-4BA6-B7EB-3B1BAFDC5EB3}" name="2016 Scope 1" dataDxfId="60" totalsRowDxfId="13" dataCellStyle="Comma"/>
    <tableColumn id="32" xr3:uid="{568AC599-B73D-41EC-BE15-016AE6E1318C}" name="2016 Scope 2" dataDxfId="59" totalsRowDxfId="12" dataCellStyle="Comma"/>
    <tableColumn id="33" xr3:uid="{7541ACA9-BF60-40D5-986B-A67F0E46B8A5}" name="2016 Offsets Purchased" dataDxfId="58" totalsRowDxfId="11" dataCellStyle="Comma"/>
    <tableColumn id="34" xr3:uid="{9FD1F91F-0D90-46B4-8568-8D912EB51435}" name="2016 Net Scope 1 + 2 Emissions" dataDxfId="57" totalsRowDxfId="10" dataCellStyle="Comma">
      <calculatedColumnFormula>IFERROR(AN2+AO2-AP2,"")</calculatedColumnFormula>
    </tableColumn>
    <tableColumn id="35" xr3:uid="{EF22F29A-C551-42CD-8BFD-165D4DA5A80E}" name="2016 Scope 3" dataDxfId="56" totalsRowDxfId="9" dataCellStyle="Comma"/>
    <tableColumn id="64" xr3:uid="{9895AAE3-98CB-406B-A7BF-34F6590C1931}" name="2016 Total Scope 1, 2 + 3" dataDxfId="55" totalsRowDxfId="8" dataCellStyle="Comma">
      <calculatedColumnFormula>IFERROR(AQ2+AR2,"")</calculatedColumnFormula>
    </tableColumn>
    <tableColumn id="36" xr3:uid="{86BC0C75-4244-4E3E-AD91-39CCE9C443A5}" name="2015 Scope 1" dataDxfId="54" totalsRowDxfId="7" dataCellStyle="Comma"/>
    <tableColumn id="37" xr3:uid="{F3B728F3-195C-4AC6-87B9-BDA0074BE45A}" name="2015 Scope 2" dataDxfId="53" totalsRowDxfId="6" dataCellStyle="Comma"/>
    <tableColumn id="38" xr3:uid="{D8FE239B-38CE-4586-BBE6-BC85E8FF6511}" name="2015 Offsets Purchased" dataDxfId="52" totalsRowDxfId="5" dataCellStyle="Comma"/>
    <tableColumn id="39" xr3:uid="{AD0FEE62-ADB7-4A66-8746-EF8285EE1F2D}" name="2015 Net Scope 1 + 2 Emissions" dataDxfId="51" totalsRowDxfId="4" dataCellStyle="Comma">
      <calculatedColumnFormula>IFERROR(AT2+AU2-AV2,"")</calculatedColumnFormula>
    </tableColumn>
    <tableColumn id="40" xr3:uid="{36258CC5-840E-44AB-82F0-2AA91A7E1684}" name="2015 Scope 3" dataDxfId="50" totalsRowDxfId="3" dataCellStyle="Comma"/>
    <tableColumn id="65" xr3:uid="{5ADFCADD-520F-4F49-AEEB-D141C30EC90A}" name="2015 Total Scope 1, 2 + 3" dataDxfId="49" totalsRowDxfId="2" dataCellStyle="Comma">
      <calculatedColumnFormula>IFERROR(AW2+AX2,"")</calculatedColumnFormula>
    </tableColumn>
    <tableColumn id="41" xr3:uid="{0097CD94-3DD0-403D-A540-8B881D50B476}" name="Policy Arm?"/>
    <tableColumn id="42" xr3:uid="{733772B4-6C09-49A3-B92D-04311A832694}" name="Initiatives for Carbon Neutrality" dataDxfId="48" totalsRowDxfId="1"/>
    <tableColumn id="43" xr3:uid="{5736213F-B696-47D2-9295-2E1950A63B45}" name="Notes"/>
    <tableColumn id="44" xr3:uid="{1B4075C5-7613-4AD8-9BC2-A0D6BC03AFAD}" name="Sources" dataDxfId="47" totalsRowDxfId="0"/>
    <tableColumn id="45" xr3:uid="{EF0849B6-891F-4298-AA26-3B12CD662AE5}" name="Modifications" dataDxfId="4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ir-capitalone.gcs-web.com/news-releases/news-release-details/capital-one-reports-fourth-quarter-2019-net-income-12-billion-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D3EB-7EFE-4F22-A606-404D88F4AB8A}">
  <dimension ref="A1:B16"/>
  <sheetViews>
    <sheetView workbookViewId="0">
      <selection activeCell="A5" sqref="A5:B16"/>
    </sheetView>
  </sheetViews>
  <sheetFormatPr defaultRowHeight="12.75" x14ac:dyDescent="0.2"/>
  <cols>
    <col min="1" max="1" width="25.7109375" bestFit="1" customWidth="1"/>
    <col min="2" max="2" width="24" bestFit="1" customWidth="1"/>
    <col min="3" max="3" width="34.42578125" bestFit="1" customWidth="1"/>
  </cols>
  <sheetData>
    <row r="1" spans="1:2" x14ac:dyDescent="0.2">
      <c r="A1" s="40" t="s">
        <v>25</v>
      </c>
      <c r="B1" t="s">
        <v>0</v>
      </c>
    </row>
    <row r="2" spans="1:2" x14ac:dyDescent="0.2">
      <c r="A2" s="40" t="s">
        <v>24</v>
      </c>
      <c r="B2" t="s">
        <v>489</v>
      </c>
    </row>
    <row r="4" spans="1:2" x14ac:dyDescent="0.2">
      <c r="A4" s="40" t="s">
        <v>485</v>
      </c>
      <c r="B4" t="s">
        <v>490</v>
      </c>
    </row>
    <row r="5" spans="1:2" x14ac:dyDescent="0.2">
      <c r="A5" s="41" t="s">
        <v>2</v>
      </c>
      <c r="B5" s="42">
        <v>6</v>
      </c>
    </row>
    <row r="6" spans="1:2" x14ac:dyDescent="0.2">
      <c r="A6" s="41" t="s">
        <v>3</v>
      </c>
      <c r="B6" s="42">
        <v>5</v>
      </c>
    </row>
    <row r="7" spans="1:2" x14ac:dyDescent="0.2">
      <c r="A7" s="41" t="s">
        <v>4</v>
      </c>
      <c r="B7" s="42">
        <v>2</v>
      </c>
    </row>
    <row r="8" spans="1:2" x14ac:dyDescent="0.2">
      <c r="A8" s="41" t="s">
        <v>5</v>
      </c>
      <c r="B8" s="42">
        <v>5</v>
      </c>
    </row>
    <row r="9" spans="1:2" x14ac:dyDescent="0.2">
      <c r="A9" s="41" t="s">
        <v>6</v>
      </c>
      <c r="B9" s="42">
        <v>16</v>
      </c>
    </row>
    <row r="10" spans="1:2" x14ac:dyDescent="0.2">
      <c r="A10" s="41" t="s">
        <v>7</v>
      </c>
      <c r="B10" s="42">
        <v>13</v>
      </c>
    </row>
    <row r="11" spans="1:2" x14ac:dyDescent="0.2">
      <c r="A11" s="41" t="s">
        <v>8</v>
      </c>
      <c r="B11" s="42">
        <v>11</v>
      </c>
    </row>
    <row r="12" spans="1:2" x14ac:dyDescent="0.2">
      <c r="A12" s="41" t="s">
        <v>9</v>
      </c>
      <c r="B12" s="42">
        <v>2</v>
      </c>
    </row>
    <row r="13" spans="1:2" x14ac:dyDescent="0.2">
      <c r="A13" s="41" t="s">
        <v>10</v>
      </c>
      <c r="B13" s="42">
        <v>2</v>
      </c>
    </row>
    <row r="14" spans="1:2" x14ac:dyDescent="0.2">
      <c r="A14" s="41" t="s">
        <v>11</v>
      </c>
      <c r="B14" s="42">
        <v>7</v>
      </c>
    </row>
    <row r="15" spans="1:2" x14ac:dyDescent="0.2">
      <c r="A15" s="41" t="s">
        <v>12</v>
      </c>
      <c r="B15" s="42">
        <v>4</v>
      </c>
    </row>
    <row r="16" spans="1:2" x14ac:dyDescent="0.2">
      <c r="A16" s="41" t="s">
        <v>486</v>
      </c>
      <c r="B16" s="42">
        <v>73</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C759-9CC9-40B7-B10F-456F7314DA71}">
  <dimension ref="A1:BD181"/>
  <sheetViews>
    <sheetView tabSelected="1" workbookViewId="0">
      <pane xSplit="1" ySplit="1" topLeftCell="C2" activePane="bottomRight" state="frozen"/>
      <selection pane="topRight"/>
      <selection pane="bottomLeft"/>
      <selection pane="bottomRight"/>
    </sheetView>
  </sheetViews>
  <sheetFormatPr defaultRowHeight="12.75" x14ac:dyDescent="0.2"/>
  <cols>
    <col min="1" max="1" width="24.42578125" bestFit="1" customWidth="1"/>
    <col min="2" max="2" width="24.42578125" hidden="1" customWidth="1"/>
    <col min="3" max="3" width="20.5703125" bestFit="1" customWidth="1"/>
    <col min="4" max="4" width="15.5703125" customWidth="1"/>
    <col min="5" max="8" width="20.140625" customWidth="1"/>
    <col min="9" max="9" width="25.85546875" customWidth="1"/>
    <col min="10" max="10" width="10.42578125" style="10" customWidth="1"/>
    <col min="11" max="21" width="10.7109375" customWidth="1"/>
    <col min="22" max="25" width="11.85546875" customWidth="1"/>
    <col min="26" max="26" width="12.28515625" bestFit="1" customWidth="1"/>
    <col min="27" max="51" width="11.85546875" customWidth="1"/>
    <col min="52" max="52" width="10.7109375" customWidth="1"/>
    <col min="53" max="53" width="114" customWidth="1"/>
    <col min="54" max="54" width="50.42578125" customWidth="1"/>
    <col min="55" max="55" width="78.42578125" customWidth="1"/>
  </cols>
  <sheetData>
    <row r="1" spans="1:56" ht="51" customHeight="1" x14ac:dyDescent="0.2">
      <c r="A1" s="2" t="s">
        <v>17</v>
      </c>
      <c r="B1" s="2" t="s">
        <v>437</v>
      </c>
      <c r="C1" s="2" t="s">
        <v>18</v>
      </c>
      <c r="D1" s="2" t="s">
        <v>19</v>
      </c>
      <c r="E1" s="2" t="s">
        <v>20</v>
      </c>
      <c r="F1" s="2" t="s">
        <v>509</v>
      </c>
      <c r="G1" s="2" t="s">
        <v>510</v>
      </c>
      <c r="H1" s="2" t="s">
        <v>515</v>
      </c>
      <c r="I1" s="2" t="s">
        <v>21</v>
      </c>
      <c r="J1" s="8" t="s">
        <v>22</v>
      </c>
      <c r="K1" s="2" t="s">
        <v>23</v>
      </c>
      <c r="L1" s="2" t="s">
        <v>24</v>
      </c>
      <c r="M1" s="2" t="s">
        <v>25</v>
      </c>
      <c r="N1" s="2" t="s">
        <v>26</v>
      </c>
      <c r="O1" s="2" t="s">
        <v>27</v>
      </c>
      <c r="P1" s="2" t="s">
        <v>28</v>
      </c>
      <c r="Q1" s="2" t="s">
        <v>29</v>
      </c>
      <c r="R1" s="2" t="s">
        <v>30</v>
      </c>
      <c r="S1" s="2" t="s">
        <v>31</v>
      </c>
      <c r="T1" s="2" t="s">
        <v>508</v>
      </c>
      <c r="U1" s="2" t="s">
        <v>507</v>
      </c>
      <c r="V1" s="23" t="s">
        <v>32</v>
      </c>
      <c r="W1" s="23" t="s">
        <v>33</v>
      </c>
      <c r="X1" s="23" t="s">
        <v>34</v>
      </c>
      <c r="Y1" s="23" t="s">
        <v>13</v>
      </c>
      <c r="Z1" s="23" t="s">
        <v>35</v>
      </c>
      <c r="AA1" s="23" t="s">
        <v>36</v>
      </c>
      <c r="AB1" s="24" t="s">
        <v>37</v>
      </c>
      <c r="AC1" s="24" t="s">
        <v>38</v>
      </c>
      <c r="AD1" s="24" t="s">
        <v>39</v>
      </c>
      <c r="AE1" s="24" t="s">
        <v>14</v>
      </c>
      <c r="AF1" s="24" t="s">
        <v>40</v>
      </c>
      <c r="AG1" s="24" t="s">
        <v>41</v>
      </c>
      <c r="AH1" s="25" t="s">
        <v>42</v>
      </c>
      <c r="AI1" s="25" t="s">
        <v>43</v>
      </c>
      <c r="AJ1" s="25" t="s">
        <v>44</v>
      </c>
      <c r="AK1" s="25" t="s">
        <v>15</v>
      </c>
      <c r="AL1" s="25" t="s">
        <v>45</v>
      </c>
      <c r="AM1" s="25" t="s">
        <v>46</v>
      </c>
      <c r="AN1" s="26" t="s">
        <v>47</v>
      </c>
      <c r="AO1" s="26" t="s">
        <v>48</v>
      </c>
      <c r="AP1" s="26" t="s">
        <v>49</v>
      </c>
      <c r="AQ1" s="26" t="s">
        <v>16</v>
      </c>
      <c r="AR1" s="26" t="s">
        <v>50</v>
      </c>
      <c r="AS1" s="26" t="s">
        <v>51</v>
      </c>
      <c r="AT1" s="27" t="s">
        <v>52</v>
      </c>
      <c r="AU1" s="27" t="s">
        <v>53</v>
      </c>
      <c r="AV1" s="27" t="s">
        <v>54</v>
      </c>
      <c r="AW1" s="27" t="s">
        <v>55</v>
      </c>
      <c r="AX1" s="27" t="s">
        <v>56</v>
      </c>
      <c r="AY1" s="27" t="s">
        <v>57</v>
      </c>
      <c r="AZ1" s="1" t="s">
        <v>58</v>
      </c>
      <c r="BA1" s="2" t="s">
        <v>59</v>
      </c>
      <c r="BB1" s="2" t="s">
        <v>60</v>
      </c>
      <c r="BC1" s="2" t="s">
        <v>61</v>
      </c>
      <c r="BD1" s="45" t="s">
        <v>487</v>
      </c>
    </row>
    <row r="2" spans="1:56" x14ac:dyDescent="0.2">
      <c r="A2" t="s">
        <v>62</v>
      </c>
      <c r="B2" t="s">
        <v>62</v>
      </c>
      <c r="C2" s="4" t="s">
        <v>8</v>
      </c>
      <c r="D2" s="4" t="s">
        <v>63</v>
      </c>
      <c r="E2" s="5">
        <v>32136000000</v>
      </c>
      <c r="F2" s="5" t="str">
        <f>IF(ISNUMBER(Table1[[#This Row],[2019 Scope 3 ]]),IF(Table1[[#This Row],[Net Earnings/Income (2019)]]-k_cost*Table1[[#This Row],[2019 Total Scope 1, 2 + 3]]&lt;0,"Y","N"),"NA")</f>
        <v>N</v>
      </c>
      <c r="G2" s="56" t="str">
        <f>IF(ISNUMBER(Table1[[#This Row],[2019 Scope 3 ]]),IF(k_cost*Table1[[#This Row],[2019 Total Scope 1, 2 + 3]]/Table1[[#This Row],[Size (2019 Revenue)]]&gt;k_rev_max,"Y","N"),"NA")</f>
        <v>N</v>
      </c>
      <c r="H2" s="56" t="str">
        <f>IF(OR(Table1[[#This Row],[Net earnings post carbon price @85/t]]="Y",Table1[[#This Row],[Carbon costs in % revenue]] = "Y"),"Y",IF(OR(Table1[[#This Row],[Net earnings post carbon price @85/t]]="NA",Table1[[#This Row],[Carbon costs in % revenue]]="NA"),"NA","N"))</f>
        <v>N</v>
      </c>
      <c r="I2" s="5">
        <v>4570000000</v>
      </c>
      <c r="J2" s="9">
        <v>1978</v>
      </c>
      <c r="K2" s="5" t="s">
        <v>1</v>
      </c>
      <c r="L2" t="s">
        <v>0</v>
      </c>
      <c r="M2" s="4" t="s">
        <v>0</v>
      </c>
      <c r="P2" s="15">
        <v>9150000</v>
      </c>
      <c r="Q2" t="s">
        <v>0</v>
      </c>
      <c r="R2" t="s">
        <v>1</v>
      </c>
      <c r="S2">
        <v>2050</v>
      </c>
      <c r="T2" s="53">
        <f>IFERROR((Table1[[#This Row],[2019 Total Scope 1, 2 + 3]])/Table1[[#This Row],[2018 Total Scope 1, 2 + Scope 3]]-1,"NA")</f>
        <v>-9.5569620253164511E-2</v>
      </c>
      <c r="V2" s="12">
        <v>4050000</v>
      </c>
      <c r="W2" s="12">
        <v>1320000</v>
      </c>
      <c r="X2" s="12"/>
      <c r="Y2" s="12">
        <f t="shared" ref="Y2:Y33" si="0">IFERROR(V2+W2-X2,"")</f>
        <v>5370000</v>
      </c>
      <c r="Z2" s="12">
        <v>8920000</v>
      </c>
      <c r="AA2" s="12">
        <f t="shared" ref="AA2:AA33" si="1">IFERROR(Y2+Z2,"")</f>
        <v>14290000</v>
      </c>
      <c r="AB2" s="12">
        <v>4790000</v>
      </c>
      <c r="AC2" s="12">
        <v>1480000</v>
      </c>
      <c r="AD2" s="12"/>
      <c r="AE2" s="12">
        <f t="shared" ref="AE2:AE33" si="2">IFERROR(AB2+AC2-AD2,"")</f>
        <v>6270000</v>
      </c>
      <c r="AF2" s="12">
        <v>9530000</v>
      </c>
      <c r="AG2" s="12">
        <f t="shared" ref="AG2:AG33" si="3">IFERROR(AE2+AF2,"")</f>
        <v>15800000</v>
      </c>
      <c r="AH2" s="12">
        <v>3960000</v>
      </c>
      <c r="AI2" s="12">
        <v>1650000</v>
      </c>
      <c r="AJ2" s="12"/>
      <c r="AK2" s="12">
        <f t="shared" ref="AK2:AK33" si="4">IFERROR(AH2+AI2-AJ2,"")</f>
        <v>5610000</v>
      </c>
      <c r="AL2" s="12">
        <v>9280000</v>
      </c>
      <c r="AM2" s="12">
        <f t="shared" ref="AM2:AM33" si="5">IFERROR(AK2+AL2,"")</f>
        <v>14890000</v>
      </c>
      <c r="AN2" s="12">
        <v>4140000</v>
      </c>
      <c r="AO2" s="12">
        <v>1780000</v>
      </c>
      <c r="AP2" s="12"/>
      <c r="AQ2" s="12">
        <f t="shared" ref="AQ2:AQ42" si="6">IFERROR(AN2+AO2-AP2,"")</f>
        <v>5920000</v>
      </c>
      <c r="AR2" s="12">
        <v>9420000</v>
      </c>
      <c r="AS2" s="12">
        <f t="shared" ref="AS2:AS33" si="7">IFERROR(AQ2+AR2,"")</f>
        <v>15340000</v>
      </c>
      <c r="AT2" s="12">
        <v>3770000</v>
      </c>
      <c r="AU2" s="12">
        <v>1930000</v>
      </c>
      <c r="AV2" s="12"/>
      <c r="AW2" s="12">
        <f t="shared" ref="AW2:AW42" si="8">IFERROR(AT2+AU2-AV2,"")</f>
        <v>5700000</v>
      </c>
      <c r="AX2" s="12">
        <f>6860000+577000+621000+780000+254000+55800+356000</f>
        <v>9503800</v>
      </c>
      <c r="AY2" s="12">
        <f t="shared" ref="AY2:AY33" si="9">IFERROR(AW2+AX2,"")</f>
        <v>15203800</v>
      </c>
      <c r="AZ2" s="17" t="s">
        <v>1</v>
      </c>
      <c r="BA2" s="14" t="s">
        <v>64</v>
      </c>
      <c r="BD2" s="44"/>
    </row>
    <row r="3" spans="1:56" x14ac:dyDescent="0.2">
      <c r="A3" t="s">
        <v>65</v>
      </c>
      <c r="B3" s="21" t="s">
        <v>65</v>
      </c>
      <c r="C3" s="4" t="s">
        <v>7</v>
      </c>
      <c r="D3" s="4" t="s">
        <v>66</v>
      </c>
      <c r="E3" s="11">
        <v>31904000000</v>
      </c>
      <c r="F3" s="5" t="str">
        <f>IF(ISNUMBER(Table1[[#This Row],[2019 Scope 3 ]]),IF(Table1[[#This Row],[Net Earnings/Income (2019)]]-k_cost*Table1[[#This Row],[2019 Total Scope 1, 2 + 3]]&lt;0,"Y","N"),"NA")</f>
        <v>N</v>
      </c>
      <c r="G3" s="56" t="str">
        <f>IF(ISNUMBER(Table1[[#This Row],[2019 Scope 3 ]]),IF(k_cost*Table1[[#This Row],[2019 Total Scope 1, 2 + 3]]/Table1[[#This Row],[Size (2019 Revenue)]]&gt;k_rev_max,"Y","N"),"NA")</f>
        <v>N</v>
      </c>
      <c r="H3" s="56" t="str">
        <f>IF(OR(Table1[[#This Row],[Net earnings post carbon price @85/t]]="Y",Table1[[#This Row],[Carbon costs in % revenue]] = "Y"),"Y",IF(OR(Table1[[#This Row],[Net earnings post carbon price @85/t]]="NA",Table1[[#This Row],[Carbon costs in % revenue]]="NA"),"NA","N"))</f>
        <v>N</v>
      </c>
      <c r="I3" s="11">
        <v>3687000000</v>
      </c>
      <c r="J3" s="10">
        <v>1929</v>
      </c>
      <c r="K3" s="4" t="s">
        <v>1</v>
      </c>
      <c r="L3" s="4" t="s">
        <v>0</v>
      </c>
      <c r="M3" s="4" t="s">
        <v>0</v>
      </c>
      <c r="N3" s="4"/>
      <c r="O3" s="4"/>
      <c r="P3" s="15">
        <v>742000</v>
      </c>
      <c r="Q3" t="s">
        <v>0</v>
      </c>
      <c r="R3" s="4" t="s">
        <v>0</v>
      </c>
      <c r="S3" s="4" t="s">
        <v>0</v>
      </c>
      <c r="T3" s="54">
        <f>IFERROR((Table1[[#This Row],[2019 Total Scope 1, 2 + 3]])/Table1[[#This Row],[2018 Total Scope 1, 2 + Scope 3]]-1,"NA")</f>
        <v>4.2558977496770733E-2</v>
      </c>
      <c r="U3" s="4"/>
      <c r="V3" s="12">
        <v>533000</v>
      </c>
      <c r="W3" s="12">
        <v>439000</v>
      </c>
      <c r="X3" s="12"/>
      <c r="Y3" s="12">
        <f t="shared" si="0"/>
        <v>972000</v>
      </c>
      <c r="Z3" s="12">
        <f>8382000+2860000+290000+1501000+15000+332000+306000+508000+169000</f>
        <v>14363000</v>
      </c>
      <c r="AA3" s="12">
        <f t="shared" si="1"/>
        <v>15335000</v>
      </c>
      <c r="AB3" s="12">
        <v>525000</v>
      </c>
      <c r="AC3" s="12">
        <v>506000</v>
      </c>
      <c r="AD3" s="12"/>
      <c r="AE3" s="12">
        <f t="shared" si="2"/>
        <v>1031000</v>
      </c>
      <c r="AF3" s="12">
        <v>13678000</v>
      </c>
      <c r="AG3" s="12">
        <f t="shared" si="3"/>
        <v>14709000</v>
      </c>
      <c r="AH3" s="12">
        <v>526000</v>
      </c>
      <c r="AI3" s="12">
        <v>506000</v>
      </c>
      <c r="AJ3" s="12"/>
      <c r="AK3" s="12">
        <f t="shared" si="4"/>
        <v>1032000</v>
      </c>
      <c r="AL3" s="12">
        <v>13710000</v>
      </c>
      <c r="AM3" s="12">
        <f t="shared" si="5"/>
        <v>14742000</v>
      </c>
      <c r="AN3" s="12">
        <v>516000</v>
      </c>
      <c r="AO3" s="12">
        <v>544000</v>
      </c>
      <c r="AP3" s="12"/>
      <c r="AQ3" s="12">
        <f t="shared" si="6"/>
        <v>1060000</v>
      </c>
      <c r="AR3" s="12">
        <v>14082000</v>
      </c>
      <c r="AS3" s="12">
        <f t="shared" si="7"/>
        <v>15142000</v>
      </c>
      <c r="AT3" s="12" t="s">
        <v>401</v>
      </c>
      <c r="AU3" s="12" t="s">
        <v>401</v>
      </c>
      <c r="AV3" s="12"/>
      <c r="AW3" s="12" t="str">
        <f t="shared" si="8"/>
        <v/>
      </c>
      <c r="AX3" s="12" t="s">
        <v>401</v>
      </c>
      <c r="AY3" s="12" t="str">
        <f t="shared" si="9"/>
        <v/>
      </c>
      <c r="AZ3" s="17" t="s">
        <v>0</v>
      </c>
      <c r="BA3" s="16" t="s">
        <v>67</v>
      </c>
      <c r="BD3" s="44"/>
    </row>
    <row r="4" spans="1:56" ht="25.5" x14ac:dyDescent="0.2">
      <c r="A4" t="s">
        <v>68</v>
      </c>
      <c r="B4" s="21" t="s">
        <v>454</v>
      </c>
      <c r="C4" t="s">
        <v>7</v>
      </c>
      <c r="D4" s="4" t="s">
        <v>69</v>
      </c>
      <c r="E4" s="11">
        <v>33266000000</v>
      </c>
      <c r="F4" s="5" t="str">
        <f>IF(ISNUMBER(Table1[[#This Row],[2019 Scope 3 ]]),IF(Table1[[#This Row],[Net Earnings/Income (2019)]]-k_cost*Table1[[#This Row],[2019 Total Scope 1, 2 + 3]]&lt;0,"Y","N"),"NA")</f>
        <v>N</v>
      </c>
      <c r="G4" s="56" t="str">
        <f>IF(ISNUMBER(Table1[[#This Row],[2019 Scope 3 ]]),IF(k_cost*Table1[[#This Row],[2019 Total Scope 1, 2 + 3]]/Table1[[#This Row],[Size (2019 Revenue)]]&gt;k_rev_max,"Y","N"),"NA")</f>
        <v>N</v>
      </c>
      <c r="H4" s="56" t="str">
        <f>IF(OR(Table1[[#This Row],[Net earnings post carbon price @85/t]]="Y",Table1[[#This Row],[Carbon costs in % revenue]] = "Y"),"Y",IF(OR(Table1[[#This Row],[Net earnings post carbon price @85/t]]="NA",Table1[[#This Row],[Carbon costs in % revenue]]="NA"),"NA","N"))</f>
        <v>N</v>
      </c>
      <c r="I4" s="11">
        <v>5697000000</v>
      </c>
      <c r="J4" s="10">
        <v>2013</v>
      </c>
      <c r="K4" s="4" t="s">
        <v>1</v>
      </c>
      <c r="L4" s="4" t="s">
        <v>0</v>
      </c>
      <c r="M4" s="4" t="s">
        <v>0</v>
      </c>
      <c r="N4" s="4"/>
      <c r="O4" s="4"/>
      <c r="P4" s="15">
        <v>334482</v>
      </c>
      <c r="Q4" t="s">
        <v>0</v>
      </c>
      <c r="R4" s="4" t="s">
        <v>1</v>
      </c>
      <c r="S4">
        <v>2035</v>
      </c>
      <c r="T4" s="53">
        <f>IFERROR((Table1[[#This Row],[2019 Total Scope 1, 2 + 3]])/Table1[[#This Row],[2018 Total Scope 1, 2 + Scope 3]]-1,"NA")</f>
        <v>0.16426330750384066</v>
      </c>
      <c r="V4" s="12">
        <v>314421</v>
      </c>
      <c r="W4" s="12">
        <v>249777</v>
      </c>
      <c r="X4" s="12"/>
      <c r="Y4" s="12">
        <f t="shared" si="0"/>
        <v>564198</v>
      </c>
      <c r="Z4" s="12">
        <f>990981+20324+77371+5483+56303+183747</f>
        <v>1334209</v>
      </c>
      <c r="AA4" s="12">
        <f t="shared" si="1"/>
        <v>1898407</v>
      </c>
      <c r="AB4" s="12">
        <v>311000</v>
      </c>
      <c r="AC4" s="12">
        <v>271000</v>
      </c>
      <c r="AD4" s="12"/>
      <c r="AE4" s="12">
        <f t="shared" si="2"/>
        <v>582000</v>
      </c>
      <c r="AF4" s="12">
        <f>711499+17595+70284+5484+65924+177779</f>
        <v>1048565</v>
      </c>
      <c r="AG4" s="12">
        <f t="shared" si="3"/>
        <v>1630565</v>
      </c>
      <c r="AH4" s="12">
        <v>299000</v>
      </c>
      <c r="AI4" s="12">
        <v>284000</v>
      </c>
      <c r="AJ4" s="12"/>
      <c r="AK4" s="12">
        <f t="shared" si="4"/>
        <v>583000</v>
      </c>
      <c r="AL4" s="12">
        <f>652163+11640+53093+3956+106698+185438</f>
        <v>1012988</v>
      </c>
      <c r="AM4" s="12">
        <f t="shared" si="5"/>
        <v>1595988</v>
      </c>
      <c r="AN4" s="12">
        <v>297395</v>
      </c>
      <c r="AO4" s="12">
        <v>319692</v>
      </c>
      <c r="AP4" s="12"/>
      <c r="AQ4" s="12">
        <f t="shared" si="6"/>
        <v>617087</v>
      </c>
      <c r="AR4" s="12">
        <f>681914+13229+19813+2052+67536+124527+172</f>
        <v>909243</v>
      </c>
      <c r="AS4" s="12">
        <f t="shared" si="7"/>
        <v>1526330</v>
      </c>
      <c r="AT4" s="12">
        <v>318216</v>
      </c>
      <c r="AU4" s="12">
        <v>347250</v>
      </c>
      <c r="AV4" s="12"/>
      <c r="AW4" s="12">
        <f t="shared" si="8"/>
        <v>665466</v>
      </c>
      <c r="AX4" s="12">
        <f>619274+8239+20560+42819+9277+41030+102658+172</f>
        <v>844029</v>
      </c>
      <c r="AY4" s="12">
        <f t="shared" si="9"/>
        <v>1509495</v>
      </c>
      <c r="AZ4" s="17" t="s">
        <v>0</v>
      </c>
      <c r="BA4" s="14" t="s">
        <v>70</v>
      </c>
      <c r="BD4" s="44"/>
    </row>
    <row r="5" spans="1:56" ht="38.25" x14ac:dyDescent="0.2">
      <c r="A5" t="s">
        <v>71</v>
      </c>
      <c r="B5" s="21" t="s">
        <v>71</v>
      </c>
      <c r="C5" t="s">
        <v>11</v>
      </c>
      <c r="D5" t="s">
        <v>72</v>
      </c>
      <c r="E5" s="11">
        <v>43200000000</v>
      </c>
      <c r="F5" s="5" t="str">
        <f>IF(ISNUMBER(Table1[[#This Row],[2019 Scope 3 ]]),IF(Table1[[#This Row],[Net Earnings/Income (2019)]]-k_cost*Table1[[#This Row],[2019 Total Scope 1, 2 + 3]]&lt;0,"Y","N"),"NA")</f>
        <v>N</v>
      </c>
      <c r="G5" s="56" t="str">
        <f>IF(ISNUMBER(Table1[[#This Row],[2019 Scope 3 ]]),IF(k_cost*Table1[[#This Row],[2019 Total Scope 1, 2 + 3]]/Table1[[#This Row],[Size (2019 Revenue)]]&gt;k_rev_max,"Y","N"),"NA")</f>
        <v>N</v>
      </c>
      <c r="H5" s="56" t="str">
        <f>IF(OR(Table1[[#This Row],[Net earnings post carbon price @85/t]]="Y",Table1[[#This Row],[Carbon costs in % revenue]] = "Y"),"Y",IF(OR(Table1[[#This Row],[Net earnings post carbon price @85/t]]="NA",Table1[[#This Row],[Carbon costs in % revenue]]="NA"),"NA","N"))</f>
        <v>N</v>
      </c>
      <c r="I5" s="11">
        <v>4780000000</v>
      </c>
      <c r="J5" s="10">
        <v>2001</v>
      </c>
      <c r="K5" s="4" t="s">
        <v>1</v>
      </c>
      <c r="L5" s="4" t="s">
        <v>0</v>
      </c>
      <c r="M5" t="s">
        <v>1</v>
      </c>
      <c r="P5" s="15">
        <v>88000</v>
      </c>
      <c r="Q5" t="s">
        <v>0</v>
      </c>
      <c r="R5" s="4" t="s">
        <v>1</v>
      </c>
      <c r="S5">
        <v>2023</v>
      </c>
      <c r="T5" s="53">
        <f>IFERROR((Table1[[#This Row],[2019 Total Scope 1, 2 + 3]])/Table1[[#This Row],[2018 Total Scope 1, 2 + Scope 3]]-1,"NA")</f>
        <v>-1.9783256597360577E-2</v>
      </c>
      <c r="V5" s="12">
        <v>18923</v>
      </c>
      <c r="W5" s="12">
        <v>214680</v>
      </c>
      <c r="X5" s="12"/>
      <c r="Y5" s="12">
        <f t="shared" si="0"/>
        <v>233603</v>
      </c>
      <c r="Z5" s="12">
        <v>932653</v>
      </c>
      <c r="AA5" s="12">
        <f t="shared" si="1"/>
        <v>1166256</v>
      </c>
      <c r="AB5" s="12">
        <v>22183</v>
      </c>
      <c r="AC5" s="12">
        <v>218855</v>
      </c>
      <c r="AD5" s="12"/>
      <c r="AE5" s="12">
        <f t="shared" si="2"/>
        <v>241038</v>
      </c>
      <c r="AF5" s="12">
        <v>948756</v>
      </c>
      <c r="AG5" s="12">
        <f t="shared" si="3"/>
        <v>1189794</v>
      </c>
      <c r="AH5" s="12">
        <v>24095</v>
      </c>
      <c r="AI5" s="12">
        <v>243773</v>
      </c>
      <c r="AJ5" s="12"/>
      <c r="AK5" s="12">
        <f t="shared" si="4"/>
        <v>267868</v>
      </c>
      <c r="AL5" s="12">
        <v>974176</v>
      </c>
      <c r="AM5" s="12">
        <f t="shared" si="5"/>
        <v>1242044</v>
      </c>
      <c r="AN5" s="12">
        <v>27203</v>
      </c>
      <c r="AO5" s="12">
        <v>263050</v>
      </c>
      <c r="AP5" s="12"/>
      <c r="AQ5" s="12">
        <f t="shared" si="6"/>
        <v>290253</v>
      </c>
      <c r="AR5" s="12">
        <f>506841</f>
        <v>506841</v>
      </c>
      <c r="AS5" s="12">
        <f t="shared" si="7"/>
        <v>797094</v>
      </c>
      <c r="AT5" s="12">
        <v>26290</v>
      </c>
      <c r="AU5" s="12">
        <v>237239</v>
      </c>
      <c r="AV5" s="12"/>
      <c r="AW5" s="12">
        <f t="shared" si="8"/>
        <v>263529</v>
      </c>
      <c r="AX5" s="12">
        <v>449240</v>
      </c>
      <c r="AY5" s="12">
        <f t="shared" si="9"/>
        <v>712769</v>
      </c>
      <c r="AZ5" t="s">
        <v>0</v>
      </c>
      <c r="BA5" s="14" t="s">
        <v>413</v>
      </c>
      <c r="BB5" s="16" t="s">
        <v>412</v>
      </c>
      <c r="BD5" s="44"/>
    </row>
    <row r="6" spans="1:56" x14ac:dyDescent="0.2">
      <c r="A6" s="21" t="s">
        <v>73</v>
      </c>
      <c r="B6" s="21" t="s">
        <v>463</v>
      </c>
      <c r="C6" s="21" t="s">
        <v>11</v>
      </c>
      <c r="D6" t="s">
        <v>74</v>
      </c>
      <c r="E6" s="5">
        <v>11171000000</v>
      </c>
      <c r="F6" s="5" t="str">
        <f>IF(ISNUMBER(Table1[[#This Row],[2019 Scope 3 ]]),IF(Table1[[#This Row],[Net Earnings/Income (2019)]]-k_cost*Table1[[#This Row],[2019 Total Scope 1, 2 + 3]]&lt;0,"Y","N"),"NA")</f>
        <v>N</v>
      </c>
      <c r="G6" s="56" t="str">
        <f>IF(ISNUMBER(Table1[[#This Row],[2019 Scope 3 ]]),IF(k_cost*Table1[[#This Row],[2019 Total Scope 1, 2 + 3]]/Table1[[#This Row],[Size (2019 Revenue)]]&gt;k_rev_max,"Y","N"),"NA")</f>
        <v>N</v>
      </c>
      <c r="H6" s="56" t="str">
        <f>IF(OR(Table1[[#This Row],[Net earnings post carbon price @85/t]]="Y",Table1[[#This Row],[Carbon costs in % revenue]] = "Y"),"Y",IF(OR(Table1[[#This Row],[Net earnings post carbon price @85/t]]="NA",Table1[[#This Row],[Carbon costs in % revenue]]="NA"),"NA","N"))</f>
        <v>N</v>
      </c>
      <c r="I6" s="5">
        <v>2951000000</v>
      </c>
      <c r="J6" s="9">
        <v>1986</v>
      </c>
      <c r="K6" s="31" t="s">
        <v>1</v>
      </c>
      <c r="L6" t="s">
        <v>0</v>
      </c>
      <c r="M6" s="4" t="s">
        <v>1</v>
      </c>
      <c r="P6" s="15"/>
      <c r="Q6" t="s">
        <v>0</v>
      </c>
      <c r="R6" t="s">
        <v>1</v>
      </c>
      <c r="S6">
        <v>2035</v>
      </c>
      <c r="T6" s="53">
        <f>IFERROR((Table1[[#This Row],[2019 Total Scope 1, 2 + 3]])/Table1[[#This Row],[2018 Total Scope 1, 2 + Scope 3]]-1,"NA")</f>
        <v>-5.5629014043632408E-2</v>
      </c>
      <c r="V6" s="12">
        <v>11816</v>
      </c>
      <c r="W6" s="12">
        <v>43526</v>
      </c>
      <c r="X6" s="12"/>
      <c r="Y6" s="12">
        <f t="shared" si="0"/>
        <v>55342</v>
      </c>
      <c r="Z6" s="12">
        <f>358472+39706+14180+57.87+88959+42037</f>
        <v>543411.87</v>
      </c>
      <c r="AA6" s="12">
        <f t="shared" si="1"/>
        <v>598753.87</v>
      </c>
      <c r="AB6" s="12">
        <v>12119</v>
      </c>
      <c r="AC6" s="12">
        <v>47871</v>
      </c>
      <c r="AD6" s="12"/>
      <c r="AE6" s="12">
        <f t="shared" si="2"/>
        <v>59990</v>
      </c>
      <c r="AF6" s="52">
        <v>574034</v>
      </c>
      <c r="AG6" s="12">
        <f t="shared" si="3"/>
        <v>634024</v>
      </c>
      <c r="AH6" s="12">
        <v>12119</v>
      </c>
      <c r="AI6" s="12">
        <v>58874</v>
      </c>
      <c r="AJ6" s="12"/>
      <c r="AK6" s="12">
        <f t="shared" si="4"/>
        <v>70993</v>
      </c>
      <c r="AL6" s="12">
        <f>35952.82+16872.85+52.85+32512+9988+169+505</f>
        <v>96052.51999999999</v>
      </c>
      <c r="AM6" s="12">
        <f t="shared" si="5"/>
        <v>167045.51999999999</v>
      </c>
      <c r="AN6" s="12">
        <v>11082</v>
      </c>
      <c r="AO6" s="12">
        <v>58474</v>
      </c>
      <c r="AP6" s="12"/>
      <c r="AQ6" s="12">
        <f t="shared" si="6"/>
        <v>69556</v>
      </c>
      <c r="AR6" s="12"/>
      <c r="AS6" s="12">
        <f t="shared" si="7"/>
        <v>69556</v>
      </c>
      <c r="AT6" s="12" t="s">
        <v>401</v>
      </c>
      <c r="AU6" s="12" t="s">
        <v>401</v>
      </c>
      <c r="AV6" s="12"/>
      <c r="AW6" s="12" t="str">
        <f t="shared" si="8"/>
        <v/>
      </c>
      <c r="AX6" s="12" t="s">
        <v>401</v>
      </c>
      <c r="AY6" s="12" t="str">
        <f t="shared" si="9"/>
        <v/>
      </c>
      <c r="AZ6" t="s">
        <v>0</v>
      </c>
      <c r="BD6" s="44" t="s">
        <v>503</v>
      </c>
    </row>
    <row r="7" spans="1:56" ht="76.5" x14ac:dyDescent="0.2">
      <c r="A7" s="4" t="s">
        <v>75</v>
      </c>
      <c r="B7" s="21" t="s">
        <v>459</v>
      </c>
      <c r="C7" s="4" t="s">
        <v>6</v>
      </c>
      <c r="D7" t="s">
        <v>76</v>
      </c>
      <c r="E7" s="11">
        <v>44675000000</v>
      </c>
      <c r="F7" s="5" t="str">
        <f>IF(ISNUMBER(Table1[[#This Row],[2019 Scope 3 ]]),IF(Table1[[#This Row],[Net Earnings/Income (2019)]]-k_cost*Table1[[#This Row],[2019 Total Scope 1, 2 + 3]]&lt;0,"Y","N"),"NA")</f>
        <v>N</v>
      </c>
      <c r="G7" s="56" t="str">
        <f>IF(ISNUMBER(Table1[[#This Row],[2019 Scope 3 ]]),IF(k_cost*Table1[[#This Row],[2019 Total Scope 1, 2 + 3]]/Table1[[#This Row],[Size (2019 Revenue)]]&gt;k_rev_max,"Y","N"),"NA")</f>
        <v>N</v>
      </c>
      <c r="H7" s="56" t="str">
        <f>IF(OR(Table1[[#This Row],[Net earnings post carbon price @85/t]]="Y",Table1[[#This Row],[Carbon costs in % revenue]] = "Y"),"Y",IF(OR(Table1[[#This Row],[Net earnings post carbon price @85/t]]="NA",Table1[[#This Row],[Carbon costs in % revenue]]="NA"),"NA","N"))</f>
        <v>N</v>
      </c>
      <c r="I7" s="11">
        <v>4847000000</v>
      </c>
      <c r="J7" s="10">
        <v>1993</v>
      </c>
      <c r="K7" s="4" t="s">
        <v>1</v>
      </c>
      <c r="L7" s="4" t="s">
        <v>0</v>
      </c>
      <c r="M7" t="s">
        <v>0</v>
      </c>
      <c r="P7" s="15"/>
      <c r="Q7" t="s">
        <v>0</v>
      </c>
      <c r="R7" s="4" t="s">
        <v>0</v>
      </c>
      <c r="S7" s="4" t="s">
        <v>0</v>
      </c>
      <c r="T7" s="54">
        <f>IFERROR((Table1[[#This Row],[2019 Total Scope 1, 2 + 3]])/Table1[[#This Row],[2018 Total Scope 1, 2 + Scope 3]]-1,"NA")</f>
        <v>5.5423185226073812E-2</v>
      </c>
      <c r="U7" s="4"/>
      <c r="V7" s="36">
        <v>39230</v>
      </c>
      <c r="W7" s="36">
        <v>74230</v>
      </c>
      <c r="X7" s="12"/>
      <c r="Y7" s="12">
        <f t="shared" si="0"/>
        <v>113460</v>
      </c>
      <c r="Z7" s="12">
        <f>10528+4343+3+446+8857+13412</f>
        <v>37589</v>
      </c>
      <c r="AA7" s="12">
        <f t="shared" si="1"/>
        <v>151049</v>
      </c>
      <c r="AB7" s="12">
        <v>45966</v>
      </c>
      <c r="AC7" s="12">
        <v>83887</v>
      </c>
      <c r="AD7" s="12"/>
      <c r="AE7" s="12">
        <f t="shared" si="2"/>
        <v>129853</v>
      </c>
      <c r="AF7" s="12">
        <v>13264</v>
      </c>
      <c r="AG7" s="12">
        <f t="shared" si="3"/>
        <v>143117</v>
      </c>
      <c r="AH7" s="12">
        <v>53818</v>
      </c>
      <c r="AI7" s="12">
        <v>91209</v>
      </c>
      <c r="AJ7" s="12"/>
      <c r="AK7" s="12">
        <f t="shared" si="4"/>
        <v>145027</v>
      </c>
      <c r="AL7" s="12">
        <v>20119</v>
      </c>
      <c r="AM7" s="12">
        <f t="shared" si="5"/>
        <v>165146</v>
      </c>
      <c r="AN7" s="12">
        <v>56521</v>
      </c>
      <c r="AO7" s="12">
        <v>104350</v>
      </c>
      <c r="AP7" s="12"/>
      <c r="AQ7" s="12">
        <f t="shared" si="6"/>
        <v>160871</v>
      </c>
      <c r="AR7" s="12">
        <v>19089</v>
      </c>
      <c r="AS7" s="12">
        <f t="shared" si="7"/>
        <v>179960</v>
      </c>
      <c r="AT7" s="12">
        <v>55709</v>
      </c>
      <c r="AU7" s="12">
        <v>111825</v>
      </c>
      <c r="AV7" s="12"/>
      <c r="AW7" s="12">
        <f t="shared" si="8"/>
        <v>167534</v>
      </c>
      <c r="AX7" s="12">
        <v>17345</v>
      </c>
      <c r="AY7" s="12">
        <f t="shared" si="9"/>
        <v>184879</v>
      </c>
      <c r="AZ7" t="s">
        <v>0</v>
      </c>
      <c r="BA7" s="18" t="s">
        <v>77</v>
      </c>
      <c r="BD7" s="44"/>
    </row>
    <row r="8" spans="1:56" ht="51" x14ac:dyDescent="0.2">
      <c r="A8" t="s">
        <v>78</v>
      </c>
      <c r="B8" s="21" t="s">
        <v>482</v>
      </c>
      <c r="C8" t="s">
        <v>2</v>
      </c>
      <c r="D8" s="4" t="s">
        <v>79</v>
      </c>
      <c r="E8" s="5">
        <v>161857000000</v>
      </c>
      <c r="F8" s="5" t="str">
        <f>IF(ISNUMBER(Table1[[#This Row],[2019 Scope 3 ]]),IF(Table1[[#This Row],[Net Earnings/Income (2019)]]-k_cost*Table1[[#This Row],[2019 Total Scope 1, 2 + 3]]&lt;0,"Y","N"),"NA")</f>
        <v>N</v>
      </c>
      <c r="G8" s="56" t="str">
        <f>IF(ISNUMBER(Table1[[#This Row],[2019 Scope 3 ]]),IF(k_cost*Table1[[#This Row],[2019 Total Scope 1, 2 + 3]]/Table1[[#This Row],[Size (2019 Revenue)]]&gt;k_rev_max,"Y","N"),"NA")</f>
        <v>N</v>
      </c>
      <c r="H8" s="56" t="str">
        <f>IF(OR(Table1[[#This Row],[Net earnings post carbon price @85/t]]="Y",Table1[[#This Row],[Carbon costs in % revenue]] = "Y"),"Y",IF(OR(Table1[[#This Row],[Net earnings post carbon price @85/t]]="NA",Table1[[#This Row],[Carbon costs in % revenue]]="NA"),"NA","N"))</f>
        <v>N</v>
      </c>
      <c r="I8" s="5">
        <v>34340000000</v>
      </c>
      <c r="J8" s="9">
        <v>2004</v>
      </c>
      <c r="K8" s="5" t="s">
        <v>1</v>
      </c>
      <c r="L8" t="s">
        <v>1</v>
      </c>
      <c r="M8" t="s">
        <v>0</v>
      </c>
      <c r="N8">
        <v>2007</v>
      </c>
      <c r="O8">
        <v>2007</v>
      </c>
      <c r="P8" s="15"/>
      <c r="Q8" t="s">
        <v>1</v>
      </c>
      <c r="R8" t="s">
        <v>1</v>
      </c>
      <c r="S8">
        <v>2017</v>
      </c>
      <c r="T8" s="53">
        <f>IFERROR((Table1[[#This Row],[2019 Total Scope 1, 2 + 3]])/Table1[[#This Row],[2018 Total Scope 1, 2 + Scope 3]]-1,"NA")</f>
        <v>-0.70896402721482343</v>
      </c>
      <c r="V8" s="36">
        <v>66686</v>
      </c>
      <c r="W8" s="36">
        <v>794267</v>
      </c>
      <c r="X8" s="12"/>
      <c r="Y8" s="12">
        <f t="shared" si="0"/>
        <v>860953</v>
      </c>
      <c r="Z8" s="12">
        <f>2158000+460000+369000+173000</f>
        <v>3160000</v>
      </c>
      <c r="AA8" s="12">
        <f t="shared" si="1"/>
        <v>4020953</v>
      </c>
      <c r="AB8" s="12">
        <v>63521</v>
      </c>
      <c r="AC8" s="12">
        <v>684236</v>
      </c>
      <c r="AD8" s="12">
        <v>1211224</v>
      </c>
      <c r="AE8" s="12">
        <f t="shared" si="2"/>
        <v>-463467</v>
      </c>
      <c r="AF8" s="12">
        <v>14279467</v>
      </c>
      <c r="AG8" s="12">
        <f t="shared" si="3"/>
        <v>13816000</v>
      </c>
      <c r="AH8" s="12">
        <v>66546</v>
      </c>
      <c r="AI8" s="12">
        <v>509334</v>
      </c>
      <c r="AJ8" s="12">
        <v>931943</v>
      </c>
      <c r="AK8" s="12">
        <f t="shared" si="4"/>
        <v>-356063</v>
      </c>
      <c r="AL8" s="12">
        <v>2719024</v>
      </c>
      <c r="AM8" s="12">
        <f t="shared" si="5"/>
        <v>2362961</v>
      </c>
      <c r="AN8" s="12">
        <v>66218</v>
      </c>
      <c r="AO8" s="12">
        <v>1518643</v>
      </c>
      <c r="AP8" s="12">
        <v>1898889</v>
      </c>
      <c r="AQ8" s="12">
        <f t="shared" si="6"/>
        <v>-314028</v>
      </c>
      <c r="AR8" s="12">
        <v>1292267</v>
      </c>
      <c r="AS8" s="12">
        <f t="shared" si="7"/>
        <v>978239</v>
      </c>
      <c r="AT8" s="12">
        <v>66991</v>
      </c>
      <c r="AU8" s="12">
        <v>1384427</v>
      </c>
      <c r="AV8" s="12">
        <v>2686101</v>
      </c>
      <c r="AW8" s="12">
        <f t="shared" si="8"/>
        <v>-1234683</v>
      </c>
      <c r="AX8" s="12">
        <v>1234683</v>
      </c>
      <c r="AY8" s="12">
        <f t="shared" si="9"/>
        <v>0</v>
      </c>
      <c r="AZ8" t="s">
        <v>1</v>
      </c>
      <c r="BA8" s="18" t="s">
        <v>80</v>
      </c>
      <c r="BC8" s="3"/>
      <c r="BD8" s="44"/>
    </row>
    <row r="9" spans="1:56" ht="63.75" x14ac:dyDescent="0.2">
      <c r="A9" t="s">
        <v>81</v>
      </c>
      <c r="B9" s="21" t="s">
        <v>474</v>
      </c>
      <c r="C9" s="4" t="s">
        <v>4</v>
      </c>
      <c r="D9" t="s">
        <v>82</v>
      </c>
      <c r="E9" s="11">
        <v>25364000000</v>
      </c>
      <c r="F9" s="5" t="str">
        <f>IF(ISNUMBER(Table1[[#This Row],[2019 Scope 3 ]]),IF(Table1[[#This Row],[Net Earnings/Income (2019)]]-k_cost*Table1[[#This Row],[2019 Total Scope 1, 2 + 3]]&lt;0,"Y","N"),"NA")</f>
        <v>NA</v>
      </c>
      <c r="G9" s="56" t="str">
        <f>IF(ISNUMBER(Table1[[#This Row],[2019 Scope 3 ]]),IF(k_cost*Table1[[#This Row],[2019 Total Scope 1, 2 + 3]]/Table1[[#This Row],[Size (2019 Revenue)]]&gt;k_rev_max,"Y","N"),"NA")</f>
        <v>NA</v>
      </c>
      <c r="H9" s="56" t="str">
        <f>IF(OR(Table1[[#This Row],[Net earnings post carbon price @85/t]]="Y",Table1[[#This Row],[Carbon costs in % revenue]] = "Y"),"Y",IF(OR(Table1[[#This Row],[Net earnings post carbon price @85/t]]="NA",Table1[[#This Row],[Carbon costs in % revenue]]="NA"),"NA","N"))</f>
        <v>NA</v>
      </c>
      <c r="I9" s="11">
        <v>6963000000</v>
      </c>
      <c r="J9" s="10">
        <v>1985</v>
      </c>
      <c r="K9" s="4" t="s">
        <v>1</v>
      </c>
      <c r="L9" s="4" t="s">
        <v>0</v>
      </c>
      <c r="M9" t="s">
        <v>0</v>
      </c>
      <c r="P9" s="17">
        <v>4468432</v>
      </c>
      <c r="Q9" t="s">
        <v>0</v>
      </c>
      <c r="R9" s="4" t="s">
        <v>1</v>
      </c>
      <c r="S9">
        <v>2030</v>
      </c>
      <c r="T9" s="53" t="str">
        <f>IFERROR((Table1[[#This Row],[2019 Total Scope 1, 2 + 3]])/Table1[[#This Row],[2018 Total Scope 1, 2 + Scope 3]]-1,"NA")</f>
        <v>NA</v>
      </c>
      <c r="V9" s="12">
        <v>154507</v>
      </c>
      <c r="W9" s="12">
        <v>146909</v>
      </c>
      <c r="X9" s="12"/>
      <c r="Y9" s="12">
        <f t="shared" si="0"/>
        <v>301416</v>
      </c>
      <c r="Z9" s="12" t="s">
        <v>401</v>
      </c>
      <c r="AA9" s="12" t="str">
        <f t="shared" si="1"/>
        <v/>
      </c>
      <c r="AB9" s="12">
        <v>162139</v>
      </c>
      <c r="AC9" s="12">
        <v>166706</v>
      </c>
      <c r="AD9" s="12"/>
      <c r="AE9" s="12">
        <f t="shared" si="2"/>
        <v>328845</v>
      </c>
      <c r="AF9" s="12">
        <v>5078448</v>
      </c>
      <c r="AG9" s="12">
        <f t="shared" si="3"/>
        <v>5407293</v>
      </c>
      <c r="AH9" s="12">
        <v>167695</v>
      </c>
      <c r="AI9" s="12">
        <v>168889</v>
      </c>
      <c r="AJ9" s="12"/>
      <c r="AK9" s="12">
        <f t="shared" si="4"/>
        <v>336584</v>
      </c>
      <c r="AL9" s="12">
        <v>5264365</v>
      </c>
      <c r="AM9" s="12">
        <f t="shared" si="5"/>
        <v>5600949</v>
      </c>
      <c r="AN9" s="12">
        <v>170442</v>
      </c>
      <c r="AO9" s="12">
        <v>206622</v>
      </c>
      <c r="AP9" s="12"/>
      <c r="AQ9" s="12">
        <f t="shared" si="6"/>
        <v>377064</v>
      </c>
      <c r="AR9" s="12">
        <f>1941444+126828+98679+165673+18158+10951+18622+243900+76389+172681</f>
        <v>2873325</v>
      </c>
      <c r="AS9" s="12">
        <f t="shared" si="7"/>
        <v>3250389</v>
      </c>
      <c r="AT9" s="12">
        <v>192293</v>
      </c>
      <c r="AU9" s="12">
        <v>204900</v>
      </c>
      <c r="AV9" s="12"/>
      <c r="AW9" s="12">
        <f t="shared" si="8"/>
        <v>397193</v>
      </c>
      <c r="AX9" s="12">
        <f>1946817+127179+59481+97537+30299+10641+19468+244575+76601+173159</f>
        <v>2785757</v>
      </c>
      <c r="AY9" s="12">
        <f t="shared" si="9"/>
        <v>3182950</v>
      </c>
      <c r="AZ9" t="s">
        <v>0</v>
      </c>
      <c r="BA9" s="3" t="s">
        <v>83</v>
      </c>
      <c r="BD9" s="44"/>
    </row>
    <row r="10" spans="1:56" ht="140.25" x14ac:dyDescent="0.2">
      <c r="A10" t="s">
        <v>84</v>
      </c>
      <c r="B10" s="21" t="s">
        <v>408</v>
      </c>
      <c r="C10" s="4" t="s">
        <v>3</v>
      </c>
      <c r="D10" s="4" t="s">
        <v>85</v>
      </c>
      <c r="E10" s="5">
        <v>280000000000</v>
      </c>
      <c r="F10" s="5" t="str">
        <f>IF(ISNUMBER(Table1[[#This Row],[2019 Scope 3 ]]),IF(Table1[[#This Row],[Net Earnings/Income (2019)]]-k_cost*Table1[[#This Row],[2019 Total Scope 1, 2 + 3]]&lt;0,"Y","N"),"NA")</f>
        <v>N</v>
      </c>
      <c r="G10" s="56" t="str">
        <f>IF(ISNUMBER(Table1[[#This Row],[2019 Scope 3 ]]),IF(k_cost*Table1[[#This Row],[2019 Total Scope 1, 2 + 3]]/Table1[[#This Row],[Size (2019 Revenue)]]&gt;k_rev_max,"Y","N"),"NA")</f>
        <v>N</v>
      </c>
      <c r="H10" s="56" t="str">
        <f>IF(OR(Table1[[#This Row],[Net earnings post carbon price @85/t]]="Y",Table1[[#This Row],[Carbon costs in % revenue]] = "Y"),"Y",IF(OR(Table1[[#This Row],[Net earnings post carbon price @85/t]]="NA",Table1[[#This Row],[Carbon costs in % revenue]]="NA"),"NA","N"))</f>
        <v>N</v>
      </c>
      <c r="I10" s="5">
        <v>11588000000</v>
      </c>
      <c r="J10" s="9">
        <v>1997</v>
      </c>
      <c r="K10" s="5" t="s">
        <v>1</v>
      </c>
      <c r="L10" t="s">
        <v>1</v>
      </c>
      <c r="M10" s="4" t="s">
        <v>1</v>
      </c>
      <c r="N10">
        <v>2040</v>
      </c>
      <c r="O10">
        <v>2020</v>
      </c>
      <c r="R10" t="s">
        <v>1</v>
      </c>
      <c r="S10">
        <v>2025</v>
      </c>
      <c r="T10" s="53">
        <f>IFERROR((Table1[[#This Row],[2019 Total Scope 1, 2 + 3]])/Table1[[#This Row],[2018 Total Scope 1, 2 + Scope 3]]-1,"NA")</f>
        <v>0.15247747747747753</v>
      </c>
      <c r="V10" s="12">
        <v>5760000</v>
      </c>
      <c r="W10" s="12">
        <v>5500000</v>
      </c>
      <c r="X10" s="12"/>
      <c r="Y10" s="12">
        <f t="shared" si="0"/>
        <v>11260000</v>
      </c>
      <c r="Z10" s="12">
        <v>39910000</v>
      </c>
      <c r="AA10" s="12">
        <f t="shared" si="1"/>
        <v>51170000</v>
      </c>
      <c r="AB10" s="12">
        <v>4980000</v>
      </c>
      <c r="AC10" s="12">
        <v>4710000</v>
      </c>
      <c r="AD10" s="12"/>
      <c r="AE10" s="12">
        <f t="shared" si="2"/>
        <v>9690000</v>
      </c>
      <c r="AF10" s="12">
        <v>34710000</v>
      </c>
      <c r="AG10" s="12">
        <f t="shared" si="3"/>
        <v>44400000</v>
      </c>
      <c r="AH10" s="12" t="s">
        <v>401</v>
      </c>
      <c r="AI10" s="12" t="s">
        <v>401</v>
      </c>
      <c r="AJ10" s="12"/>
      <c r="AK10" s="12" t="str">
        <f t="shared" si="4"/>
        <v/>
      </c>
      <c r="AL10" s="12" t="s">
        <v>401</v>
      </c>
      <c r="AM10" s="12" t="str">
        <f t="shared" si="5"/>
        <v/>
      </c>
      <c r="AN10" s="12" t="s">
        <v>401</v>
      </c>
      <c r="AO10" s="12" t="s">
        <v>401</v>
      </c>
      <c r="AP10" s="12"/>
      <c r="AQ10" s="12" t="str">
        <f t="shared" si="6"/>
        <v/>
      </c>
      <c r="AR10" s="12" t="s">
        <v>401</v>
      </c>
      <c r="AS10" s="12" t="str">
        <f t="shared" si="7"/>
        <v/>
      </c>
      <c r="AT10" s="12" t="s">
        <v>401</v>
      </c>
      <c r="AU10" s="12" t="s">
        <v>401</v>
      </c>
      <c r="AV10" s="12"/>
      <c r="AW10" s="12" t="str">
        <f t="shared" si="8"/>
        <v/>
      </c>
      <c r="AX10" s="12" t="s">
        <v>401</v>
      </c>
      <c r="AY10" s="12" t="str">
        <f t="shared" si="9"/>
        <v/>
      </c>
      <c r="AZ10" t="s">
        <v>1</v>
      </c>
      <c r="BA10" s="3" t="s">
        <v>86</v>
      </c>
      <c r="BB10" s="3"/>
      <c r="BC10" s="3" t="s">
        <v>87</v>
      </c>
      <c r="BD10" s="44"/>
    </row>
    <row r="11" spans="1:56" x14ac:dyDescent="0.2">
      <c r="A11" t="s">
        <v>88</v>
      </c>
      <c r="B11" t="s">
        <v>88</v>
      </c>
      <c r="C11" t="s">
        <v>6</v>
      </c>
      <c r="D11" t="s">
        <v>89</v>
      </c>
      <c r="E11" s="11">
        <v>43556000000</v>
      </c>
      <c r="F11" s="5" t="str">
        <f>IF(ISNUMBER(Table1[[#This Row],[2019 Scope 3 ]]),IF(Table1[[#This Row],[Net Earnings/Income (2019)]]-k_cost*Table1[[#This Row],[2019 Total Scope 1, 2 + 3]]&lt;0,"Y","N"),"NA")</f>
        <v>N</v>
      </c>
      <c r="G11" s="56" t="str">
        <f>IF(ISNUMBER(Table1[[#This Row],[2019 Scope 3 ]]),IF(k_cost*Table1[[#This Row],[2019 Total Scope 1, 2 + 3]]/Table1[[#This Row],[Size (2019 Revenue)]]&gt;k_rev_max,"Y","N"),"NA")</f>
        <v>N</v>
      </c>
      <c r="H11" s="56" t="str">
        <f>IF(OR(Table1[[#This Row],[Net earnings post carbon price @85/t]]="Y",Table1[[#This Row],[Carbon costs in % revenue]] = "Y"),"Y",IF(OR(Table1[[#This Row],[Net earnings post carbon price @85/t]]="NA",Table1[[#This Row],[Carbon costs in % revenue]]="NA"),"NA","N"))</f>
        <v>N</v>
      </c>
      <c r="I11" s="11">
        <v>6921000000</v>
      </c>
      <c r="J11" s="10">
        <v>1850</v>
      </c>
      <c r="K11" s="4" t="s">
        <v>1</v>
      </c>
      <c r="L11" s="4" t="s">
        <v>1</v>
      </c>
      <c r="M11" t="s">
        <v>0</v>
      </c>
      <c r="N11">
        <v>2018</v>
      </c>
      <c r="O11">
        <v>2018</v>
      </c>
      <c r="P11" s="17" t="s">
        <v>0</v>
      </c>
      <c r="Q11" t="s">
        <v>1</v>
      </c>
      <c r="R11" s="4" t="s">
        <v>1</v>
      </c>
      <c r="S11" s="4">
        <v>2018</v>
      </c>
      <c r="T11" s="54">
        <f>IFERROR((Table1[[#This Row],[2019 Total Scope 1, 2 + 3]])/Table1[[#This Row],[2018 Total Scope 1, 2 + Scope 3]]-1,"NA")</f>
        <v>-7.2535066712715257E-2</v>
      </c>
      <c r="U11" s="4"/>
      <c r="V11" s="12">
        <v>24363</v>
      </c>
      <c r="W11" s="12">
        <v>3153</v>
      </c>
      <c r="X11" s="12"/>
      <c r="Y11" s="12">
        <f t="shared" si="0"/>
        <v>27516</v>
      </c>
      <c r="Z11" s="12">
        <f>1956901+24863+30305+1719+51.679+138358+8000+9000</f>
        <v>2169197.679</v>
      </c>
      <c r="AA11" s="12">
        <f t="shared" si="1"/>
        <v>2196713.679</v>
      </c>
      <c r="AB11" s="12">
        <v>23981</v>
      </c>
      <c r="AC11" s="12">
        <v>2994</v>
      </c>
      <c r="AD11" s="12"/>
      <c r="AE11" s="12">
        <f t="shared" si="2"/>
        <v>26975</v>
      </c>
      <c r="AF11" s="12">
        <f>2090113+36041+28946+1710+47285+120309+8000+9000+135</f>
        <v>2341539</v>
      </c>
      <c r="AG11" s="12">
        <f t="shared" si="3"/>
        <v>2368514</v>
      </c>
      <c r="AH11" s="12">
        <v>24162</v>
      </c>
      <c r="AI11" s="12">
        <v>55273</v>
      </c>
      <c r="AJ11" s="12"/>
      <c r="AK11" s="12">
        <f t="shared" si="4"/>
        <v>79435</v>
      </c>
      <c r="AL11" s="12">
        <f>2028571+23807+30677+1314+34224+107396+8000+20000+156</f>
        <v>2254145</v>
      </c>
      <c r="AM11" s="12">
        <f t="shared" si="5"/>
        <v>2333580</v>
      </c>
      <c r="AN11" s="12">
        <v>25438</v>
      </c>
      <c r="AO11" s="12">
        <v>59115</v>
      </c>
      <c r="AP11" s="12"/>
      <c r="AQ11" s="12">
        <f t="shared" si="6"/>
        <v>84553</v>
      </c>
      <c r="AR11" s="12">
        <f>2110677+22382+30852+724+38364+122106+8000+22000+777</f>
        <v>2355882</v>
      </c>
      <c r="AS11" s="12">
        <f t="shared" si="7"/>
        <v>2440435</v>
      </c>
      <c r="AT11" s="12">
        <v>27352</v>
      </c>
      <c r="AU11" s="12">
        <v>98452</v>
      </c>
      <c r="AV11" s="12"/>
      <c r="AW11" s="12">
        <f t="shared" si="8"/>
        <v>125804</v>
      </c>
      <c r="AX11" s="12">
        <f>1128675+25937+34489+3230+1347+43092+118926+1800</f>
        <v>1357496</v>
      </c>
      <c r="AY11" s="12">
        <f t="shared" si="9"/>
        <v>1483300</v>
      </c>
      <c r="AZ11" t="s">
        <v>0</v>
      </c>
      <c r="BA11" s="3"/>
      <c r="BD11" s="44"/>
    </row>
    <row r="12" spans="1:56" ht="25.5" x14ac:dyDescent="0.2">
      <c r="A12" s="4" t="s">
        <v>414</v>
      </c>
      <c r="B12" s="21" t="s">
        <v>390</v>
      </c>
      <c r="C12" s="4" t="s">
        <v>6</v>
      </c>
      <c r="D12" s="4" t="s">
        <v>76</v>
      </c>
      <c r="E12" s="11">
        <v>49750000000</v>
      </c>
      <c r="F12" s="5" t="str">
        <f>IF(ISNUMBER(Table1[[#This Row],[2019 Scope 3 ]]),IF(Table1[[#This Row],[Net Earnings/Income (2019)]]-k_cost*Table1[[#This Row],[2019 Total Scope 1, 2 + 3]]&lt;0,"Y","N"),"NA")</f>
        <v>NA</v>
      </c>
      <c r="G12" s="56" t="str">
        <f>IF(ISNUMBER(Table1[[#This Row],[2019 Scope 3 ]]),IF(k_cost*Table1[[#This Row],[2019 Total Scope 1, 2 + 3]]/Table1[[#This Row],[Size (2019 Revenue)]]&gt;k_rev_max,"Y","N"),"NA")</f>
        <v>NA</v>
      </c>
      <c r="H12" s="56" t="str">
        <f>IF(OR(Table1[[#This Row],[Net earnings post carbon price @85/t]]="Y",Table1[[#This Row],[Carbon costs in % revenue]] = "Y"),"Y",IF(OR(Table1[[#This Row],[Net earnings post carbon price @85/t]]="NA",Table1[[#This Row],[Carbon costs in % revenue]]="NA"),"NA","N"))</f>
        <v>NA</v>
      </c>
      <c r="I12" s="11">
        <v>3300000000</v>
      </c>
      <c r="J12" s="10">
        <v>1969</v>
      </c>
      <c r="K12" s="4" t="s">
        <v>1</v>
      </c>
      <c r="L12" s="4" t="s">
        <v>0</v>
      </c>
      <c r="M12" t="s">
        <v>0</v>
      </c>
      <c r="P12" s="17" t="s">
        <v>0</v>
      </c>
      <c r="Q12" t="s">
        <v>0</v>
      </c>
      <c r="R12" s="4" t="s">
        <v>0</v>
      </c>
      <c r="S12" s="4" t="s">
        <v>0</v>
      </c>
      <c r="T12" s="54" t="str">
        <f>IFERROR((Table1[[#This Row],[2019 Total Scope 1, 2 + 3]])/Table1[[#This Row],[2018 Total Scope 1, 2 + Scope 3]]-1,"NA")</f>
        <v>NA</v>
      </c>
      <c r="U12" s="4"/>
      <c r="V12" s="12">
        <v>17121</v>
      </c>
      <c r="W12" s="12">
        <v>93781</v>
      </c>
      <c r="X12" s="12"/>
      <c r="Y12" s="12">
        <f t="shared" si="0"/>
        <v>110902</v>
      </c>
      <c r="Z12" s="12" t="s">
        <v>401</v>
      </c>
      <c r="AA12" s="12" t="str">
        <f t="shared" si="1"/>
        <v/>
      </c>
      <c r="AB12" s="12" t="s">
        <v>401</v>
      </c>
      <c r="AC12" s="12">
        <v>8824</v>
      </c>
      <c r="AD12" s="12"/>
      <c r="AE12" s="12" t="str">
        <f t="shared" si="2"/>
        <v/>
      </c>
      <c r="AF12" s="12" t="s">
        <v>401</v>
      </c>
      <c r="AG12" s="12" t="str">
        <f t="shared" si="3"/>
        <v/>
      </c>
      <c r="AH12" s="12" t="s">
        <v>401</v>
      </c>
      <c r="AI12" s="12">
        <v>9781</v>
      </c>
      <c r="AJ12" s="12"/>
      <c r="AK12" s="12" t="str">
        <f t="shared" si="4"/>
        <v/>
      </c>
      <c r="AL12" s="12" t="s">
        <v>401</v>
      </c>
      <c r="AM12" s="12" t="str">
        <f t="shared" si="5"/>
        <v/>
      </c>
      <c r="AN12" s="12" t="s">
        <v>401</v>
      </c>
      <c r="AO12" s="12">
        <v>12135</v>
      </c>
      <c r="AP12" s="12"/>
      <c r="AQ12" s="12" t="str">
        <f t="shared" si="6"/>
        <v/>
      </c>
      <c r="AR12" s="12" t="s">
        <v>401</v>
      </c>
      <c r="AS12" s="12" t="str">
        <f t="shared" si="7"/>
        <v/>
      </c>
      <c r="AT12" s="12" t="s">
        <v>401</v>
      </c>
      <c r="AU12" s="12" t="s">
        <v>401</v>
      </c>
      <c r="AV12" s="12"/>
      <c r="AW12" s="12" t="str">
        <f t="shared" si="8"/>
        <v/>
      </c>
      <c r="AX12" s="12" t="s">
        <v>401</v>
      </c>
      <c r="AY12" s="12" t="str">
        <f t="shared" si="9"/>
        <v/>
      </c>
      <c r="AZ12" s="13" t="s">
        <v>0</v>
      </c>
      <c r="BA12" s="18" t="s">
        <v>90</v>
      </c>
      <c r="BB12" s="14" t="s">
        <v>415</v>
      </c>
      <c r="BD12" s="44"/>
    </row>
    <row r="13" spans="1:56" ht="51" x14ac:dyDescent="0.2">
      <c r="A13" s="21" t="s">
        <v>91</v>
      </c>
      <c r="B13" s="21" t="s">
        <v>91</v>
      </c>
      <c r="C13" s="21" t="s">
        <v>10</v>
      </c>
      <c r="D13" t="s">
        <v>10</v>
      </c>
      <c r="E13" s="11">
        <v>7580000000</v>
      </c>
      <c r="F13" s="5" t="str">
        <f>IF(ISNUMBER(Table1[[#This Row],[2019 Scope 3 ]]),IF(Table1[[#This Row],[Net Earnings/Income (2019)]]-k_cost*Table1[[#This Row],[2019 Total Scope 1, 2 + 3]]&lt;0,"Y","N"),"NA")</f>
        <v>NA</v>
      </c>
      <c r="G13" s="56" t="str">
        <f>IF(ISNUMBER(Table1[[#This Row],[2019 Scope 3 ]]),IF(k_cost*Table1[[#This Row],[2019 Total Scope 1, 2 + 3]]/Table1[[#This Row],[Size (2019 Revenue)]]&gt;k_rev_max,"Y","N"),"NA")</f>
        <v>NA</v>
      </c>
      <c r="H13" s="56" t="str">
        <f>IF(OR(Table1[[#This Row],[Net earnings post carbon price @85/t]]="Y",Table1[[#This Row],[Carbon costs in % revenue]] = "Y"),"Y",IF(OR(Table1[[#This Row],[Net earnings post carbon price @85/t]]="NA",Table1[[#This Row],[Carbon costs in % revenue]]="NA"),"NA","N"))</f>
        <v>NA</v>
      </c>
      <c r="I13" s="11">
        <v>1888000000</v>
      </c>
      <c r="J13" s="10">
        <v>1995</v>
      </c>
      <c r="K13" s="4" t="s">
        <v>1</v>
      </c>
      <c r="L13" s="43" t="s">
        <v>0</v>
      </c>
      <c r="M13" s="4" t="s">
        <v>0</v>
      </c>
      <c r="P13" s="17" t="s">
        <v>0</v>
      </c>
      <c r="R13" s="4" t="s">
        <v>0</v>
      </c>
      <c r="S13" s="4" t="s">
        <v>0</v>
      </c>
      <c r="T13" s="54" t="str">
        <f>IFERROR((Table1[[#This Row],[2019 Total Scope 1, 2 + 3]])/Table1[[#This Row],[2018 Total Scope 1, 2 + Scope 3]]-1,"NA")</f>
        <v>NA</v>
      </c>
      <c r="U13" s="4"/>
      <c r="V13" s="12">
        <v>556281</v>
      </c>
      <c r="W13" s="12">
        <v>1780621</v>
      </c>
      <c r="X13" s="12">
        <v>92145</v>
      </c>
      <c r="Y13" s="12">
        <f t="shared" si="0"/>
        <v>2244757</v>
      </c>
      <c r="Z13" s="12" t="s">
        <v>401</v>
      </c>
      <c r="AA13" s="12" t="str">
        <f t="shared" si="1"/>
        <v/>
      </c>
      <c r="AB13" s="12">
        <v>615347</v>
      </c>
      <c r="AC13" s="12">
        <v>1796960</v>
      </c>
      <c r="AD13" s="12"/>
      <c r="AE13" s="12">
        <f t="shared" si="2"/>
        <v>2412307</v>
      </c>
      <c r="AF13" s="12" t="s">
        <v>401</v>
      </c>
      <c r="AG13" s="12" t="str">
        <f t="shared" si="3"/>
        <v/>
      </c>
      <c r="AH13" s="12">
        <v>650755</v>
      </c>
      <c r="AI13" s="12">
        <v>1617395</v>
      </c>
      <c r="AJ13" s="12"/>
      <c r="AK13" s="12">
        <f t="shared" si="4"/>
        <v>2268150</v>
      </c>
      <c r="AL13" s="12" t="s">
        <v>401</v>
      </c>
      <c r="AM13" s="12" t="str">
        <f t="shared" si="5"/>
        <v/>
      </c>
      <c r="AN13" s="12" t="s">
        <v>401</v>
      </c>
      <c r="AO13" s="12" t="s">
        <v>401</v>
      </c>
      <c r="AP13" s="12"/>
      <c r="AQ13" s="12" t="str">
        <f t="shared" si="6"/>
        <v/>
      </c>
      <c r="AR13" s="12" t="s">
        <v>401</v>
      </c>
      <c r="AS13" s="12" t="str">
        <f t="shared" si="7"/>
        <v/>
      </c>
      <c r="AT13" s="12" t="s">
        <v>401</v>
      </c>
      <c r="AU13" s="12" t="s">
        <v>401</v>
      </c>
      <c r="AV13" s="12"/>
      <c r="AW13" s="12" t="str">
        <f t="shared" si="8"/>
        <v/>
      </c>
      <c r="AX13" s="12" t="s">
        <v>401</v>
      </c>
      <c r="AY13" s="12" t="str">
        <f t="shared" si="9"/>
        <v/>
      </c>
      <c r="AZ13" t="s">
        <v>0</v>
      </c>
      <c r="BA13" s="14" t="s">
        <v>92</v>
      </c>
      <c r="BD13" s="44" t="s">
        <v>488</v>
      </c>
    </row>
    <row r="14" spans="1:56" ht="25.5" x14ac:dyDescent="0.2">
      <c r="A14" t="s">
        <v>93</v>
      </c>
      <c r="B14" s="21" t="s">
        <v>456</v>
      </c>
      <c r="C14" t="s">
        <v>7</v>
      </c>
      <c r="D14" t="s">
        <v>69</v>
      </c>
      <c r="E14" s="11">
        <v>23400000000</v>
      </c>
      <c r="F14" s="5" t="str">
        <f>IF(ISNUMBER(Table1[[#This Row],[2019 Scope 3 ]]),IF(Table1[[#This Row],[Net Earnings/Income (2019)]]-k_cost*Table1[[#This Row],[2019 Total Scope 1, 2 + 3]]&lt;0,"Y","N"),"NA")</f>
        <v>N</v>
      </c>
      <c r="G14" s="56" t="str">
        <f>IF(ISNUMBER(Table1[[#This Row],[2019 Scope 3 ]]),IF(k_cost*Table1[[#This Row],[2019 Total Scope 1, 2 + 3]]/Table1[[#This Row],[Size (2019 Revenue)]]&gt;k_rev_max,"Y","N"),"NA")</f>
        <v>N</v>
      </c>
      <c r="H14" s="56" t="str">
        <f>IF(OR(Table1[[#This Row],[Net earnings post carbon price @85/t]]="Y",Table1[[#This Row],[Carbon costs in % revenue]] = "Y"),"Y",IF(OR(Table1[[#This Row],[Net earnings post carbon price @85/t]]="NA",Table1[[#This Row],[Carbon costs in % revenue]]="NA"),"NA","N"))</f>
        <v>N</v>
      </c>
      <c r="I14" s="11">
        <v>7840000000</v>
      </c>
      <c r="J14" s="10">
        <v>1983</v>
      </c>
      <c r="K14" s="4" t="s">
        <v>1</v>
      </c>
      <c r="L14" s="4" t="s">
        <v>0</v>
      </c>
      <c r="M14" t="s">
        <v>0</v>
      </c>
      <c r="P14" s="17"/>
      <c r="Q14" t="s">
        <v>0</v>
      </c>
      <c r="R14" s="4" t="s">
        <v>0</v>
      </c>
      <c r="S14" s="4" t="s">
        <v>0</v>
      </c>
      <c r="T14" s="54">
        <f>IFERROR((Table1[[#This Row],[2019 Total Scope 1, 2 + 3]])/Table1[[#This Row],[2018 Total Scope 1, 2 + Scope 3]]-1,"NA")</f>
        <v>-1.6012735893901953E-2</v>
      </c>
      <c r="U14" s="4"/>
      <c r="V14" s="12">
        <v>135954</v>
      </c>
      <c r="W14" s="12">
        <v>160360</v>
      </c>
      <c r="X14" s="12"/>
      <c r="Y14" s="12">
        <f t="shared" si="0"/>
        <v>296314</v>
      </c>
      <c r="Z14" s="12">
        <f>2323917+258132+52554+22572+3454+56478+56210+52991+3047</f>
        <v>2829355</v>
      </c>
      <c r="AA14" s="12">
        <f t="shared" si="1"/>
        <v>3125669</v>
      </c>
      <c r="AB14" s="12">
        <v>160184</v>
      </c>
      <c r="AC14" s="12">
        <v>159848</v>
      </c>
      <c r="AD14" s="12"/>
      <c r="AE14" s="12">
        <f t="shared" si="2"/>
        <v>320032</v>
      </c>
      <c r="AF14" s="12">
        <f>2413684+263202+29187+33207+1405+59334+56483</f>
        <v>2856502</v>
      </c>
      <c r="AG14" s="12">
        <f t="shared" si="3"/>
        <v>3176534</v>
      </c>
      <c r="AH14" s="12">
        <v>163362</v>
      </c>
      <c r="AI14" s="12">
        <v>139035</v>
      </c>
      <c r="AJ14" s="12"/>
      <c r="AK14" s="12">
        <f t="shared" si="4"/>
        <v>302397</v>
      </c>
      <c r="AL14" s="12" t="s">
        <v>401</v>
      </c>
      <c r="AM14" s="12" t="str">
        <f t="shared" si="5"/>
        <v/>
      </c>
      <c r="AN14" s="12">
        <v>116643</v>
      </c>
      <c r="AO14" s="12">
        <v>196000</v>
      </c>
      <c r="AP14" s="12"/>
      <c r="AQ14" s="12">
        <f t="shared" si="6"/>
        <v>312643</v>
      </c>
      <c r="AR14" s="12" t="s">
        <v>401</v>
      </c>
      <c r="AS14" s="12" t="str">
        <f t="shared" si="7"/>
        <v/>
      </c>
      <c r="AT14" s="12">
        <v>125674</v>
      </c>
      <c r="AU14" s="12">
        <v>281940</v>
      </c>
      <c r="AV14" s="12"/>
      <c r="AW14" s="12">
        <f t="shared" si="8"/>
        <v>407614</v>
      </c>
      <c r="AX14" s="12" t="s">
        <v>401</v>
      </c>
      <c r="AY14" s="12" t="str">
        <f t="shared" si="9"/>
        <v/>
      </c>
      <c r="AZ14" t="s">
        <v>0</v>
      </c>
      <c r="BA14" s="18" t="s">
        <v>94</v>
      </c>
      <c r="BD14" s="44"/>
    </row>
    <row r="15" spans="1:56" x14ac:dyDescent="0.2">
      <c r="A15" t="s">
        <v>95</v>
      </c>
      <c r="B15" s="21" t="s">
        <v>402</v>
      </c>
      <c r="C15" t="s">
        <v>11</v>
      </c>
      <c r="D15" s="4" t="s">
        <v>96</v>
      </c>
      <c r="E15" s="5">
        <v>260174000000</v>
      </c>
      <c r="F15" s="5" t="str">
        <f>IF(ISNUMBER(Table1[[#This Row],[2019 Scope 3 ]]),IF(Table1[[#This Row],[Net Earnings/Income (2019)]]-k_cost*Table1[[#This Row],[2019 Total Scope 1, 2 + 3]]&lt;0,"Y","N"),"NA")</f>
        <v>N</v>
      </c>
      <c r="G15" s="56" t="str">
        <f>IF(ISNUMBER(Table1[[#This Row],[2019 Scope 3 ]]),IF(k_cost*Table1[[#This Row],[2019 Total Scope 1, 2 + 3]]/Table1[[#This Row],[Size (2019 Revenue)]]&gt;k_rev_max,"Y","N"),"NA")</f>
        <v>N</v>
      </c>
      <c r="H15" s="56" t="str">
        <f>IF(OR(Table1[[#This Row],[Net earnings post carbon price @85/t]]="Y",Table1[[#This Row],[Carbon costs in % revenue]] = "Y"),"Y",IF(OR(Table1[[#This Row],[Net earnings post carbon price @85/t]]="NA",Table1[[#This Row],[Carbon costs in % revenue]]="NA"),"NA","N"))</f>
        <v>N</v>
      </c>
      <c r="I15" s="5">
        <v>55256000000</v>
      </c>
      <c r="J15" s="9">
        <v>1980</v>
      </c>
      <c r="K15" s="5" t="s">
        <v>1</v>
      </c>
      <c r="L15" t="s">
        <v>1</v>
      </c>
      <c r="M15" t="s">
        <v>0</v>
      </c>
      <c r="N15">
        <v>2030</v>
      </c>
      <c r="O15">
        <v>2020</v>
      </c>
      <c r="P15" s="17">
        <v>1083243</v>
      </c>
      <c r="Q15" t="s">
        <v>0</v>
      </c>
      <c r="R15" t="s">
        <v>1</v>
      </c>
      <c r="S15">
        <v>2018</v>
      </c>
      <c r="T15" s="53">
        <f>IFERROR((Table1[[#This Row],[2019 Total Scope 1, 2 + 3]])/Table1[[#This Row],[2018 Total Scope 1, 2 + Scope 3]]-1,"NA")</f>
        <v>1.8344205078635101E-2</v>
      </c>
      <c r="V15" s="12">
        <v>50549</v>
      </c>
      <c r="W15" s="12">
        <v>0</v>
      </c>
      <c r="X15" s="12"/>
      <c r="Y15" s="12">
        <f t="shared" si="0"/>
        <v>50549</v>
      </c>
      <c r="Z15" s="12">
        <f>18900000+486000+325500+194700+999000+4100000+60000</f>
        <v>25065200</v>
      </c>
      <c r="AA15" s="12">
        <f t="shared" si="1"/>
        <v>25115749</v>
      </c>
      <c r="AB15" s="12">
        <v>54590</v>
      </c>
      <c r="AC15" s="12">
        <v>8730</v>
      </c>
      <c r="AD15" s="12"/>
      <c r="AE15" s="12">
        <f t="shared" si="2"/>
        <v>63320</v>
      </c>
      <c r="AF15" s="12">
        <v>24600000</v>
      </c>
      <c r="AG15" s="12">
        <f t="shared" si="3"/>
        <v>24663320</v>
      </c>
      <c r="AH15" s="12">
        <v>45400</v>
      </c>
      <c r="AI15" s="12">
        <v>36250</v>
      </c>
      <c r="AJ15" s="12"/>
      <c r="AK15" s="12">
        <f t="shared" si="4"/>
        <v>81650</v>
      </c>
      <c r="AL15" s="12">
        <v>293440</v>
      </c>
      <c r="AM15" s="12">
        <f t="shared" si="5"/>
        <v>375090</v>
      </c>
      <c r="AN15" s="12">
        <v>34370</v>
      </c>
      <c r="AO15" s="12">
        <v>31000</v>
      </c>
      <c r="AP15" s="12"/>
      <c r="AQ15" s="12">
        <f t="shared" si="6"/>
        <v>65370</v>
      </c>
      <c r="AR15" s="12">
        <f>22800000+350000+117500+186400+830000+5000000+300000</f>
        <v>29583900</v>
      </c>
      <c r="AS15" s="12">
        <f t="shared" si="7"/>
        <v>29649270</v>
      </c>
      <c r="AT15" s="12">
        <v>28100</v>
      </c>
      <c r="AU15" s="12">
        <v>42460</v>
      </c>
      <c r="AV15" s="12"/>
      <c r="AW15" s="12">
        <f t="shared" si="8"/>
        <v>70560</v>
      </c>
      <c r="AX15" s="12" t="s">
        <v>401</v>
      </c>
      <c r="AY15" s="12" t="str">
        <f t="shared" si="9"/>
        <v/>
      </c>
      <c r="AZ15" t="s">
        <v>1</v>
      </c>
      <c r="BC15" s="34" t="s">
        <v>97</v>
      </c>
      <c r="BD15" s="44"/>
    </row>
    <row r="16" spans="1:56" ht="89.25" x14ac:dyDescent="0.2">
      <c r="A16" t="s">
        <v>98</v>
      </c>
      <c r="B16" s="21" t="s">
        <v>404</v>
      </c>
      <c r="C16" t="s">
        <v>2</v>
      </c>
      <c r="D16" t="s">
        <v>99</v>
      </c>
      <c r="E16" s="5">
        <v>181200000000</v>
      </c>
      <c r="F16" s="5" t="str">
        <f>IF(ISNUMBER(Table1[[#This Row],[2019 Scope 3 ]]),IF(Table1[[#This Row],[Net Earnings/Income (2019)]]-k_cost*Table1[[#This Row],[2019 Total Scope 1, 2 + 3]]&lt;0,"Y","N"),"NA")</f>
        <v>N</v>
      </c>
      <c r="G16" s="56" t="str">
        <f>IF(ISNUMBER(Table1[[#This Row],[2019 Scope 3 ]]),IF(k_cost*Table1[[#This Row],[2019 Total Scope 1, 2 + 3]]/Table1[[#This Row],[Size (2019 Revenue)]]&gt;k_rev_max,"Y","N"),"NA")</f>
        <v>N</v>
      </c>
      <c r="H16" s="56" t="str">
        <f>IF(OR(Table1[[#This Row],[Net earnings post carbon price @85/t]]="Y",Table1[[#This Row],[Carbon costs in % revenue]] = "Y"),"Y",IF(OR(Table1[[#This Row],[Net earnings post carbon price @85/t]]="NA",Table1[[#This Row],[Carbon costs in % revenue]]="NA"),"NA","N"))</f>
        <v>N</v>
      </c>
      <c r="I16" s="5">
        <v>13900000000</v>
      </c>
      <c r="J16" s="9">
        <v>1983</v>
      </c>
      <c r="K16" s="5" t="s">
        <v>1</v>
      </c>
      <c r="L16" t="s">
        <v>1</v>
      </c>
      <c r="M16" t="s">
        <v>1</v>
      </c>
      <c r="N16">
        <v>2035</v>
      </c>
      <c r="O16">
        <v>2020</v>
      </c>
      <c r="P16" t="s">
        <v>0</v>
      </c>
      <c r="Q16" t="s">
        <v>1</v>
      </c>
      <c r="R16" t="s">
        <v>0</v>
      </c>
      <c r="S16" t="s">
        <v>0</v>
      </c>
      <c r="T16" s="53">
        <f>IFERROR((Table1[[#This Row],[2019 Total Scope 1, 2 + 3]])/Table1[[#This Row],[2018 Total Scope 1, 2 + Scope 3]]-1,"NA")</f>
        <v>-0.13466334164588534</v>
      </c>
      <c r="V16" s="12">
        <v>990000</v>
      </c>
      <c r="W16" s="12">
        <v>5530000</v>
      </c>
      <c r="X16" s="12"/>
      <c r="Y16" s="12">
        <f t="shared" si="0"/>
        <v>6520000</v>
      </c>
      <c r="Z16" s="12">
        <v>3890000</v>
      </c>
      <c r="AA16" s="12">
        <f t="shared" si="1"/>
        <v>10410000</v>
      </c>
      <c r="AB16" s="12">
        <v>1020000</v>
      </c>
      <c r="AC16" s="12">
        <v>6660000</v>
      </c>
      <c r="AD16" s="12"/>
      <c r="AE16" s="12">
        <f t="shared" si="2"/>
        <v>7680000</v>
      </c>
      <c r="AF16" s="12">
        <v>4350000</v>
      </c>
      <c r="AG16" s="12">
        <f t="shared" si="3"/>
        <v>12030000</v>
      </c>
      <c r="AH16" s="12">
        <v>1070000</v>
      </c>
      <c r="AI16" s="12">
        <v>6950000</v>
      </c>
      <c r="AJ16" s="12"/>
      <c r="AK16" s="12">
        <f t="shared" si="4"/>
        <v>8020000</v>
      </c>
      <c r="AL16" s="12">
        <v>3620000</v>
      </c>
      <c r="AM16" s="12">
        <f t="shared" si="5"/>
        <v>11640000</v>
      </c>
      <c r="AN16" s="12">
        <v>1080000</v>
      </c>
      <c r="AO16" s="12">
        <v>7810000</v>
      </c>
      <c r="AP16" s="12"/>
      <c r="AQ16" s="12">
        <f t="shared" si="6"/>
        <v>8890000</v>
      </c>
      <c r="AR16" s="12">
        <v>3400000</v>
      </c>
      <c r="AS16" s="12">
        <f t="shared" si="7"/>
        <v>12290000</v>
      </c>
      <c r="AT16" s="12">
        <v>1070000</v>
      </c>
      <c r="AU16" s="12">
        <v>7690000</v>
      </c>
      <c r="AV16" s="12"/>
      <c r="AW16" s="12">
        <f t="shared" si="8"/>
        <v>8760000</v>
      </c>
      <c r="AX16" s="12">
        <v>3030000</v>
      </c>
      <c r="AY16" s="12">
        <f t="shared" si="9"/>
        <v>11790000</v>
      </c>
      <c r="AZ16" t="s">
        <v>0</v>
      </c>
      <c r="BA16" s="18" t="s">
        <v>100</v>
      </c>
      <c r="BC16" s="35" t="s">
        <v>101</v>
      </c>
      <c r="BD16" s="44"/>
    </row>
    <row r="17" spans="1:56" ht="102" x14ac:dyDescent="0.2">
      <c r="A17" t="s">
        <v>102</v>
      </c>
      <c r="B17" s="21" t="s">
        <v>102</v>
      </c>
      <c r="C17" t="s">
        <v>6</v>
      </c>
      <c r="D17" s="4" t="s">
        <v>103</v>
      </c>
      <c r="E17" s="5">
        <v>91240000000</v>
      </c>
      <c r="F17" s="5" t="str">
        <f>IF(ISNUMBER(Table1[[#This Row],[2019 Scope 3 ]]),IF(Table1[[#This Row],[Net Earnings/Income (2019)]]-k_cost*Table1[[#This Row],[2019 Total Scope 1, 2 + 3]]&lt;0,"Y","N"),"NA")</f>
        <v>N</v>
      </c>
      <c r="G17" s="56" t="str">
        <f>IF(ISNUMBER(Table1[[#This Row],[2019 Scope 3 ]]),IF(k_cost*Table1[[#This Row],[2019 Total Scope 1, 2 + 3]]/Table1[[#This Row],[Size (2019 Revenue)]]&gt;k_rev_max,"Y","N"),"NA")</f>
        <v>N</v>
      </c>
      <c r="H17" s="56" t="str">
        <f>IF(OR(Table1[[#This Row],[Net earnings post carbon price @85/t]]="Y",Table1[[#This Row],[Carbon costs in % revenue]] = "Y"),"Y",IF(OR(Table1[[#This Row],[Net earnings post carbon price @85/t]]="NA",Table1[[#This Row],[Carbon costs in % revenue]]="NA"),"NA","N"))</f>
        <v>N</v>
      </c>
      <c r="I17" s="5">
        <v>25998000000</v>
      </c>
      <c r="J17" s="9">
        <v>1998</v>
      </c>
      <c r="K17" s="5" t="s">
        <v>1</v>
      </c>
      <c r="L17" t="s">
        <v>1</v>
      </c>
      <c r="M17" t="s">
        <v>0</v>
      </c>
      <c r="N17">
        <v>2020</v>
      </c>
      <c r="O17">
        <v>2016</v>
      </c>
      <c r="Q17" t="s">
        <v>1</v>
      </c>
      <c r="R17" s="51" t="s">
        <v>1</v>
      </c>
      <c r="S17">
        <v>2020</v>
      </c>
      <c r="T17" s="53">
        <f>IFERROR((Table1[[#This Row],[2019 Total Scope 1, 2 + 3]])/Table1[[#This Row],[2018 Total Scope 1, 2 + Scope 3]]-1,"NA")</f>
        <v>-1.2940486012808616E-2</v>
      </c>
      <c r="V17" s="12">
        <v>62639</v>
      </c>
      <c r="W17" s="12">
        <v>17523</v>
      </c>
      <c r="X17" s="12"/>
      <c r="Y17" s="12">
        <f t="shared" si="0"/>
        <v>80162</v>
      </c>
      <c r="Z17" s="12">
        <f>2329208+251336+161151+140215+22386+162457+378088+1400000+4000+19000</f>
        <v>4867841</v>
      </c>
      <c r="AA17" s="12">
        <f t="shared" si="1"/>
        <v>4948003</v>
      </c>
      <c r="AB17" s="12">
        <v>85145</v>
      </c>
      <c r="AC17" s="12">
        <v>108614</v>
      </c>
      <c r="AD17" s="12"/>
      <c r="AE17" s="12">
        <f t="shared" si="2"/>
        <v>193759</v>
      </c>
      <c r="AF17" s="12">
        <v>4819113</v>
      </c>
      <c r="AG17" s="12">
        <f t="shared" si="3"/>
        <v>5012872</v>
      </c>
      <c r="AH17" s="12">
        <v>82298</v>
      </c>
      <c r="AI17" s="12">
        <v>173512</v>
      </c>
      <c r="AJ17" s="12"/>
      <c r="AK17" s="12">
        <f t="shared" si="4"/>
        <v>255810</v>
      </c>
      <c r="AL17" s="12"/>
      <c r="AM17" s="12">
        <f t="shared" si="5"/>
        <v>255810</v>
      </c>
      <c r="AN17" s="12">
        <v>83473</v>
      </c>
      <c r="AO17" s="12">
        <v>369084</v>
      </c>
      <c r="AP17" s="12"/>
      <c r="AQ17" s="12">
        <f t="shared" si="6"/>
        <v>452557</v>
      </c>
      <c r="AR17" s="12">
        <f>1944781+312588+208087+15968+10761+154531+373481+1500000+5000+18000</f>
        <v>4543197</v>
      </c>
      <c r="AS17" s="12">
        <f t="shared" si="7"/>
        <v>4995754</v>
      </c>
      <c r="AT17" s="12">
        <v>98911</v>
      </c>
      <c r="AU17" s="12">
        <v>1036822</v>
      </c>
      <c r="AV17" s="12"/>
      <c r="AW17" s="12">
        <f t="shared" si="8"/>
        <v>1135733</v>
      </c>
      <c r="AX17" s="12">
        <f>1674213+85933+215561+14818+16525+184613+388595+900000+9000+24000</f>
        <v>3513258</v>
      </c>
      <c r="AY17" s="12">
        <f t="shared" si="9"/>
        <v>4648991</v>
      </c>
      <c r="AZ17" t="s">
        <v>0</v>
      </c>
      <c r="BA17" s="3" t="s">
        <v>104</v>
      </c>
      <c r="BB17" s="30" t="s">
        <v>416</v>
      </c>
      <c r="BC17" s="3" t="s">
        <v>105</v>
      </c>
      <c r="BD17" s="44" t="s">
        <v>498</v>
      </c>
    </row>
    <row r="18" spans="1:56" x14ac:dyDescent="0.2">
      <c r="A18" s="21" t="s">
        <v>106</v>
      </c>
      <c r="B18" s="21" t="s">
        <v>395</v>
      </c>
      <c r="C18" s="21" t="s">
        <v>6</v>
      </c>
      <c r="D18" s="4" t="s">
        <v>76</v>
      </c>
      <c r="E18" s="5">
        <v>254616000000</v>
      </c>
      <c r="F18" s="5" t="str">
        <f>IF(ISNUMBER(Table1[[#This Row],[2019 Scope 3 ]]),IF(Table1[[#This Row],[Net Earnings/Income (2019)]]-k_cost*Table1[[#This Row],[2019 Total Scope 1, 2 + 3]]&lt;0,"Y","N"),"NA")</f>
        <v>NA</v>
      </c>
      <c r="G18" s="56" t="str">
        <f>IF(ISNUMBER(Table1[[#This Row],[2019 Scope 3 ]]),IF(k_cost*Table1[[#This Row],[2019 Total Scope 1, 2 + 3]]/Table1[[#This Row],[Size (2019 Revenue)]]&gt;k_rev_max,"Y","N"),"NA")</f>
        <v>NA</v>
      </c>
      <c r="H18" s="56" t="str">
        <f>IF(OR(Table1[[#This Row],[Net earnings post carbon price @85/t]]="Y",Table1[[#This Row],[Carbon costs in % revenue]] = "Y"),"Y",IF(OR(Table1[[#This Row],[Net earnings post carbon price @85/t]]="NA",Table1[[#This Row],[Carbon costs in % revenue]]="NA"),"NA","N"))</f>
        <v>NA</v>
      </c>
      <c r="I18" s="5">
        <v>81417000000</v>
      </c>
      <c r="J18" s="9">
        <v>1839</v>
      </c>
      <c r="K18" s="5" t="s">
        <v>1</v>
      </c>
      <c r="L18" t="s">
        <v>0</v>
      </c>
      <c r="M18" t="s">
        <v>0</v>
      </c>
      <c r="P18" t="s">
        <v>0</v>
      </c>
      <c r="Q18" t="s">
        <v>0</v>
      </c>
      <c r="R18" t="s">
        <v>0</v>
      </c>
      <c r="S18" t="s">
        <v>0</v>
      </c>
      <c r="T18" s="53" t="str">
        <f>IFERROR((Table1[[#This Row],[2019 Total Scope 1, 2 + 3]])/Table1[[#This Row],[2018 Total Scope 1, 2 + Scope 3]]-1,"NA")</f>
        <v>NA</v>
      </c>
      <c r="V18" s="12" t="s">
        <v>401</v>
      </c>
      <c r="W18" s="12" t="s">
        <v>401</v>
      </c>
      <c r="X18" s="12"/>
      <c r="Y18" s="12" t="str">
        <f t="shared" si="0"/>
        <v/>
      </c>
      <c r="Z18" s="12" t="s">
        <v>401</v>
      </c>
      <c r="AA18" s="12" t="str">
        <f t="shared" si="1"/>
        <v/>
      </c>
      <c r="AB18" s="12" t="s">
        <v>401</v>
      </c>
      <c r="AC18" s="12" t="s">
        <v>401</v>
      </c>
      <c r="AD18" s="12"/>
      <c r="AE18" s="12" t="str">
        <f t="shared" si="2"/>
        <v/>
      </c>
      <c r="AF18" s="12" t="s">
        <v>401</v>
      </c>
      <c r="AG18" s="12" t="str">
        <f t="shared" si="3"/>
        <v/>
      </c>
      <c r="AH18" s="12" t="s">
        <v>401</v>
      </c>
      <c r="AI18" s="12" t="s">
        <v>401</v>
      </c>
      <c r="AJ18" s="12"/>
      <c r="AK18" s="12" t="str">
        <f t="shared" si="4"/>
        <v/>
      </c>
      <c r="AL18" s="12" t="s">
        <v>401</v>
      </c>
      <c r="AM18" s="12" t="str">
        <f t="shared" si="5"/>
        <v/>
      </c>
      <c r="AN18" s="12" t="s">
        <v>401</v>
      </c>
      <c r="AO18" s="12" t="s">
        <v>401</v>
      </c>
      <c r="AP18" s="12"/>
      <c r="AQ18" s="12" t="str">
        <f t="shared" si="6"/>
        <v/>
      </c>
      <c r="AR18" s="12" t="s">
        <v>401</v>
      </c>
      <c r="AS18" s="12" t="str">
        <f t="shared" si="7"/>
        <v/>
      </c>
      <c r="AT18" s="12" t="s">
        <v>401</v>
      </c>
      <c r="AU18" s="12" t="s">
        <v>401</v>
      </c>
      <c r="AV18" s="12"/>
      <c r="AW18" s="12" t="str">
        <f t="shared" si="8"/>
        <v/>
      </c>
      <c r="AX18" s="12" t="s">
        <v>401</v>
      </c>
      <c r="AY18" s="12" t="str">
        <f t="shared" si="9"/>
        <v/>
      </c>
      <c r="AZ18" t="s">
        <v>0</v>
      </c>
      <c r="BD18" s="44"/>
    </row>
    <row r="19" spans="1:56" x14ac:dyDescent="0.2">
      <c r="A19" s="21" t="s">
        <v>107</v>
      </c>
      <c r="B19" s="21" t="s">
        <v>460</v>
      </c>
      <c r="C19" s="21" t="s">
        <v>7</v>
      </c>
      <c r="D19" t="s">
        <v>69</v>
      </c>
      <c r="E19" s="5">
        <v>13500000000</v>
      </c>
      <c r="F19" s="5" t="str">
        <f>IF(ISNUMBER(Table1[[#This Row],[2019 Scope 3 ]]),IF(Table1[[#This Row],[Net Earnings/Income (2019)]]-k_cost*Table1[[#This Row],[2019 Total Scope 1, 2 + 3]]&lt;0,"Y","N"),"NA")</f>
        <v>N</v>
      </c>
      <c r="G19" s="56" t="str">
        <f>IF(ISNUMBER(Table1[[#This Row],[2019 Scope 3 ]]),IF(k_cost*Table1[[#This Row],[2019 Total Scope 1, 2 + 3]]/Table1[[#This Row],[Size (2019 Revenue)]]&gt;k_rev_max,"Y","N"),"NA")</f>
        <v>N</v>
      </c>
      <c r="H19" s="56" t="str">
        <f>IF(OR(Table1[[#This Row],[Net earnings post carbon price @85/t]]="Y",Table1[[#This Row],[Carbon costs in % revenue]] = "Y"),"Y",IF(OR(Table1[[#This Row],[Net earnings post carbon price @85/t]]="NA",Table1[[#This Row],[Carbon costs in % revenue]]="NA"),"NA","N"))</f>
        <v>N</v>
      </c>
      <c r="I19" s="5">
        <v>4400000000</v>
      </c>
      <c r="J19" s="9">
        <v>1978</v>
      </c>
      <c r="K19" s="5" t="s">
        <v>1</v>
      </c>
      <c r="L19" t="s">
        <v>1</v>
      </c>
      <c r="M19" t="s">
        <v>1</v>
      </c>
      <c r="N19">
        <v>2015</v>
      </c>
      <c r="O19">
        <v>2015</v>
      </c>
      <c r="P19" t="s">
        <v>0</v>
      </c>
      <c r="Q19" t="s">
        <v>1</v>
      </c>
      <c r="R19" t="s">
        <v>1</v>
      </c>
      <c r="S19">
        <v>2014</v>
      </c>
      <c r="T19" s="53">
        <f>IFERROR((Table1[[#This Row],[2019 Total Scope 1, 2 + 3]])/Table1[[#This Row],[2018 Total Scope 1, 2 + Scope 3]]-1,"NA")</f>
        <v>5.0040256875169442E-2</v>
      </c>
      <c r="V19" s="12">
        <v>67031</v>
      </c>
      <c r="W19" s="12">
        <v>106</v>
      </c>
      <c r="X19" s="12"/>
      <c r="Y19" s="12">
        <f t="shared" si="0"/>
        <v>67137</v>
      </c>
      <c r="Z19" s="12">
        <f>334954+32759+10515+645+24083+9516+12065</f>
        <v>424537</v>
      </c>
      <c r="AA19" s="12">
        <f t="shared" si="1"/>
        <v>491674</v>
      </c>
      <c r="AB19" s="12">
        <v>68448</v>
      </c>
      <c r="AC19" s="12">
        <v>40172</v>
      </c>
      <c r="AD19" s="12">
        <v>76642</v>
      </c>
      <c r="AE19" s="12">
        <f t="shared" si="2"/>
        <v>31978</v>
      </c>
      <c r="AF19" s="12">
        <v>436265</v>
      </c>
      <c r="AG19" s="12">
        <f t="shared" si="3"/>
        <v>468243</v>
      </c>
      <c r="AH19" s="12">
        <v>61616</v>
      </c>
      <c r="AI19" s="12">
        <v>42408</v>
      </c>
      <c r="AJ19" s="12">
        <v>69783</v>
      </c>
      <c r="AK19" s="12">
        <f t="shared" si="4"/>
        <v>34241</v>
      </c>
      <c r="AL19" s="12">
        <v>436265</v>
      </c>
      <c r="AM19" s="12">
        <f t="shared" si="5"/>
        <v>470506</v>
      </c>
      <c r="AN19" s="12">
        <v>61970</v>
      </c>
      <c r="AO19" s="12">
        <v>45899</v>
      </c>
      <c r="AP19" s="12">
        <v>316917</v>
      </c>
      <c r="AQ19" s="12">
        <f t="shared" si="6"/>
        <v>-209048</v>
      </c>
      <c r="AR19" s="12">
        <v>254791</v>
      </c>
      <c r="AS19" s="12">
        <f t="shared" si="7"/>
        <v>45743</v>
      </c>
      <c r="AT19" s="12">
        <v>60179</v>
      </c>
      <c r="AU19" s="12">
        <v>38173</v>
      </c>
      <c r="AV19" s="12">
        <v>322563</v>
      </c>
      <c r="AW19" s="12">
        <f t="shared" si="8"/>
        <v>-224211</v>
      </c>
      <c r="AX19" s="12">
        <v>262358</v>
      </c>
      <c r="AY19" s="12">
        <f t="shared" si="9"/>
        <v>38147</v>
      </c>
      <c r="AZ19" t="s">
        <v>0</v>
      </c>
      <c r="BD19" s="44"/>
    </row>
    <row r="20" spans="1:56" x14ac:dyDescent="0.2">
      <c r="A20" s="21" t="s">
        <v>108</v>
      </c>
      <c r="B20" s="21" t="s">
        <v>396</v>
      </c>
      <c r="C20" s="21" t="s">
        <v>6</v>
      </c>
      <c r="D20" s="4" t="s">
        <v>109</v>
      </c>
      <c r="E20" s="5">
        <v>14539000000</v>
      </c>
      <c r="F20" s="5" t="str">
        <f>IF(ISNUMBER(Table1[[#This Row],[2019 Scope 3 ]]),IF(Table1[[#This Row],[Net Earnings/Income (2019)]]-k_cost*Table1[[#This Row],[2019 Total Scope 1, 2 + 3]]&lt;0,"Y","N"),"NA")</f>
        <v>N</v>
      </c>
      <c r="G20" s="56" t="str">
        <f>IF(ISNUMBER(Table1[[#This Row],[2019 Scope 3 ]]),IF(k_cost*Table1[[#This Row],[2019 Total Scope 1, 2 + 3]]/Table1[[#This Row],[Size (2019 Revenue)]]&gt;k_rev_max,"Y","N"),"NA")</f>
        <v>N</v>
      </c>
      <c r="H20" s="56" t="str">
        <f>IF(OR(Table1[[#This Row],[Net earnings post carbon price @85/t]]="Y",Table1[[#This Row],[Carbon costs in % revenue]] = "Y"),"Y",IF(OR(Table1[[#This Row],[Net earnings post carbon price @85/t]]="NA",Table1[[#This Row],[Carbon costs in % revenue]]="NA"),"NA","N"))</f>
        <v>N</v>
      </c>
      <c r="I20" s="5">
        <v>4484000000</v>
      </c>
      <c r="J20" s="9">
        <v>1988</v>
      </c>
      <c r="K20" s="5" t="s">
        <v>1</v>
      </c>
      <c r="L20" t="s">
        <v>0</v>
      </c>
      <c r="M20" t="s">
        <v>0</v>
      </c>
      <c r="R20" t="s">
        <v>1</v>
      </c>
      <c r="S20">
        <v>2020</v>
      </c>
      <c r="T20" s="53">
        <f>IFERROR((Table1[[#This Row],[2019 Total Scope 1, 2 + 3]])/Table1[[#This Row],[2018 Total Scope 1, 2 + Scope 3]]-1,"NA")</f>
        <v>4.9639920910399216</v>
      </c>
      <c r="V20" s="12">
        <v>5589</v>
      </c>
      <c r="W20" s="12">
        <v>0</v>
      </c>
      <c r="X20" s="12"/>
      <c r="Y20" s="12">
        <f t="shared" si="0"/>
        <v>5589</v>
      </c>
      <c r="Z20" s="12">
        <f>351950+15521+7865+2462+1162+39116+1161+777</f>
        <v>420014</v>
      </c>
      <c r="AA20" s="12">
        <f t="shared" si="1"/>
        <v>425603</v>
      </c>
      <c r="AB20" s="12">
        <v>4807</v>
      </c>
      <c r="AC20" s="12">
        <v>22043</v>
      </c>
      <c r="AD20" s="12">
        <v>0</v>
      </c>
      <c r="AE20" s="12">
        <f t="shared" si="2"/>
        <v>26850</v>
      </c>
      <c r="AF20" s="12">
        <f>2.9*15349</f>
        <v>44512.1</v>
      </c>
      <c r="AG20" s="12">
        <f t="shared" si="3"/>
        <v>71362.100000000006</v>
      </c>
      <c r="AH20" s="12">
        <v>5016</v>
      </c>
      <c r="AI20" s="12">
        <v>22135</v>
      </c>
      <c r="AJ20" s="12">
        <v>0</v>
      </c>
      <c r="AK20" s="12">
        <f t="shared" si="4"/>
        <v>27151</v>
      </c>
      <c r="AL20" s="12">
        <f>2.8*13816</f>
        <v>38684.799999999996</v>
      </c>
      <c r="AM20" s="12">
        <f t="shared" si="5"/>
        <v>65835.799999999988</v>
      </c>
      <c r="AN20" s="12">
        <v>4281</v>
      </c>
      <c r="AO20" s="12">
        <v>26086</v>
      </c>
      <c r="AP20" s="12">
        <v>0</v>
      </c>
      <c r="AQ20" s="12">
        <f t="shared" si="6"/>
        <v>30367</v>
      </c>
      <c r="AR20" s="12">
        <f>3*13337</f>
        <v>40011</v>
      </c>
      <c r="AS20" s="12">
        <f t="shared" si="7"/>
        <v>70378</v>
      </c>
      <c r="AT20" s="12">
        <v>4846</v>
      </c>
      <c r="AU20" s="12">
        <v>28700</v>
      </c>
      <c r="AV20" s="12"/>
      <c r="AW20" s="12">
        <f t="shared" si="8"/>
        <v>33546</v>
      </c>
      <c r="AX20" s="12">
        <f>3.1*12994</f>
        <v>40281.4</v>
      </c>
      <c r="AY20" s="12">
        <f t="shared" si="9"/>
        <v>73827.399999999994</v>
      </c>
      <c r="AZ20" t="s">
        <v>0</v>
      </c>
      <c r="BB20" t="s">
        <v>110</v>
      </c>
      <c r="BD20" s="44"/>
    </row>
    <row r="21" spans="1:56" ht="51" x14ac:dyDescent="0.2">
      <c r="A21" s="21" t="s">
        <v>111</v>
      </c>
      <c r="B21" s="21" t="s">
        <v>111</v>
      </c>
      <c r="C21" s="21" t="s">
        <v>8</v>
      </c>
      <c r="D21" t="s">
        <v>112</v>
      </c>
      <c r="E21" s="5">
        <v>76559000000</v>
      </c>
      <c r="F21" s="5" t="str">
        <f>IF(ISNUMBER(Table1[[#This Row],[2019 Scope 3 ]]),IF(Table1[[#This Row],[Net Earnings/Income (2019)]]-k_cost*Table1[[#This Row],[2019 Total Scope 1, 2 + 3]]&lt;0,"Y","N"),"NA")</f>
        <v>Y</v>
      </c>
      <c r="G21" s="56" t="str">
        <f>IF(ISNUMBER(Table1[[#This Row],[2019 Scope 3 ]]),IF(k_cost*Table1[[#This Row],[2019 Total Scope 1, 2 + 3]]/Table1[[#This Row],[Size (2019 Revenue)]]&gt;k_rev_max,"Y","N"),"NA")</f>
        <v>N</v>
      </c>
      <c r="H21" s="56" t="str">
        <f>IF(OR(Table1[[#This Row],[Net earnings post carbon price @85/t]]="Y",Table1[[#This Row],[Carbon costs in % revenue]] = "Y"),"Y",IF(OR(Table1[[#This Row],[Net earnings post carbon price @85/t]]="NA",Table1[[#This Row],[Carbon costs in % revenue]]="NA"),"NA","N"))</f>
        <v>Y</v>
      </c>
      <c r="I21" s="11">
        <v>-636000000</v>
      </c>
      <c r="J21" s="9">
        <v>1962</v>
      </c>
      <c r="K21" s="5" t="s">
        <v>1</v>
      </c>
      <c r="L21" t="s">
        <v>0</v>
      </c>
      <c r="M21" t="s">
        <v>0</v>
      </c>
      <c r="P21" s="28">
        <v>0.5</v>
      </c>
      <c r="Q21" t="s">
        <v>1</v>
      </c>
      <c r="R21" t="s">
        <v>0</v>
      </c>
      <c r="S21" t="s">
        <v>0</v>
      </c>
      <c r="T21" s="53">
        <f>IFERROR((Table1[[#This Row],[2019 Total Scope 1, 2 + 3]])/Table1[[#This Row],[2018 Total Scope 1, 2 + Scope 3]]-1,"NA")</f>
        <v>-0.11948331539289558</v>
      </c>
      <c r="V21" s="12">
        <v>613000</v>
      </c>
      <c r="W21" s="12">
        <v>733000</v>
      </c>
      <c r="X21" s="12"/>
      <c r="Y21" s="12">
        <f t="shared" si="0"/>
        <v>1346000</v>
      </c>
      <c r="Z21" s="12">
        <v>290000</v>
      </c>
      <c r="AA21" s="12">
        <f t="shared" si="1"/>
        <v>1636000</v>
      </c>
      <c r="AB21" s="12">
        <v>646000</v>
      </c>
      <c r="AC21" s="12">
        <v>892000</v>
      </c>
      <c r="AD21" s="12">
        <v>0</v>
      </c>
      <c r="AE21" s="12">
        <f t="shared" si="2"/>
        <v>1538000</v>
      </c>
      <c r="AF21" s="12">
        <v>320000</v>
      </c>
      <c r="AG21" s="12">
        <f t="shared" si="3"/>
        <v>1858000</v>
      </c>
      <c r="AH21" s="12">
        <v>626000</v>
      </c>
      <c r="AI21" s="12">
        <v>896000</v>
      </c>
      <c r="AJ21" s="12"/>
      <c r="AK21" s="12">
        <f t="shared" si="4"/>
        <v>1522000</v>
      </c>
      <c r="AL21" s="12">
        <v>285000</v>
      </c>
      <c r="AM21" s="12">
        <f t="shared" si="5"/>
        <v>1807000</v>
      </c>
      <c r="AN21" s="12">
        <v>593000</v>
      </c>
      <c r="AO21" s="12">
        <v>937000</v>
      </c>
      <c r="AP21" s="12"/>
      <c r="AQ21" s="12">
        <f t="shared" si="6"/>
        <v>1530000</v>
      </c>
      <c r="AR21" s="12">
        <v>244000</v>
      </c>
      <c r="AS21" s="12">
        <f t="shared" si="7"/>
        <v>1774000</v>
      </c>
      <c r="AT21" s="12">
        <v>601000</v>
      </c>
      <c r="AU21" s="12">
        <v>902000</v>
      </c>
      <c r="AV21" s="12"/>
      <c r="AW21" s="12">
        <f t="shared" si="8"/>
        <v>1503000</v>
      </c>
      <c r="AX21" s="12">
        <v>297000</v>
      </c>
      <c r="AY21" s="12">
        <f t="shared" si="9"/>
        <v>1800000</v>
      </c>
      <c r="AZ21" t="s">
        <v>1</v>
      </c>
      <c r="BA21" s="14" t="s">
        <v>418</v>
      </c>
      <c r="BB21" s="30" t="s">
        <v>417</v>
      </c>
      <c r="BD21" s="44"/>
    </row>
    <row r="22" spans="1:56" x14ac:dyDescent="0.2">
      <c r="A22" s="21" t="s">
        <v>113</v>
      </c>
      <c r="B22" s="21" t="s">
        <v>461</v>
      </c>
      <c r="C22" s="4" t="s">
        <v>3</v>
      </c>
      <c r="D22" s="4" t="s">
        <v>114</v>
      </c>
      <c r="E22" s="5">
        <v>15066000000</v>
      </c>
      <c r="F22" s="5" t="str">
        <f>IF(ISNUMBER(Table1[[#This Row],[2019 Scope 3 ]]),IF(Table1[[#This Row],[Net Earnings/Income (2019)]]-k_cost*Table1[[#This Row],[2019 Total Scope 1, 2 + 3]]&lt;0,"Y","N"),"NA")</f>
        <v>NA</v>
      </c>
      <c r="G22" s="56" t="str">
        <f>IF(ISNUMBER(Table1[[#This Row],[2019 Scope 3 ]]),IF(k_cost*Table1[[#This Row],[2019 Total Scope 1, 2 + 3]]/Table1[[#This Row],[Size (2019 Revenue)]]&gt;k_rev_max,"Y","N"),"NA")</f>
        <v>NA</v>
      </c>
      <c r="H22" s="56" t="str">
        <f>IF(OR(Table1[[#This Row],[Net earnings post carbon price @85/t]]="Y",Table1[[#This Row],[Carbon costs in % revenue]] = "Y"),"Y",IF(OR(Table1[[#This Row],[Net earnings post carbon price @85/t]]="NA",Table1[[#This Row],[Carbon costs in % revenue]]="NA"),"NA","N"))</f>
        <v>NA</v>
      </c>
      <c r="I22" s="5">
        <v>4865000000</v>
      </c>
      <c r="J22" s="9">
        <v>1999</v>
      </c>
      <c r="K22" s="5" t="s">
        <v>1</v>
      </c>
      <c r="L22" t="s">
        <v>0</v>
      </c>
      <c r="M22" t="s">
        <v>0</v>
      </c>
      <c r="P22" t="s">
        <v>0</v>
      </c>
      <c r="Q22" t="s">
        <v>0</v>
      </c>
      <c r="R22" t="s">
        <v>0</v>
      </c>
      <c r="S22" t="s">
        <v>0</v>
      </c>
      <c r="T22" s="53" t="str">
        <f>IFERROR((Table1[[#This Row],[2019 Total Scope 1, 2 + 3]])/Table1[[#This Row],[2018 Total Scope 1, 2 + Scope 3]]-1,"NA")</f>
        <v>NA</v>
      </c>
      <c r="V22" s="12" t="s">
        <v>401</v>
      </c>
      <c r="W22" s="12" t="s">
        <v>401</v>
      </c>
      <c r="X22" s="12"/>
      <c r="Y22" s="12" t="str">
        <f t="shared" si="0"/>
        <v/>
      </c>
      <c r="Z22" s="12" t="s">
        <v>401</v>
      </c>
      <c r="AA22" s="12" t="str">
        <f t="shared" si="1"/>
        <v/>
      </c>
      <c r="AB22" s="12">
        <v>4811.67</v>
      </c>
      <c r="AC22" s="12">
        <v>57517.74</v>
      </c>
      <c r="AD22" s="12">
        <v>0</v>
      </c>
      <c r="AE22" s="12">
        <f t="shared" si="2"/>
        <v>62329.409999999996</v>
      </c>
      <c r="AF22" s="12" t="s">
        <v>401</v>
      </c>
      <c r="AG22" s="12" t="str">
        <f t="shared" si="3"/>
        <v/>
      </c>
      <c r="AH22" s="12">
        <v>3372</v>
      </c>
      <c r="AI22" s="12">
        <v>47963</v>
      </c>
      <c r="AJ22" s="12">
        <v>0</v>
      </c>
      <c r="AK22" s="12">
        <f t="shared" si="4"/>
        <v>51335</v>
      </c>
      <c r="AL22" s="12" t="s">
        <v>401</v>
      </c>
      <c r="AM22" s="12" t="str">
        <f t="shared" si="5"/>
        <v/>
      </c>
      <c r="AN22" s="12" t="s">
        <v>401</v>
      </c>
      <c r="AO22" s="12" t="s">
        <v>401</v>
      </c>
      <c r="AP22" s="12"/>
      <c r="AQ22" s="12" t="str">
        <f t="shared" si="6"/>
        <v/>
      </c>
      <c r="AR22" s="12" t="s">
        <v>401</v>
      </c>
      <c r="AS22" s="12" t="str">
        <f t="shared" si="7"/>
        <v/>
      </c>
      <c r="AT22" s="12" t="s">
        <v>401</v>
      </c>
      <c r="AU22" s="12" t="s">
        <v>401</v>
      </c>
      <c r="AV22" s="12"/>
      <c r="AW22" s="12" t="str">
        <f t="shared" si="8"/>
        <v/>
      </c>
      <c r="AX22" s="12" t="s">
        <v>401</v>
      </c>
      <c r="AY22" s="12" t="str">
        <f t="shared" si="9"/>
        <v/>
      </c>
      <c r="AZ22" t="s">
        <v>0</v>
      </c>
      <c r="BD22" s="44"/>
    </row>
    <row r="23" spans="1:56" ht="38.25" x14ac:dyDescent="0.2">
      <c r="A23" s="21" t="s">
        <v>115</v>
      </c>
      <c r="B23" s="21" t="s">
        <v>115</v>
      </c>
      <c r="C23" s="21" t="s">
        <v>7</v>
      </c>
      <c r="D23" t="s">
        <v>69</v>
      </c>
      <c r="E23" s="5">
        <v>26145000000</v>
      </c>
      <c r="F23" s="5" t="str">
        <f>IF(ISNUMBER(Table1[[#This Row],[2019 Scope 3 ]]),IF(Table1[[#This Row],[Net Earnings/Income (2019)]]-k_cost*Table1[[#This Row],[2019 Total Scope 1, 2 + 3]]&lt;0,"Y","N"),"NA")</f>
        <v>NA</v>
      </c>
      <c r="G23" s="56" t="str">
        <f>IF(ISNUMBER(Table1[[#This Row],[2019 Scope 3 ]]),IF(k_cost*Table1[[#This Row],[2019 Total Scope 1, 2 + 3]]/Table1[[#This Row],[Size (2019 Revenue)]]&gt;k_rev_max,"Y","N"),"NA")</f>
        <v>NA</v>
      </c>
      <c r="H23" s="56" t="str">
        <f>IF(OR(Table1[[#This Row],[Net earnings post carbon price @85/t]]="Y",Table1[[#This Row],[Carbon costs in % revenue]] = "Y"),"Y",IF(OR(Table1[[#This Row],[Net earnings post carbon price @85/t]]="NA",Table1[[#This Row],[Carbon costs in % revenue]]="NA"),"NA","N"))</f>
        <v>NA</v>
      </c>
      <c r="I23" s="5">
        <v>3439000000</v>
      </c>
      <c r="J23" s="9">
        <v>1887</v>
      </c>
      <c r="K23" s="5" t="s">
        <v>1</v>
      </c>
      <c r="L23" t="s">
        <v>0</v>
      </c>
      <c r="M23" t="s">
        <v>0</v>
      </c>
      <c r="P23" s="15">
        <v>400000</v>
      </c>
      <c r="Q23" t="s">
        <v>0</v>
      </c>
      <c r="R23" t="s">
        <v>0</v>
      </c>
      <c r="S23" t="s">
        <v>0</v>
      </c>
      <c r="T23" s="53" t="str">
        <f>IFERROR((Table1[[#This Row],[2019 Total Scope 1, 2 + 3]])/Table1[[#This Row],[2018 Total Scope 1, 2 + Scope 3]]-1,"NA")</f>
        <v>NA</v>
      </c>
      <c r="V23" s="12" t="s">
        <v>401</v>
      </c>
      <c r="W23" s="12" t="s">
        <v>401</v>
      </c>
      <c r="X23" s="12"/>
      <c r="Y23" s="12" t="str">
        <f t="shared" si="0"/>
        <v/>
      </c>
      <c r="Z23" s="12" t="s">
        <v>401</v>
      </c>
      <c r="AA23" s="12" t="str">
        <f t="shared" si="1"/>
        <v/>
      </c>
      <c r="AB23" s="12">
        <v>130000</v>
      </c>
      <c r="AC23" s="12">
        <v>230000</v>
      </c>
      <c r="AD23" s="12"/>
      <c r="AE23" s="12">
        <f t="shared" si="2"/>
        <v>360000</v>
      </c>
      <c r="AF23" s="12" t="s">
        <v>401</v>
      </c>
      <c r="AG23" s="12" t="str">
        <f t="shared" si="3"/>
        <v/>
      </c>
      <c r="AH23" s="12">
        <v>125000</v>
      </c>
      <c r="AI23" s="12">
        <v>250000</v>
      </c>
      <c r="AJ23" s="12"/>
      <c r="AK23" s="12">
        <f t="shared" si="4"/>
        <v>375000</v>
      </c>
      <c r="AL23" s="12"/>
      <c r="AM23" s="12">
        <f t="shared" si="5"/>
        <v>375000</v>
      </c>
      <c r="AN23" s="12">
        <v>130000</v>
      </c>
      <c r="AO23" s="12">
        <v>250000</v>
      </c>
      <c r="AP23" s="12"/>
      <c r="AQ23" s="12">
        <f t="shared" si="6"/>
        <v>380000</v>
      </c>
      <c r="AR23" s="12"/>
      <c r="AS23" s="12">
        <f t="shared" si="7"/>
        <v>380000</v>
      </c>
      <c r="AT23" s="12" t="s">
        <v>401</v>
      </c>
      <c r="AU23" s="12" t="s">
        <v>401</v>
      </c>
      <c r="AV23" s="12"/>
      <c r="AW23" s="12" t="str">
        <f t="shared" si="8"/>
        <v/>
      </c>
      <c r="AX23" s="12" t="s">
        <v>401</v>
      </c>
      <c r="AY23" s="12" t="str">
        <f t="shared" si="9"/>
        <v/>
      </c>
      <c r="AZ23" t="s">
        <v>0</v>
      </c>
      <c r="BA23" s="18" t="s">
        <v>116</v>
      </c>
      <c r="BD23" s="44"/>
    </row>
    <row r="24" spans="1:56" ht="25.5" x14ac:dyDescent="0.2">
      <c r="A24" s="21" t="s">
        <v>117</v>
      </c>
      <c r="B24" s="21" t="s">
        <v>466</v>
      </c>
      <c r="C24" s="21" t="s">
        <v>6</v>
      </c>
      <c r="D24" s="4" t="s">
        <v>89</v>
      </c>
      <c r="E24" s="5">
        <v>28600000000</v>
      </c>
      <c r="F24" s="5" t="str">
        <f>IF(ISNUMBER(Table1[[#This Row],[2019 Scope 3 ]]),IF(Table1[[#This Row],[Net Earnings/Income (2019)]]-k_cost*Table1[[#This Row],[2019 Total Scope 1, 2 + 3]]&lt;0,"Y","N"),"NA")</f>
        <v>N</v>
      </c>
      <c r="G24" s="56" t="str">
        <f>IF(ISNUMBER(Table1[[#This Row],[2019 Scope 3 ]]),IF(k_cost*Table1[[#This Row],[2019 Total Scope 1, 2 + 3]]/Table1[[#This Row],[Size (2019 Revenue)]]&gt;k_rev_max,"Y","N"),"NA")</f>
        <v>N</v>
      </c>
      <c r="H24" s="56" t="str">
        <f>IF(OR(Table1[[#This Row],[Net earnings post carbon price @85/t]]="Y",Table1[[#This Row],[Carbon costs in % revenue]] = "Y"),"Y",IF(OR(Table1[[#This Row],[Net earnings post carbon price @85/t]]="NA",Table1[[#This Row],[Carbon costs in % revenue]]="NA"),"NA","N"))</f>
        <v>N</v>
      </c>
      <c r="I24" s="5">
        <v>5192000000</v>
      </c>
      <c r="J24" s="9">
        <v>1994</v>
      </c>
      <c r="K24" s="5" t="s">
        <v>1</v>
      </c>
      <c r="L24" t="s">
        <v>1</v>
      </c>
      <c r="M24" t="s">
        <v>0</v>
      </c>
      <c r="N24">
        <v>2018</v>
      </c>
      <c r="O24">
        <v>2018</v>
      </c>
      <c r="P24" s="15"/>
      <c r="Q24" t="s">
        <v>1</v>
      </c>
      <c r="R24" t="s">
        <v>1</v>
      </c>
      <c r="S24">
        <v>2017</v>
      </c>
      <c r="T24" s="53">
        <f>IFERROR((Table1[[#This Row],[2019 Total Scope 1, 2 + 3]])/Table1[[#This Row],[2018 Total Scope 1, 2 + Scope 3]]-1,"NA")</f>
        <v>4.1818720382228225E-2</v>
      </c>
      <c r="V24" s="12">
        <v>9495</v>
      </c>
      <c r="W24" s="12">
        <v>135</v>
      </c>
      <c r="X24" s="12"/>
      <c r="Y24" s="12">
        <f t="shared" si="0"/>
        <v>9630</v>
      </c>
      <c r="Z24" s="12">
        <f>165571+8156+67870+4762+37500+101249+5866.51</f>
        <v>390974.51</v>
      </c>
      <c r="AA24" s="12">
        <f t="shared" si="1"/>
        <v>400604.51</v>
      </c>
      <c r="AB24" s="12">
        <v>9815</v>
      </c>
      <c r="AC24" s="12">
        <v>0</v>
      </c>
      <c r="AD24" s="12"/>
      <c r="AE24" s="12">
        <f t="shared" si="2"/>
        <v>9815</v>
      </c>
      <c r="AF24" s="12">
        <f>157487+9106.99+56982+3601+34539+105860+7133.21</f>
        <v>374709.2</v>
      </c>
      <c r="AG24" s="12">
        <f t="shared" si="3"/>
        <v>384524.2</v>
      </c>
      <c r="AH24" s="12">
        <v>11624</v>
      </c>
      <c r="AI24" s="12">
        <v>150</v>
      </c>
      <c r="AJ24" s="12"/>
      <c r="AK24" s="12">
        <f t="shared" si="4"/>
        <v>11774</v>
      </c>
      <c r="AL24" s="12">
        <f>49982.23+62340.64+103444.88</f>
        <v>215767.75</v>
      </c>
      <c r="AM24" s="12">
        <f t="shared" si="5"/>
        <v>227541.75</v>
      </c>
      <c r="AN24" s="12">
        <v>13061</v>
      </c>
      <c r="AO24" s="12">
        <v>176444</v>
      </c>
      <c r="AP24" s="12"/>
      <c r="AQ24" s="12">
        <f t="shared" si="6"/>
        <v>189505</v>
      </c>
      <c r="AR24" s="12">
        <f>53010.86+55239.85+105093.4</f>
        <v>213344.11</v>
      </c>
      <c r="AS24" s="12">
        <f t="shared" si="7"/>
        <v>402849.11</v>
      </c>
      <c r="AT24" s="12">
        <v>14421</v>
      </c>
      <c r="AU24" s="12">
        <v>181088</v>
      </c>
      <c r="AV24" s="12"/>
      <c r="AW24" s="12">
        <f t="shared" si="8"/>
        <v>195509</v>
      </c>
      <c r="AX24" s="12">
        <f>51042.88+32022</f>
        <v>83064.88</v>
      </c>
      <c r="AY24" s="12">
        <f t="shared" si="9"/>
        <v>278573.88</v>
      </c>
      <c r="AZ24" t="s">
        <v>0</v>
      </c>
      <c r="BA24" s="7" t="s">
        <v>118</v>
      </c>
      <c r="BB24" s="4" t="s">
        <v>419</v>
      </c>
      <c r="BC24" s="20" t="s">
        <v>119</v>
      </c>
      <c r="BD24" s="44"/>
    </row>
    <row r="25" spans="1:56" ht="63.75" x14ac:dyDescent="0.2">
      <c r="A25" s="21" t="s">
        <v>120</v>
      </c>
      <c r="B25" s="21" t="s">
        <v>447</v>
      </c>
      <c r="C25" s="21" t="s">
        <v>8</v>
      </c>
      <c r="D25" s="4" t="s">
        <v>121</v>
      </c>
      <c r="E25" s="5">
        <v>53800000000</v>
      </c>
      <c r="F25" s="5" t="str">
        <f>IF(ISNUMBER(Table1[[#This Row],[2019 Scope 3 ]]),IF(Table1[[#This Row],[Net Earnings/Income (2019)]]-k_cost*Table1[[#This Row],[2019 Total Scope 1, 2 + 3]]&lt;0,"Y","N"),"NA")</f>
        <v>NA</v>
      </c>
      <c r="G25" s="56" t="str">
        <f>IF(ISNUMBER(Table1[[#This Row],[2019 Scope 3 ]]),IF(k_cost*Table1[[#This Row],[2019 Total Scope 1, 2 + 3]]/Table1[[#This Row],[Size (2019 Revenue)]]&gt;k_rev_max,"Y","N"),"NA")</f>
        <v>NA</v>
      </c>
      <c r="H25" s="56" t="str">
        <f>IF(OR(Table1[[#This Row],[Net earnings post carbon price @85/t]]="Y",Table1[[#This Row],[Carbon costs in % revenue]] = "Y"),"Y",IF(OR(Table1[[#This Row],[Net earnings post carbon price @85/t]]="NA",Table1[[#This Row],[Carbon costs in % revenue]]="NA"),"NA","N"))</f>
        <v>NA</v>
      </c>
      <c r="I25" s="5">
        <v>6093000000</v>
      </c>
      <c r="J25" s="9">
        <v>1925</v>
      </c>
      <c r="K25" s="5" t="s">
        <v>1</v>
      </c>
      <c r="L25" t="s">
        <v>0</v>
      </c>
      <c r="M25" t="s">
        <v>0</v>
      </c>
      <c r="P25" s="15" t="s">
        <v>0</v>
      </c>
      <c r="Q25" t="s">
        <v>0</v>
      </c>
      <c r="R25" t="s">
        <v>0</v>
      </c>
      <c r="S25" t="s">
        <v>0</v>
      </c>
      <c r="T25" s="53" t="str">
        <f>IFERROR((Table1[[#This Row],[2019 Total Scope 1, 2 + 3]])/Table1[[#This Row],[2018 Total Scope 1, 2 + Scope 3]]-1,"NA")</f>
        <v>NA</v>
      </c>
      <c r="V25" s="12">
        <v>905000</v>
      </c>
      <c r="W25" s="12">
        <v>869000</v>
      </c>
      <c r="X25" s="12">
        <v>0</v>
      </c>
      <c r="Y25" s="12">
        <f t="shared" si="0"/>
        <v>1774000</v>
      </c>
      <c r="Z25" s="12" t="s">
        <v>401</v>
      </c>
      <c r="AA25" s="12" t="str">
        <f t="shared" si="1"/>
        <v/>
      </c>
      <c r="AB25" s="12">
        <v>927000</v>
      </c>
      <c r="AC25" s="12">
        <v>1280000</v>
      </c>
      <c r="AD25" s="12">
        <v>0</v>
      </c>
      <c r="AE25" s="12">
        <f t="shared" si="2"/>
        <v>2207000</v>
      </c>
      <c r="AF25" s="12" t="s">
        <v>401</v>
      </c>
      <c r="AG25" s="12" t="str">
        <f t="shared" si="3"/>
        <v/>
      </c>
      <c r="AH25" s="12">
        <v>863000</v>
      </c>
      <c r="AI25" s="12">
        <v>1256000</v>
      </c>
      <c r="AJ25" s="12">
        <v>0</v>
      </c>
      <c r="AK25" s="12">
        <f t="shared" si="4"/>
        <v>2119000</v>
      </c>
      <c r="AL25" s="12" t="s">
        <v>401</v>
      </c>
      <c r="AM25" s="12" t="str">
        <f t="shared" si="5"/>
        <v/>
      </c>
      <c r="AN25" s="12">
        <v>863000</v>
      </c>
      <c r="AO25" s="12">
        <v>1265000</v>
      </c>
      <c r="AP25" s="12">
        <v>0</v>
      </c>
      <c r="AQ25" s="12">
        <f t="shared" si="6"/>
        <v>2128000</v>
      </c>
      <c r="AR25" s="12" t="s">
        <v>401</v>
      </c>
      <c r="AS25" s="12" t="str">
        <f t="shared" si="7"/>
        <v/>
      </c>
      <c r="AT25" s="12" t="s">
        <v>401</v>
      </c>
      <c r="AU25" s="12" t="s">
        <v>401</v>
      </c>
      <c r="AV25" s="12"/>
      <c r="AW25" s="12" t="str">
        <f t="shared" si="8"/>
        <v/>
      </c>
      <c r="AX25" s="12" t="s">
        <v>401</v>
      </c>
      <c r="AY25" s="12" t="str">
        <f t="shared" si="9"/>
        <v/>
      </c>
      <c r="AZ25" t="s">
        <v>0</v>
      </c>
      <c r="BA25" s="18" t="s">
        <v>122</v>
      </c>
      <c r="BC25" s="20"/>
      <c r="BD25" s="44"/>
    </row>
    <row r="26" spans="1:56" x14ac:dyDescent="0.2">
      <c r="A26" s="21" t="s">
        <v>123</v>
      </c>
      <c r="B26" s="21" t="s">
        <v>397</v>
      </c>
      <c r="C26" t="s">
        <v>2</v>
      </c>
      <c r="D26" s="4" t="s">
        <v>124</v>
      </c>
      <c r="E26" s="5">
        <v>45764000000</v>
      </c>
      <c r="F26" s="5" t="str">
        <f>IF(ISNUMBER(Table1[[#This Row],[2019 Scope 3 ]]),IF(Table1[[#This Row],[Net Earnings/Income (2019)]]-k_cost*Table1[[#This Row],[2019 Total Scope 1, 2 + 3]]&lt;0,"Y","N"),"NA")</f>
        <v>NA</v>
      </c>
      <c r="G26" s="56" t="str">
        <f>IF(ISNUMBER(Table1[[#This Row],[2019 Scope 3 ]]),IF(k_cost*Table1[[#This Row],[2019 Total Scope 1, 2 + 3]]/Table1[[#This Row],[Size (2019 Revenue)]]&gt;k_rev_max,"Y","N"),"NA")</f>
        <v>NA</v>
      </c>
      <c r="H26" s="56" t="str">
        <f>IF(OR(Table1[[#This Row],[Net earnings post carbon price @85/t]]="Y",Table1[[#This Row],[Carbon costs in % revenue]] = "Y"),"Y",IF(OR(Table1[[#This Row],[Net earnings post carbon price @85/t]]="NA",Table1[[#This Row],[Carbon costs in % revenue]]="NA"),"NA","N"))</f>
        <v>NA</v>
      </c>
      <c r="I26" s="5">
        <v>1668000000</v>
      </c>
      <c r="J26" s="9">
        <v>1999</v>
      </c>
      <c r="K26" s="5" t="s">
        <v>1</v>
      </c>
      <c r="L26" t="s">
        <v>0</v>
      </c>
      <c r="M26" t="s">
        <v>0</v>
      </c>
      <c r="P26" s="15" t="s">
        <v>0</v>
      </c>
      <c r="Q26" t="s">
        <v>0</v>
      </c>
      <c r="R26" t="s">
        <v>0</v>
      </c>
      <c r="S26" t="s">
        <v>0</v>
      </c>
      <c r="T26" s="53" t="str">
        <f>IFERROR((Table1[[#This Row],[2019 Total Scope 1, 2 + 3]])/Table1[[#This Row],[2018 Total Scope 1, 2 + Scope 3]]-1,"NA")</f>
        <v>NA</v>
      </c>
      <c r="V26" s="12" t="s">
        <v>401</v>
      </c>
      <c r="W26" s="12" t="s">
        <v>401</v>
      </c>
      <c r="X26" s="12"/>
      <c r="Y26" s="12" t="str">
        <f t="shared" si="0"/>
        <v/>
      </c>
      <c r="Z26" s="12" t="s">
        <v>401</v>
      </c>
      <c r="AA26" s="12" t="str">
        <f t="shared" si="1"/>
        <v/>
      </c>
      <c r="AB26" s="12" t="s">
        <v>401</v>
      </c>
      <c r="AC26" s="12" t="s">
        <v>401</v>
      </c>
      <c r="AD26" s="12"/>
      <c r="AE26" s="12" t="str">
        <f t="shared" si="2"/>
        <v/>
      </c>
      <c r="AF26" s="12" t="s">
        <v>401</v>
      </c>
      <c r="AG26" s="12" t="str">
        <f t="shared" si="3"/>
        <v/>
      </c>
      <c r="AH26" s="12" t="s">
        <v>401</v>
      </c>
      <c r="AI26" s="12" t="s">
        <v>401</v>
      </c>
      <c r="AJ26" s="12"/>
      <c r="AK26" s="12" t="str">
        <f t="shared" si="4"/>
        <v/>
      </c>
      <c r="AL26" s="12" t="s">
        <v>401</v>
      </c>
      <c r="AM26" s="12" t="str">
        <f t="shared" si="5"/>
        <v/>
      </c>
      <c r="AN26" s="12" t="s">
        <v>401</v>
      </c>
      <c r="AO26" s="12" t="s">
        <v>401</v>
      </c>
      <c r="AP26" s="12"/>
      <c r="AQ26" s="12" t="str">
        <f t="shared" si="6"/>
        <v/>
      </c>
      <c r="AR26" s="12" t="s">
        <v>401</v>
      </c>
      <c r="AS26" s="12" t="str">
        <f t="shared" si="7"/>
        <v/>
      </c>
      <c r="AT26" s="12" t="s">
        <v>401</v>
      </c>
      <c r="AU26" s="12" t="s">
        <v>401</v>
      </c>
      <c r="AV26" s="12"/>
      <c r="AW26" s="12" t="str">
        <f t="shared" si="8"/>
        <v/>
      </c>
      <c r="AX26" s="12" t="s">
        <v>401</v>
      </c>
      <c r="AY26" s="12" t="str">
        <f t="shared" si="9"/>
        <v/>
      </c>
      <c r="AZ26" t="s">
        <v>0</v>
      </c>
      <c r="BA26" s="7" t="s">
        <v>118</v>
      </c>
      <c r="BC26" s="20"/>
      <c r="BD26" s="44"/>
    </row>
    <row r="27" spans="1:56" x14ac:dyDescent="0.2">
      <c r="A27" s="21" t="s">
        <v>125</v>
      </c>
      <c r="B27" s="21" t="s">
        <v>125</v>
      </c>
      <c r="C27" t="s">
        <v>5</v>
      </c>
      <c r="D27" s="4" t="s">
        <v>126</v>
      </c>
      <c r="E27" s="5">
        <v>146516000000</v>
      </c>
      <c r="F27" s="5" t="str">
        <f>IF(ISNUMBER(Table1[[#This Row],[2019 Scope 3 ]]),IF(Table1[[#This Row],[Net Earnings/Income (2019)]]-k_cost*Table1[[#This Row],[2019 Total Scope 1, 2 + 3]]&lt;0,"Y","N"),"NA")</f>
        <v>Y</v>
      </c>
      <c r="G27" s="56" t="str">
        <f>IF(ISNUMBER(Table1[[#This Row],[2019 Scope 3 ]]),IF(k_cost*Table1[[#This Row],[2019 Total Scope 1, 2 + 3]]/Table1[[#This Row],[Size (2019 Revenue)]]&gt;k_rev_max,"Y","N"),"NA")</f>
        <v>Y</v>
      </c>
      <c r="H27" s="56" t="str">
        <f>IF(OR(Table1[[#This Row],[Net earnings post carbon price @85/t]]="Y",Table1[[#This Row],[Carbon costs in % revenue]] = "Y"),"Y",IF(OR(Table1[[#This Row],[Net earnings post carbon price @85/t]]="NA",Table1[[#This Row],[Carbon costs in % revenue]]="NA"),"NA","N"))</f>
        <v>Y</v>
      </c>
      <c r="I27" s="5">
        <v>2924000000</v>
      </c>
      <c r="J27" s="9">
        <v>1879</v>
      </c>
      <c r="K27" s="5" t="s">
        <v>1</v>
      </c>
      <c r="L27" t="s">
        <v>0</v>
      </c>
      <c r="M27" t="s">
        <v>0</v>
      </c>
      <c r="P27" s="15" t="s">
        <v>0</v>
      </c>
      <c r="Q27" t="s">
        <v>0</v>
      </c>
      <c r="R27" t="s">
        <v>0</v>
      </c>
      <c r="T27" s="53">
        <f>IFERROR((Table1[[#This Row],[2019 Total Scope 1, 2 + 3]])/Table1[[#This Row],[2018 Total Scope 1, 2 + Scope 3]]-1,"NA")</f>
        <v>2.3965141612200425E-2</v>
      </c>
      <c r="V27" s="12">
        <v>55000000</v>
      </c>
      <c r="W27" s="12">
        <v>2000000</v>
      </c>
      <c r="X27" s="12">
        <v>0</v>
      </c>
      <c r="Y27" s="12">
        <f t="shared" si="0"/>
        <v>57000000</v>
      </c>
      <c r="Z27" s="12">
        <v>413000000</v>
      </c>
      <c r="AA27" s="12">
        <f t="shared" si="1"/>
        <v>470000000</v>
      </c>
      <c r="AB27" s="12">
        <v>59000000</v>
      </c>
      <c r="AC27" s="12">
        <v>3000000</v>
      </c>
      <c r="AD27" s="12">
        <v>0</v>
      </c>
      <c r="AE27" s="12">
        <f t="shared" si="2"/>
        <v>62000000</v>
      </c>
      <c r="AF27" s="12">
        <v>397000000</v>
      </c>
      <c r="AG27" s="12">
        <f t="shared" si="3"/>
        <v>459000000</v>
      </c>
      <c r="AH27" s="12">
        <v>56000000</v>
      </c>
      <c r="AI27" s="12">
        <v>3000000</v>
      </c>
      <c r="AJ27" s="12">
        <v>0</v>
      </c>
      <c r="AK27" s="12">
        <f t="shared" si="4"/>
        <v>59000000</v>
      </c>
      <c r="AL27" s="12">
        <v>377000000</v>
      </c>
      <c r="AM27" s="12">
        <f t="shared" si="5"/>
        <v>436000000</v>
      </c>
      <c r="AN27" s="12">
        <v>58000000</v>
      </c>
      <c r="AO27" s="12">
        <v>3000000</v>
      </c>
      <c r="AP27" s="12">
        <v>0</v>
      </c>
      <c r="AQ27" s="12">
        <f t="shared" si="6"/>
        <v>61000000</v>
      </c>
      <c r="AR27" s="12">
        <v>365000000</v>
      </c>
      <c r="AS27" s="12">
        <f t="shared" si="7"/>
        <v>426000000</v>
      </c>
      <c r="AT27" s="12">
        <v>58000000</v>
      </c>
      <c r="AU27" s="12">
        <v>3000000</v>
      </c>
      <c r="AV27" s="12">
        <v>0</v>
      </c>
      <c r="AW27" s="12">
        <f t="shared" si="8"/>
        <v>61000000</v>
      </c>
      <c r="AX27" s="12">
        <v>367000000</v>
      </c>
      <c r="AY27" s="12">
        <f t="shared" si="9"/>
        <v>428000000</v>
      </c>
      <c r="AZ27" t="s">
        <v>1</v>
      </c>
      <c r="BA27" s="7" t="s">
        <v>127</v>
      </c>
      <c r="BC27" s="20"/>
      <c r="BD27" s="44"/>
    </row>
    <row r="28" spans="1:56" ht="63.75" x14ac:dyDescent="0.2">
      <c r="A28" s="21" t="s">
        <v>128</v>
      </c>
      <c r="B28" s="21" t="s">
        <v>407</v>
      </c>
      <c r="C28" s="32" t="s">
        <v>11</v>
      </c>
      <c r="D28" s="4" t="s">
        <v>96</v>
      </c>
      <c r="E28" s="5">
        <v>51900000000</v>
      </c>
      <c r="F28" s="5" t="str">
        <f>IF(ISNUMBER(Table1[[#This Row],[2019 Scope 3 ]]),IF(Table1[[#This Row],[Net Earnings/Income (2019)]]-k_cost*Table1[[#This Row],[2019 Total Scope 1, 2 + 3]]&lt;0,"Y","N"),"NA")</f>
        <v>N</v>
      </c>
      <c r="G28" s="56" t="str">
        <f>IF(ISNUMBER(Table1[[#This Row],[2019 Scope 3 ]]),IF(k_cost*Table1[[#This Row],[2019 Total Scope 1, 2 + 3]]/Table1[[#This Row],[Size (2019 Revenue)]]&gt;k_rev_max,"Y","N"),"NA")</f>
        <v>N</v>
      </c>
      <c r="H28" s="56" t="str">
        <f>IF(OR(Table1[[#This Row],[Net earnings post carbon price @85/t]]="Y",Table1[[#This Row],[Carbon costs in % revenue]] = "Y"),"Y",IF(OR(Table1[[#This Row],[Net earnings post carbon price @85/t]]="NA",Table1[[#This Row],[Carbon costs in % revenue]]="NA"),"NA","N"))</f>
        <v>N</v>
      </c>
      <c r="I28" s="5">
        <v>11620000000</v>
      </c>
      <c r="J28" s="9">
        <v>1990</v>
      </c>
      <c r="K28" s="5" t="s">
        <v>1</v>
      </c>
      <c r="L28" t="s">
        <v>0</v>
      </c>
      <c r="M28" t="s">
        <v>1</v>
      </c>
      <c r="P28" s="15">
        <v>180000</v>
      </c>
      <c r="Q28" t="s">
        <v>1</v>
      </c>
      <c r="R28" t="s">
        <v>0</v>
      </c>
      <c r="S28" t="s">
        <v>0</v>
      </c>
      <c r="T28" s="53">
        <f>IFERROR((Table1[[#This Row],[2019 Total Scope 1, 2 + 3]])/Table1[[#This Row],[2018 Total Scope 1, 2 + Scope 3]]-1,"NA")</f>
        <v>-0.32608208792897209</v>
      </c>
      <c r="V28" s="12">
        <v>41181</v>
      </c>
      <c r="W28" s="12">
        <v>187428</v>
      </c>
      <c r="X28" s="12">
        <v>0</v>
      </c>
      <c r="Y28" s="12">
        <f t="shared" si="0"/>
        <v>228609</v>
      </c>
      <c r="Z28" s="12">
        <f>1154682+40020+39054+36598+779+207323+79699+83396+24929174+272</f>
        <v>26570997</v>
      </c>
      <c r="AA28" s="12">
        <f t="shared" si="1"/>
        <v>26799606</v>
      </c>
      <c r="AB28" s="12">
        <v>41171</v>
      </c>
      <c r="AC28" s="12">
        <v>205141</v>
      </c>
      <c r="AD28" s="12">
        <v>0</v>
      </c>
      <c r="AE28" s="12">
        <f t="shared" si="2"/>
        <v>246312</v>
      </c>
      <c r="AF28" s="12">
        <f>1154682+40020+40002+36598+1096+217500+81394+83396+37865598+272</f>
        <v>39520558</v>
      </c>
      <c r="AG28" s="12">
        <f t="shared" si="3"/>
        <v>39766870</v>
      </c>
      <c r="AH28" s="12">
        <v>41926</v>
      </c>
      <c r="AI28" s="12">
        <v>223558</v>
      </c>
      <c r="AJ28" s="12">
        <v>0</v>
      </c>
      <c r="AK28" s="12">
        <f t="shared" si="4"/>
        <v>265484</v>
      </c>
      <c r="AL28" s="12">
        <f>1283704+57607+44164+16509+177210+80506+38521+32847245+349</f>
        <v>34545815</v>
      </c>
      <c r="AM28" s="12">
        <f t="shared" si="5"/>
        <v>34811299</v>
      </c>
      <c r="AN28" s="12">
        <v>53123</v>
      </c>
      <c r="AO28" s="12">
        <v>247933</v>
      </c>
      <c r="AP28" s="12">
        <v>0</v>
      </c>
      <c r="AQ28" s="12">
        <f t="shared" si="6"/>
        <v>301056</v>
      </c>
      <c r="AR28" s="12">
        <f>1373745+67405+43897+20062+184901+91586+46810+33466582+1138</f>
        <v>35296126</v>
      </c>
      <c r="AS28" s="12">
        <f t="shared" si="7"/>
        <v>35597182</v>
      </c>
      <c r="AT28" s="12">
        <v>53123</v>
      </c>
      <c r="AU28" s="12">
        <v>247933</v>
      </c>
      <c r="AV28" s="12">
        <v>0</v>
      </c>
      <c r="AW28" s="12">
        <f t="shared" si="8"/>
        <v>301056</v>
      </c>
      <c r="AX28" s="12">
        <f>3105862+81700+46354+196595+191573+96937+458722+33753281+6800</f>
        <v>37937824</v>
      </c>
      <c r="AY28" s="12">
        <f t="shared" si="9"/>
        <v>38238880</v>
      </c>
      <c r="AZ28" t="s">
        <v>1</v>
      </c>
      <c r="BA28" s="18" t="s">
        <v>129</v>
      </c>
      <c r="BB28" s="4" t="s">
        <v>420</v>
      </c>
      <c r="BD28" s="44"/>
    </row>
    <row r="29" spans="1:56" x14ac:dyDescent="0.2">
      <c r="A29" s="21" t="s">
        <v>130</v>
      </c>
      <c r="B29" s="21" t="s">
        <v>453</v>
      </c>
      <c r="C29" s="21" t="s">
        <v>6</v>
      </c>
      <c r="D29" s="4" t="s">
        <v>103</v>
      </c>
      <c r="E29" s="5">
        <v>103449000000</v>
      </c>
      <c r="F29" s="5" t="str">
        <f>IF(ISNUMBER(Table1[[#This Row],[2019 Scope 3 ]]),IF(Table1[[#This Row],[Net Earnings/Income (2019)]]-k_cost*Table1[[#This Row],[2019 Total Scope 1, 2 + 3]]&lt;0,"Y","N"),"NA")</f>
        <v>N</v>
      </c>
      <c r="G29" s="56" t="str">
        <f>IF(ISNUMBER(Table1[[#This Row],[2019 Scope 3 ]]),IF(k_cost*Table1[[#This Row],[2019 Total Scope 1, 2 + 3]]/Table1[[#This Row],[Size (2019 Revenue)]]&gt;k_rev_max,"Y","N"),"NA")</f>
        <v>N</v>
      </c>
      <c r="H29" s="56" t="str">
        <f>IF(OR(Table1[[#This Row],[Net earnings post carbon price @85/t]]="Y",Table1[[#This Row],[Carbon costs in % revenue]] = "Y"),"Y",IF(OR(Table1[[#This Row],[Net earnings post carbon price @85/t]]="NA",Table1[[#This Row],[Carbon costs in % revenue]]="NA"),"NA","N"))</f>
        <v>N</v>
      </c>
      <c r="I29" s="5">
        <v>18171000000</v>
      </c>
      <c r="J29" s="9">
        <v>1998</v>
      </c>
      <c r="K29" s="5" t="s">
        <v>1</v>
      </c>
      <c r="L29" t="s">
        <v>0</v>
      </c>
      <c r="M29" t="s">
        <v>0</v>
      </c>
      <c r="P29" t="s">
        <v>0</v>
      </c>
      <c r="Q29" t="s">
        <v>0</v>
      </c>
      <c r="R29" t="s">
        <v>1</v>
      </c>
      <c r="S29">
        <v>2020</v>
      </c>
      <c r="T29" s="53">
        <f>IFERROR((Table1[[#This Row],[2019 Total Scope 1, 2 + 3]])/Table1[[#This Row],[2018 Total Scope 1, 2 + Scope 3]]-1,"NA")</f>
        <v>-0.87976057981829026</v>
      </c>
      <c r="V29" s="12">
        <v>23289</v>
      </c>
      <c r="W29" s="12">
        <v>593611</v>
      </c>
      <c r="X29" s="12">
        <v>0</v>
      </c>
      <c r="Y29" s="12">
        <f t="shared" si="0"/>
        <v>616900</v>
      </c>
      <c r="Z29" s="12">
        <f>3057.83+365372.29+170626.34+126229+82627.85</f>
        <v>747913.30999999994</v>
      </c>
      <c r="AA29" s="12">
        <f t="shared" si="1"/>
        <v>1364813.31</v>
      </c>
      <c r="AB29" s="12">
        <v>24132</v>
      </c>
      <c r="AC29" s="12">
        <v>623233</v>
      </c>
      <c r="AD29" s="12">
        <v>0</v>
      </c>
      <c r="AE29" s="12">
        <f t="shared" si="2"/>
        <v>647365</v>
      </c>
      <c r="AF29" s="12">
        <f>4090.86+284991.97+187586+149815+86948.67+9990000</f>
        <v>10703432.5</v>
      </c>
      <c r="AG29" s="12">
        <f t="shared" si="3"/>
        <v>11350797.5</v>
      </c>
      <c r="AH29" s="12">
        <v>20951</v>
      </c>
      <c r="AI29" s="12">
        <v>677636</v>
      </c>
      <c r="AJ29" s="12">
        <v>0</v>
      </c>
      <c r="AK29" s="12">
        <f t="shared" si="4"/>
        <v>698587</v>
      </c>
      <c r="AL29" s="12">
        <f>4245.09+227593.23+196748.31+151321+90709.34+18100000</f>
        <v>18770616.969999999</v>
      </c>
      <c r="AM29" s="12">
        <f t="shared" si="5"/>
        <v>19469203.969999999</v>
      </c>
      <c r="AN29" s="12">
        <v>23141</v>
      </c>
      <c r="AO29" s="12">
        <v>747748</v>
      </c>
      <c r="AP29" s="12">
        <v>0</v>
      </c>
      <c r="AQ29" s="12">
        <f t="shared" si="6"/>
        <v>770889</v>
      </c>
      <c r="AR29" s="12">
        <f>22105+210958+137860+95034+7760665</f>
        <v>8226622</v>
      </c>
      <c r="AS29" s="12">
        <f t="shared" si="7"/>
        <v>8997511</v>
      </c>
      <c r="AT29" s="12">
        <v>25742</v>
      </c>
      <c r="AU29" s="12">
        <v>789002</v>
      </c>
      <c r="AV29" s="12">
        <v>0</v>
      </c>
      <c r="AW29" s="12">
        <f t="shared" si="8"/>
        <v>814744</v>
      </c>
      <c r="AX29" s="12">
        <f>28214+111292+9600000</f>
        <v>9739506</v>
      </c>
      <c r="AY29" s="12">
        <f t="shared" si="9"/>
        <v>10554250</v>
      </c>
      <c r="AZ29" t="s">
        <v>1</v>
      </c>
      <c r="BA29" s="7" t="s">
        <v>131</v>
      </c>
      <c r="BB29" s="4" t="s">
        <v>421</v>
      </c>
      <c r="BD29" s="44"/>
    </row>
    <row r="30" spans="1:56" ht="63.75" x14ac:dyDescent="0.2">
      <c r="A30" s="21" t="s">
        <v>132</v>
      </c>
      <c r="B30" s="21" t="s">
        <v>477</v>
      </c>
      <c r="C30" s="4" t="s">
        <v>4</v>
      </c>
      <c r="D30" s="4" t="s">
        <v>133</v>
      </c>
      <c r="E30" s="5">
        <v>37266000000</v>
      </c>
      <c r="F30" s="5" t="str">
        <f>IF(ISNUMBER(Table1[[#This Row],[2019 Scope 3 ]]),IF(Table1[[#This Row],[Net Earnings/Income (2019)]]-k_cost*Table1[[#This Row],[2019 Total Scope 1, 2 + 3]]&lt;0,"Y","N"),"NA")</f>
        <v>NA</v>
      </c>
      <c r="G30" s="56" t="str">
        <f>IF(ISNUMBER(Table1[[#This Row],[2019 Scope 3 ]]),IF(k_cost*Table1[[#This Row],[2019 Total Scope 1, 2 + 3]]/Table1[[#This Row],[Size (2019 Revenue)]]&gt;k_rev_max,"Y","N"),"NA")</f>
        <v>NA</v>
      </c>
      <c r="H30" s="56" t="str">
        <f>IF(OR(Table1[[#This Row],[Net earnings post carbon price @85/t]]="Y",Table1[[#This Row],[Carbon costs in % revenue]] = "Y"),"Y",IF(OR(Table1[[#This Row],[Net earnings post carbon price @85/t]]="NA",Table1[[#This Row],[Carbon costs in % revenue]]="NA"),"NA","N"))</f>
        <v>NA</v>
      </c>
      <c r="I30" s="5">
        <v>38640000000</v>
      </c>
      <c r="J30" s="9">
        <v>1892</v>
      </c>
      <c r="K30" s="5" t="s">
        <v>1</v>
      </c>
      <c r="L30" t="s">
        <v>0</v>
      </c>
      <c r="M30" t="s">
        <v>1</v>
      </c>
      <c r="P30" s="15">
        <v>4125000</v>
      </c>
      <c r="Q30" t="s">
        <v>0</v>
      </c>
      <c r="R30" t="s">
        <v>0</v>
      </c>
      <c r="S30" t="s">
        <v>0</v>
      </c>
      <c r="T30" s="53" t="str">
        <f>IFERROR((Table1[[#This Row],[2019 Total Scope 1, 2 + 3]])/Table1[[#This Row],[2018 Total Scope 1, 2 + Scope 3]]-1,"NA")</f>
        <v>NA</v>
      </c>
      <c r="V30" s="12">
        <v>1830000</v>
      </c>
      <c r="W30" s="12">
        <v>3730000</v>
      </c>
      <c r="X30" s="12">
        <v>0</v>
      </c>
      <c r="Y30" s="12">
        <f t="shared" si="0"/>
        <v>5560000</v>
      </c>
      <c r="Z30" s="12" t="s">
        <v>401</v>
      </c>
      <c r="AA30" s="12" t="str">
        <f t="shared" si="1"/>
        <v/>
      </c>
      <c r="AB30" s="12">
        <v>1790000</v>
      </c>
      <c r="AC30" s="12">
        <v>3760000</v>
      </c>
      <c r="AD30" s="12">
        <v>0</v>
      </c>
      <c r="AE30" s="12">
        <f t="shared" si="2"/>
        <v>5550000</v>
      </c>
      <c r="AF30" s="12" t="s">
        <v>401</v>
      </c>
      <c r="AG30" s="12" t="str">
        <f t="shared" si="3"/>
        <v/>
      </c>
      <c r="AH30" s="12">
        <v>1780000</v>
      </c>
      <c r="AI30" s="12">
        <v>3760000</v>
      </c>
      <c r="AJ30" s="12">
        <v>0</v>
      </c>
      <c r="AK30" s="12">
        <f t="shared" si="4"/>
        <v>5540000</v>
      </c>
      <c r="AL30" s="12" t="s">
        <v>401</v>
      </c>
      <c r="AM30" s="12" t="str">
        <f t="shared" si="5"/>
        <v/>
      </c>
      <c r="AN30" s="12">
        <v>1600000</v>
      </c>
      <c r="AO30" s="12">
        <v>3800000</v>
      </c>
      <c r="AP30" s="12">
        <v>0</v>
      </c>
      <c r="AQ30" s="12">
        <f t="shared" si="6"/>
        <v>5400000</v>
      </c>
      <c r="AR30" s="12" t="s">
        <v>401</v>
      </c>
      <c r="AS30" s="12" t="str">
        <f t="shared" si="7"/>
        <v/>
      </c>
      <c r="AT30" s="12">
        <v>1700000</v>
      </c>
      <c r="AU30" s="12">
        <v>3800000</v>
      </c>
      <c r="AV30" s="12">
        <v>0</v>
      </c>
      <c r="AW30" s="12">
        <f t="shared" si="8"/>
        <v>5500000</v>
      </c>
      <c r="AX30" s="12" t="s">
        <v>401</v>
      </c>
      <c r="AY30" s="12" t="str">
        <f t="shared" si="9"/>
        <v/>
      </c>
      <c r="AZ30" t="s">
        <v>1</v>
      </c>
      <c r="BA30" s="18" t="s">
        <v>134</v>
      </c>
      <c r="BD30" s="44"/>
    </row>
    <row r="31" spans="1:56" ht="25.5" x14ac:dyDescent="0.2">
      <c r="A31" s="29" t="s">
        <v>135</v>
      </c>
      <c r="B31" s="21" t="s">
        <v>135</v>
      </c>
      <c r="C31" s="4" t="s">
        <v>4</v>
      </c>
      <c r="D31" s="4" t="s">
        <v>136</v>
      </c>
      <c r="E31" s="5">
        <v>15693000000</v>
      </c>
      <c r="F31" s="5" t="str">
        <f>IF(ISNUMBER(Table1[[#This Row],[2019 Scope 3 ]]),IF(Table1[[#This Row],[Net Earnings/Income (2019)]]-k_cost*Table1[[#This Row],[2019 Total Scope 1, 2 + 3]]&lt;0,"Y","N"),"NA")</f>
        <v>Y</v>
      </c>
      <c r="G31" s="56" t="str">
        <f>IF(ISNUMBER(Table1[[#This Row],[2019 Scope 3 ]]),IF(k_cost*Table1[[#This Row],[2019 Total Scope 1, 2 + 3]]/Table1[[#This Row],[Size (2019 Revenue)]]&gt;k_rev_max,"Y","N"),"NA")</f>
        <v>Y</v>
      </c>
      <c r="H31" s="56" t="str">
        <f>IF(OR(Table1[[#This Row],[Net earnings post carbon price @85/t]]="Y",Table1[[#This Row],[Carbon costs in % revenue]] = "Y"),"Y",IF(OR(Table1[[#This Row],[Net earnings post carbon price @85/t]]="NA",Table1[[#This Row],[Carbon costs in % revenue]]="NA"),"NA","N"))</f>
        <v>Y</v>
      </c>
      <c r="I31" s="5">
        <v>2367000000</v>
      </c>
      <c r="J31" s="9">
        <v>1806</v>
      </c>
      <c r="K31" s="5" t="s">
        <v>1</v>
      </c>
      <c r="L31" t="s">
        <v>0</v>
      </c>
      <c r="M31" t="s">
        <v>1</v>
      </c>
      <c r="P31" s="15">
        <v>525000</v>
      </c>
      <c r="Q31" t="s">
        <v>0</v>
      </c>
      <c r="R31" t="s">
        <v>0</v>
      </c>
      <c r="S31" t="s">
        <v>0</v>
      </c>
      <c r="T31" s="53">
        <f>IFERROR((Table1[[#This Row],[2019 Total Scope 1, 2 + 3]])/Table1[[#This Row],[2018 Total Scope 1, 2 + Scope 3]]-1,"NA")</f>
        <v>7.4398967022606399E-3</v>
      </c>
      <c r="V31" s="12">
        <v>191000</v>
      </c>
      <c r="W31" s="12">
        <v>283000</v>
      </c>
      <c r="X31" s="12">
        <v>0</v>
      </c>
      <c r="Y31" s="12">
        <f t="shared" si="0"/>
        <v>474000</v>
      </c>
      <c r="Z31" s="12">
        <v>48680000</v>
      </c>
      <c r="AA31" s="12">
        <f t="shared" si="1"/>
        <v>49154000</v>
      </c>
      <c r="AB31" s="12">
        <v>190000</v>
      </c>
      <c r="AC31" s="12">
        <v>302000</v>
      </c>
      <c r="AD31" s="12">
        <v>0</v>
      </c>
      <c r="AE31" s="12">
        <f t="shared" si="2"/>
        <v>492000</v>
      </c>
      <c r="AF31" s="12">
        <v>48299000</v>
      </c>
      <c r="AG31" s="12">
        <f t="shared" si="3"/>
        <v>48791000</v>
      </c>
      <c r="AH31" s="12">
        <v>195000</v>
      </c>
      <c r="AI31" s="12">
        <v>316000</v>
      </c>
      <c r="AJ31" s="12">
        <v>0</v>
      </c>
      <c r="AK31" s="12">
        <f t="shared" si="4"/>
        <v>511000</v>
      </c>
      <c r="AL31" s="12">
        <v>51570000</v>
      </c>
      <c r="AM31" s="12">
        <f t="shared" si="5"/>
        <v>52081000</v>
      </c>
      <c r="AN31" s="12">
        <v>203000</v>
      </c>
      <c r="AO31" s="12">
        <v>324000</v>
      </c>
      <c r="AP31" s="12">
        <v>0</v>
      </c>
      <c r="AQ31" s="12">
        <f t="shared" si="6"/>
        <v>527000</v>
      </c>
      <c r="AR31" s="12">
        <v>54710000</v>
      </c>
      <c r="AS31" s="12">
        <f t="shared" si="7"/>
        <v>55237000</v>
      </c>
      <c r="AT31" s="12">
        <v>203000</v>
      </c>
      <c r="AU31" s="12">
        <v>389000</v>
      </c>
      <c r="AV31" s="12">
        <v>0</v>
      </c>
      <c r="AW31" s="12">
        <f t="shared" si="8"/>
        <v>592000</v>
      </c>
      <c r="AX31" s="12">
        <v>54155000</v>
      </c>
      <c r="AY31" s="12">
        <f t="shared" si="9"/>
        <v>54747000</v>
      </c>
      <c r="AZ31" t="s">
        <v>0</v>
      </c>
      <c r="BA31" s="18" t="s">
        <v>137</v>
      </c>
      <c r="BD31" s="44"/>
    </row>
    <row r="32" spans="1:56" ht="25.5" x14ac:dyDescent="0.2">
      <c r="A32" s="29" t="s">
        <v>138</v>
      </c>
      <c r="B32" s="21" t="s">
        <v>138</v>
      </c>
      <c r="C32" t="s">
        <v>2</v>
      </c>
      <c r="D32" s="4" t="s">
        <v>124</v>
      </c>
      <c r="E32" s="5">
        <v>108942000000</v>
      </c>
      <c r="F32" s="5" t="str">
        <f>IF(ISNUMBER(Table1[[#This Row],[2019 Scope 3 ]]),IF(Table1[[#This Row],[Net Earnings/Income (2019)]]-k_cost*Table1[[#This Row],[2019 Total Scope 1, 2 + 3]]&lt;0,"Y","N"),"NA")</f>
        <v>NA</v>
      </c>
      <c r="G32" s="56" t="str">
        <f>IF(ISNUMBER(Table1[[#This Row],[2019 Scope 3 ]]),IF(k_cost*Table1[[#This Row],[2019 Total Scope 1, 2 + 3]]/Table1[[#This Row],[Size (2019 Revenue)]]&gt;k_rev_max,"Y","N"),"NA")</f>
        <v>NA</v>
      </c>
      <c r="H32" s="56" t="str">
        <f>IF(OR(Table1[[#This Row],[Net earnings post carbon price @85/t]]="Y",Table1[[#This Row],[Carbon costs in % revenue]] = "Y"),"Y",IF(OR(Table1[[#This Row],[Net earnings post carbon price @85/t]]="NA",Table1[[#This Row],[Carbon costs in % revenue]]="NA"),"NA","N"))</f>
        <v>NA</v>
      </c>
      <c r="I32" s="5">
        <v>13057000000</v>
      </c>
      <c r="J32" s="9">
        <v>1963</v>
      </c>
      <c r="K32" s="5" t="s">
        <v>1</v>
      </c>
      <c r="L32" t="s">
        <v>0</v>
      </c>
      <c r="M32" t="s">
        <v>0</v>
      </c>
      <c r="P32" t="s">
        <v>0</v>
      </c>
      <c r="Q32" t="s">
        <v>0</v>
      </c>
      <c r="R32" t="s">
        <v>0</v>
      </c>
      <c r="S32" t="s">
        <v>0</v>
      </c>
      <c r="T32" s="53" t="str">
        <f>IFERROR((Table1[[#This Row],[2019 Total Scope 1, 2 + 3]])/Table1[[#This Row],[2018 Total Scope 1, 2 + Scope 3]]-1,"NA")</f>
        <v>NA</v>
      </c>
      <c r="V32" s="12">
        <v>498455</v>
      </c>
      <c r="W32" s="12">
        <v>1496771</v>
      </c>
      <c r="X32" s="12"/>
      <c r="Y32" s="12">
        <f t="shared" si="0"/>
        <v>1995226</v>
      </c>
      <c r="Z32" s="12" t="s">
        <v>401</v>
      </c>
      <c r="AA32" s="12" t="str">
        <f t="shared" si="1"/>
        <v/>
      </c>
      <c r="AB32" s="12">
        <v>505483</v>
      </c>
      <c r="AC32" s="12">
        <v>1458463</v>
      </c>
      <c r="AD32" s="12"/>
      <c r="AE32" s="12">
        <f t="shared" si="2"/>
        <v>1963946</v>
      </c>
      <c r="AF32" s="12" t="s">
        <v>401</v>
      </c>
      <c r="AG32" s="12" t="str">
        <f t="shared" si="3"/>
        <v/>
      </c>
      <c r="AH32" s="12">
        <v>513316</v>
      </c>
      <c r="AI32" s="12">
        <v>1491298</v>
      </c>
      <c r="AJ32" s="12"/>
      <c r="AK32" s="12">
        <f t="shared" si="4"/>
        <v>2004614</v>
      </c>
      <c r="AL32" s="12" t="s">
        <v>401</v>
      </c>
      <c r="AM32" s="12" t="str">
        <f t="shared" si="5"/>
        <v/>
      </c>
      <c r="AN32" s="12">
        <v>364556</v>
      </c>
      <c r="AO32" s="12">
        <v>1380854</v>
      </c>
      <c r="AP32" s="12"/>
      <c r="AQ32" s="12">
        <f t="shared" si="6"/>
        <v>1745410</v>
      </c>
      <c r="AR32" s="12" t="s">
        <v>401</v>
      </c>
      <c r="AS32" s="12" t="str">
        <f t="shared" si="7"/>
        <v/>
      </c>
      <c r="AT32" s="12" t="s">
        <v>401</v>
      </c>
      <c r="AU32" s="12" t="s">
        <v>401</v>
      </c>
      <c r="AV32" s="12"/>
      <c r="AW32" s="12" t="str">
        <f t="shared" si="8"/>
        <v/>
      </c>
      <c r="AX32" s="12" t="s">
        <v>401</v>
      </c>
      <c r="AY32" s="12" t="str">
        <f t="shared" si="9"/>
        <v/>
      </c>
      <c r="AZ32" t="s">
        <v>0</v>
      </c>
      <c r="BA32" s="18" t="s">
        <v>422</v>
      </c>
      <c r="BB32" s="14" t="s">
        <v>410</v>
      </c>
      <c r="BD32" s="44"/>
    </row>
    <row r="33" spans="1:56" ht="25.5" x14ac:dyDescent="0.2">
      <c r="A33" s="29" t="s">
        <v>139</v>
      </c>
      <c r="B33" s="29" t="s">
        <v>139</v>
      </c>
      <c r="C33" s="33" t="s">
        <v>5</v>
      </c>
      <c r="D33" s="4" t="s">
        <v>126</v>
      </c>
      <c r="E33" s="5">
        <v>36670000000</v>
      </c>
      <c r="F33" s="5" t="str">
        <f>IF(ISNUMBER(Table1[[#This Row],[2019 Scope 3 ]]),IF(Table1[[#This Row],[Net Earnings/Income (2019)]]-k_cost*Table1[[#This Row],[2019 Total Scope 1, 2 + 3]]&lt;0,"Y","N"),"NA")</f>
        <v>Y</v>
      </c>
      <c r="G33" s="56" t="str">
        <f>IF(ISNUMBER(Table1[[#This Row],[2019 Scope 3 ]]),IF(k_cost*Table1[[#This Row],[2019 Total Scope 1, 2 + 3]]/Table1[[#This Row],[Size (2019 Revenue)]]&gt;k_rev_max,"Y","N"),"NA")</f>
        <v>Y</v>
      </c>
      <c r="H33" s="56" t="str">
        <f>IF(OR(Table1[[#This Row],[Net earnings post carbon price @85/t]]="Y",Table1[[#This Row],[Carbon costs in % revenue]] = "Y"),"Y",IF(OR(Table1[[#This Row],[Net earnings post carbon price @85/t]]="NA",Table1[[#This Row],[Carbon costs in % revenue]]="NA"),"NA","N"))</f>
        <v>Y</v>
      </c>
      <c r="I33" s="5">
        <v>7189000000</v>
      </c>
      <c r="J33" s="9">
        <v>1875</v>
      </c>
      <c r="K33" s="5" t="s">
        <v>1</v>
      </c>
      <c r="L33" s="4" t="s">
        <v>1</v>
      </c>
      <c r="M33" t="s">
        <v>0</v>
      </c>
      <c r="N33">
        <v>2050</v>
      </c>
      <c r="O33">
        <v>2020</v>
      </c>
      <c r="P33" t="s">
        <v>0</v>
      </c>
      <c r="Q33" t="s">
        <v>0</v>
      </c>
      <c r="R33" t="s">
        <v>0</v>
      </c>
      <c r="S33" t="s">
        <v>0</v>
      </c>
      <c r="T33" s="53">
        <f>IFERROR((Table1[[#This Row],[2019 Total Scope 1, 2 + 3]])/Table1[[#This Row],[2018 Total Scope 1, 2 + Scope 3]]-1,"NA")</f>
        <v>7.7925455954955369E-2</v>
      </c>
      <c r="V33" s="12">
        <v>19500000</v>
      </c>
      <c r="W33" s="12">
        <v>1000000</v>
      </c>
      <c r="X33" s="12">
        <v>0</v>
      </c>
      <c r="Y33" s="12">
        <f t="shared" si="0"/>
        <v>20500000</v>
      </c>
      <c r="Z33" s="12">
        <v>173400000</v>
      </c>
      <c r="AA33" s="12">
        <f t="shared" si="1"/>
        <v>193900000</v>
      </c>
      <c r="AB33" s="12">
        <v>19700000</v>
      </c>
      <c r="AC33" s="12">
        <v>1100000</v>
      </c>
      <c r="AD33" s="12">
        <v>0</v>
      </c>
      <c r="AE33" s="12">
        <f t="shared" si="2"/>
        <v>20800000</v>
      </c>
      <c r="AF33" s="12">
        <f>Z33/1.09</f>
        <v>159082568.80733943</v>
      </c>
      <c r="AG33" s="12">
        <f t="shared" si="3"/>
        <v>179882568.80733943</v>
      </c>
      <c r="AH33" s="12">
        <v>19700000</v>
      </c>
      <c r="AI33" s="12">
        <v>1200000</v>
      </c>
      <c r="AJ33" s="12">
        <v>0</v>
      </c>
      <c r="AK33" s="12">
        <f t="shared" si="4"/>
        <v>20900000</v>
      </c>
      <c r="AL33" s="12" t="s">
        <v>401</v>
      </c>
      <c r="AM33" s="12" t="str">
        <f t="shared" si="5"/>
        <v/>
      </c>
      <c r="AN33" s="12">
        <v>25300000</v>
      </c>
      <c r="AO33" s="12">
        <v>1500000</v>
      </c>
      <c r="AP33" s="12">
        <v>0</v>
      </c>
      <c r="AQ33" s="12">
        <f t="shared" si="6"/>
        <v>26800000</v>
      </c>
      <c r="AR33" s="12" t="s">
        <v>401</v>
      </c>
      <c r="AS33" s="12" t="str">
        <f t="shared" si="7"/>
        <v/>
      </c>
      <c r="AT33" s="12">
        <v>24800000</v>
      </c>
      <c r="AU33" s="12">
        <v>1300000</v>
      </c>
      <c r="AV33" s="12">
        <v>0</v>
      </c>
      <c r="AW33" s="12">
        <f t="shared" si="8"/>
        <v>26100000</v>
      </c>
      <c r="AX33" s="12" t="s">
        <v>401</v>
      </c>
      <c r="AY33" s="12" t="str">
        <f t="shared" si="9"/>
        <v/>
      </c>
      <c r="AZ33" t="s">
        <v>1</v>
      </c>
      <c r="BA33" s="18" t="s">
        <v>140</v>
      </c>
      <c r="BB33" s="7" t="s">
        <v>423</v>
      </c>
      <c r="BD33" s="44"/>
    </row>
    <row r="34" spans="1:56" ht="25.5" x14ac:dyDescent="0.2">
      <c r="A34" s="29" t="s">
        <v>141</v>
      </c>
      <c r="B34" s="21" t="s">
        <v>141</v>
      </c>
      <c r="C34" s="4" t="s">
        <v>4</v>
      </c>
      <c r="D34" s="4" t="s">
        <v>85</v>
      </c>
      <c r="E34" s="5">
        <v>152703000000</v>
      </c>
      <c r="F34" s="5" t="str">
        <f>IF(ISNUMBER(Table1[[#This Row],[2019 Scope 3 ]]),IF(Table1[[#This Row],[Net Earnings/Income (2019)]]-k_cost*Table1[[#This Row],[2019 Total Scope 1, 2 + 3]]&lt;0,"Y","N"),"NA")</f>
        <v>NA</v>
      </c>
      <c r="G34" s="56" t="str">
        <f>IF(ISNUMBER(Table1[[#This Row],[2019 Scope 3 ]]),IF(k_cost*Table1[[#This Row],[2019 Total Scope 1, 2 + 3]]/Table1[[#This Row],[Size (2019 Revenue)]]&gt;k_rev_max,"Y","N"),"NA")</f>
        <v>NA</v>
      </c>
      <c r="H34" s="56" t="str">
        <f>IF(OR(Table1[[#This Row],[Net earnings post carbon price @85/t]]="Y",Table1[[#This Row],[Carbon costs in % revenue]] = "Y"),"Y",IF(OR(Table1[[#This Row],[Net earnings post carbon price @85/t]]="NA",Table1[[#This Row],[Carbon costs in % revenue]]="NA"),"NA","N"))</f>
        <v>NA</v>
      </c>
      <c r="I34" s="5">
        <v>3659000000</v>
      </c>
      <c r="J34" s="9">
        <v>1976</v>
      </c>
      <c r="K34" s="5" t="s">
        <v>1</v>
      </c>
      <c r="L34" t="s">
        <v>0</v>
      </c>
      <c r="M34" t="s">
        <v>0</v>
      </c>
      <c r="P34" t="s">
        <v>0</v>
      </c>
      <c r="Q34" t="s">
        <v>0</v>
      </c>
      <c r="R34" t="s">
        <v>0</v>
      </c>
      <c r="S34" t="s">
        <v>0</v>
      </c>
      <c r="T34" s="53" t="str">
        <f>IFERROR((Table1[[#This Row],[2019 Total Scope 1, 2 + 3]])/Table1[[#This Row],[2018 Total Scope 1, 2 + Scope 3]]-1,"NA")</f>
        <v>NA</v>
      </c>
      <c r="V34" s="12">
        <v>1108562.25</v>
      </c>
      <c r="W34" s="12">
        <v>1473874.16</v>
      </c>
      <c r="X34" s="12"/>
      <c r="Y34" s="12">
        <f t="shared" ref="Y34:Y65" si="10">IFERROR(V34+W34-X34,"")</f>
        <v>2582436.41</v>
      </c>
      <c r="Z34" s="12" t="s">
        <v>401</v>
      </c>
      <c r="AA34" s="12" t="str">
        <f t="shared" ref="AA34:AA65" si="11">IFERROR(Y34+Z34,"")</f>
        <v/>
      </c>
      <c r="AB34" s="12">
        <v>1114966.57</v>
      </c>
      <c r="AC34" s="12">
        <v>1393452.84</v>
      </c>
      <c r="AD34" s="12"/>
      <c r="AE34" s="12">
        <f t="shared" ref="AE34:AE65" si="12">IFERROR(AB34+AC34-AD34,"")</f>
        <v>2508419.41</v>
      </c>
      <c r="AF34" s="12" t="s">
        <v>401</v>
      </c>
      <c r="AG34" s="12" t="str">
        <f t="shared" ref="AG34:AG65" si="13">IFERROR(AE34+AF34,"")</f>
        <v/>
      </c>
      <c r="AH34" s="12">
        <v>970138</v>
      </c>
      <c r="AI34" s="12">
        <v>1388491</v>
      </c>
      <c r="AJ34" s="12"/>
      <c r="AK34" s="12">
        <f t="shared" ref="AK34:AK65" si="14">IFERROR(AH34+AI34-AJ34,"")</f>
        <v>2358629</v>
      </c>
      <c r="AL34" s="12" t="s">
        <v>401</v>
      </c>
      <c r="AM34" s="12" t="str">
        <f t="shared" ref="AM34:AM65" si="15">IFERROR(AK34+AL34,"")</f>
        <v/>
      </c>
      <c r="AN34" s="12">
        <v>785682</v>
      </c>
      <c r="AO34" s="12">
        <v>1315361</v>
      </c>
      <c r="AP34" s="12"/>
      <c r="AQ34" s="12">
        <f t="shared" si="6"/>
        <v>2101043</v>
      </c>
      <c r="AR34" s="12" t="s">
        <v>401</v>
      </c>
      <c r="AS34" s="12" t="str">
        <f t="shared" ref="AS34:AS65" si="16">IFERROR(AQ34+AR34,"")</f>
        <v/>
      </c>
      <c r="AT34" s="12">
        <v>636727</v>
      </c>
      <c r="AU34" s="12">
        <v>1236737</v>
      </c>
      <c r="AV34" s="12"/>
      <c r="AW34" s="12">
        <f t="shared" si="8"/>
        <v>1873464</v>
      </c>
      <c r="AX34" s="12" t="s">
        <v>401</v>
      </c>
      <c r="AY34" s="12" t="str">
        <f t="shared" ref="AY34:AY65" si="17">IFERROR(AW34+AX34,"")</f>
        <v/>
      </c>
      <c r="AZ34" t="s">
        <v>0</v>
      </c>
      <c r="BA34" s="18" t="s">
        <v>142</v>
      </c>
      <c r="BB34" s="14" t="s">
        <v>411</v>
      </c>
      <c r="BD34" s="44"/>
    </row>
    <row r="35" spans="1:56" x14ac:dyDescent="0.2">
      <c r="A35" s="21" t="s">
        <v>143</v>
      </c>
      <c r="B35" s="21" t="s">
        <v>391</v>
      </c>
      <c r="C35" s="21" t="s">
        <v>7</v>
      </c>
      <c r="D35" s="4" t="s">
        <v>85</v>
      </c>
      <c r="E35" s="5">
        <v>256776000000</v>
      </c>
      <c r="F35" s="5" t="str">
        <f>IF(ISNUMBER(Table1[[#This Row],[2019 Scope 3 ]]),IF(Table1[[#This Row],[Net Earnings/Income (2019)]]-k_cost*Table1[[#This Row],[2019 Total Scope 1, 2 + 3]]&lt;0,"Y","N"),"NA")</f>
        <v>N</v>
      </c>
      <c r="G35" s="56" t="str">
        <f>IF(ISNUMBER(Table1[[#This Row],[2019 Scope 3 ]]),IF(k_cost*Table1[[#This Row],[2019 Total Scope 1, 2 + 3]]/Table1[[#This Row],[Size (2019 Revenue)]]&gt;k_rev_max,"Y","N"),"NA")</f>
        <v>N</v>
      </c>
      <c r="H35" s="56" t="str">
        <f>IF(OR(Table1[[#This Row],[Net earnings post carbon price @85/t]]="Y",Table1[[#This Row],[Carbon costs in % revenue]] = "Y"),"Y",IF(OR(Table1[[#This Row],[Net earnings post carbon price @85/t]]="NA",Table1[[#This Row],[Carbon costs in % revenue]]="NA"),"NA","N"))</f>
        <v>N</v>
      </c>
      <c r="I35" s="5">
        <v>6634000000</v>
      </c>
      <c r="J35" s="9">
        <v>1963</v>
      </c>
      <c r="K35" s="5" t="s">
        <v>1</v>
      </c>
      <c r="L35" t="s">
        <v>0</v>
      </c>
      <c r="M35" t="s">
        <v>1</v>
      </c>
      <c r="P35" t="s">
        <v>0</v>
      </c>
      <c r="Q35" t="s">
        <v>0</v>
      </c>
      <c r="R35" t="s">
        <v>0</v>
      </c>
      <c r="S35" t="s">
        <v>0</v>
      </c>
      <c r="T35" s="53">
        <f>IFERROR((Table1[[#This Row],[2019 Total Scope 1, 2 + 3]])/Table1[[#This Row],[2018 Total Scope 1, 2 + Scope 3]]-1,"NA")</f>
        <v>0.25790198040724865</v>
      </c>
      <c r="V35" s="12">
        <v>157114</v>
      </c>
      <c r="W35" s="12">
        <v>1024682</v>
      </c>
      <c r="X35" s="12">
        <v>0</v>
      </c>
      <c r="Y35" s="12">
        <f t="shared" si="10"/>
        <v>1181796</v>
      </c>
      <c r="Z35" s="12">
        <f>14584739.12+1011729.83+51656.89+35236.88+106796.09+20400+46624.82</f>
        <v>15857183.630000001</v>
      </c>
      <c r="AA35" s="12">
        <f t="shared" si="11"/>
        <v>17038979.630000003</v>
      </c>
      <c r="AB35" s="12">
        <v>177347</v>
      </c>
      <c r="AC35" s="12">
        <v>1096724</v>
      </c>
      <c r="AD35" s="12">
        <v>0</v>
      </c>
      <c r="AE35" s="12">
        <f t="shared" si="12"/>
        <v>1274071</v>
      </c>
      <c r="AF35" s="12">
        <f>10986342.63+1091380.21+51836.83+31736+35855.55+20400+53932.12</f>
        <v>12271483.34</v>
      </c>
      <c r="AG35" s="12">
        <f t="shared" si="13"/>
        <v>13545554.34</v>
      </c>
      <c r="AH35" s="12">
        <v>206086</v>
      </c>
      <c r="AI35" s="12">
        <v>1131013</v>
      </c>
      <c r="AJ35" s="12">
        <v>0</v>
      </c>
      <c r="AK35" s="12">
        <f t="shared" si="14"/>
        <v>1337099</v>
      </c>
      <c r="AL35" s="12">
        <f>2400000+97000+31736+36636+53469</f>
        <v>2618841</v>
      </c>
      <c r="AM35" s="12">
        <f t="shared" si="15"/>
        <v>3955940</v>
      </c>
      <c r="AN35" s="12">
        <v>198055</v>
      </c>
      <c r="AO35" s="12">
        <v>1265480</v>
      </c>
      <c r="AP35" s="12"/>
      <c r="AQ35" s="12">
        <f t="shared" si="6"/>
        <v>1463535</v>
      </c>
      <c r="AR35" s="12">
        <f>2400000+119000+40280+50310</f>
        <v>2609590</v>
      </c>
      <c r="AS35" s="12">
        <f t="shared" si="16"/>
        <v>4073125</v>
      </c>
      <c r="AT35" s="12">
        <v>214156</v>
      </c>
      <c r="AU35" s="12">
        <v>1378660</v>
      </c>
      <c r="AV35" s="12"/>
      <c r="AW35" s="12">
        <f t="shared" si="8"/>
        <v>1592816</v>
      </c>
      <c r="AX35" s="12" t="s">
        <v>401</v>
      </c>
      <c r="AY35" s="12" t="str">
        <f t="shared" si="17"/>
        <v/>
      </c>
      <c r="AZ35" t="s">
        <v>0</v>
      </c>
      <c r="BA35" s="18" t="s">
        <v>144</v>
      </c>
      <c r="BD35" s="44"/>
    </row>
    <row r="36" spans="1:56" ht="25.5" x14ac:dyDescent="0.2">
      <c r="A36" s="21" t="s">
        <v>145</v>
      </c>
      <c r="B36" s="21" t="s">
        <v>145</v>
      </c>
      <c r="C36" s="21" t="s">
        <v>7</v>
      </c>
      <c r="D36" s="4" t="s">
        <v>146</v>
      </c>
      <c r="E36" s="5">
        <v>17910000000</v>
      </c>
      <c r="F36" s="5" t="str">
        <f>IF(ISNUMBER(Table1[[#This Row],[2019 Scope 3 ]]),IF(Table1[[#This Row],[Net Earnings/Income (2019)]]-k_cost*Table1[[#This Row],[2019 Total Scope 1, 2 + 3]]&lt;0,"Y","N"),"NA")</f>
        <v>NA</v>
      </c>
      <c r="G36" s="56" t="str">
        <f>IF(ISNUMBER(Table1[[#This Row],[2019 Scope 3 ]]),IF(k_cost*Table1[[#This Row],[2019 Total Scope 1, 2 + 3]]/Table1[[#This Row],[Size (2019 Revenue)]]&gt;k_rev_max,"Y","N"),"NA")</f>
        <v>NA</v>
      </c>
      <c r="H36" s="56" t="str">
        <f>IF(OR(Table1[[#This Row],[Net earnings post carbon price @85/t]]="Y",Table1[[#This Row],[Carbon costs in % revenue]] = "Y"),"Y",IF(OR(Table1[[#This Row],[Net earnings post carbon price @85/t]]="NA",Table1[[#This Row],[Carbon costs in % revenue]]="NA"),"NA","N"))</f>
        <v>NA</v>
      </c>
      <c r="I36" s="5">
        <v>2940000000</v>
      </c>
      <c r="J36" s="9">
        <v>1969</v>
      </c>
      <c r="K36" s="5" t="s">
        <v>1</v>
      </c>
      <c r="L36" t="s">
        <v>0</v>
      </c>
      <c r="M36" t="s">
        <v>0</v>
      </c>
      <c r="P36" t="s">
        <v>0</v>
      </c>
      <c r="Q36" t="s">
        <v>0</v>
      </c>
      <c r="R36" t="s">
        <v>0</v>
      </c>
      <c r="S36" t="s">
        <v>0</v>
      </c>
      <c r="T36" s="53" t="str">
        <f>IFERROR((Table1[[#This Row],[2019 Total Scope 1, 2 + 3]])/Table1[[#This Row],[2018 Total Scope 1, 2 + Scope 3]]-1,"NA")</f>
        <v>NA</v>
      </c>
      <c r="V36" s="12" t="s">
        <v>401</v>
      </c>
      <c r="W36" s="12" t="s">
        <v>401</v>
      </c>
      <c r="X36" s="12"/>
      <c r="Y36" s="12" t="str">
        <f t="shared" si="10"/>
        <v/>
      </c>
      <c r="Z36" s="12" t="s">
        <v>401</v>
      </c>
      <c r="AA36" s="12" t="str">
        <f t="shared" si="11"/>
        <v/>
      </c>
      <c r="AB36" s="12">
        <f>7.13*E36/1000000</f>
        <v>127698.3</v>
      </c>
      <c r="AC36" s="12">
        <f>10.16*E36/1000000</f>
        <v>181965.6</v>
      </c>
      <c r="AD36" s="12">
        <v>0</v>
      </c>
      <c r="AE36" s="12">
        <f t="shared" si="12"/>
        <v>309663.90000000002</v>
      </c>
      <c r="AF36" s="12" t="s">
        <v>401</v>
      </c>
      <c r="AG36" s="12" t="str">
        <f t="shared" si="13"/>
        <v/>
      </c>
      <c r="AH36" s="12" t="s">
        <v>401</v>
      </c>
      <c r="AI36" s="12" t="s">
        <v>401</v>
      </c>
      <c r="AJ36" s="12"/>
      <c r="AK36" s="12" t="str">
        <f t="shared" si="14"/>
        <v/>
      </c>
      <c r="AL36" s="12" t="s">
        <v>401</v>
      </c>
      <c r="AM36" s="12" t="str">
        <f t="shared" si="15"/>
        <v/>
      </c>
      <c r="AN36" s="12" t="s">
        <v>401</v>
      </c>
      <c r="AO36" s="12" t="s">
        <v>401</v>
      </c>
      <c r="AP36" s="12"/>
      <c r="AQ36" s="12" t="str">
        <f t="shared" si="6"/>
        <v/>
      </c>
      <c r="AR36" s="12" t="s">
        <v>401</v>
      </c>
      <c r="AS36" s="12" t="str">
        <f t="shared" si="16"/>
        <v/>
      </c>
      <c r="AT36" s="12" t="s">
        <v>401</v>
      </c>
      <c r="AU36" s="12" t="s">
        <v>401</v>
      </c>
      <c r="AV36" s="12"/>
      <c r="AW36" s="12" t="str">
        <f t="shared" si="8"/>
        <v/>
      </c>
      <c r="AX36" s="12" t="s">
        <v>401</v>
      </c>
      <c r="AY36" s="12" t="str">
        <f t="shared" si="17"/>
        <v/>
      </c>
      <c r="AZ36" t="s">
        <v>0</v>
      </c>
      <c r="BA36" s="14" t="s">
        <v>424</v>
      </c>
      <c r="BD36" s="44"/>
    </row>
    <row r="37" spans="1:56" ht="51" x14ac:dyDescent="0.2">
      <c r="A37" s="21" t="s">
        <v>147</v>
      </c>
      <c r="B37" s="21" t="s">
        <v>440</v>
      </c>
      <c r="C37" t="s">
        <v>9</v>
      </c>
      <c r="D37" s="4" t="s">
        <v>148</v>
      </c>
      <c r="E37" s="5">
        <v>42951000000</v>
      </c>
      <c r="F37" s="5" t="str">
        <f>IF(ISNUMBER(Table1[[#This Row],[2019 Scope 3 ]]),IF(Table1[[#This Row],[Net Earnings/Income (2019)]]-k_cost*Table1[[#This Row],[2019 Total Scope 1, 2 + 3]]&lt;0,"Y","N"),"NA")</f>
        <v>Y</v>
      </c>
      <c r="G37" s="56" t="str">
        <f>IF(ISNUMBER(Table1[[#This Row],[2019 Scope 3 ]]),IF(k_cost*Table1[[#This Row],[2019 Total Scope 1, 2 + 3]]/Table1[[#This Row],[Size (2019 Revenue)]]&gt;k_rev_max,"Y","N"),"NA")</f>
        <v>Y</v>
      </c>
      <c r="H37" s="56" t="str">
        <f>IF(OR(Table1[[#This Row],[Net earnings post carbon price @85/t]]="Y",Table1[[#This Row],[Carbon costs in % revenue]] = "Y"),"Y",IF(OR(Table1[[#This Row],[Net earnings post carbon price @85/t]]="NA",Table1[[#This Row],[Carbon costs in % revenue]]="NA"),"NA","N"))</f>
        <v>Y</v>
      </c>
      <c r="I37" s="11">
        <v>-1359000000</v>
      </c>
      <c r="J37" s="9">
        <v>1897</v>
      </c>
      <c r="K37" s="5" t="s">
        <v>1</v>
      </c>
      <c r="L37" t="s">
        <v>1</v>
      </c>
      <c r="M37" t="s">
        <v>0</v>
      </c>
      <c r="N37">
        <v>2050</v>
      </c>
      <c r="O37">
        <v>2020</v>
      </c>
      <c r="P37" t="s">
        <v>0</v>
      </c>
      <c r="Q37" t="s">
        <v>0</v>
      </c>
      <c r="R37" t="s">
        <v>0</v>
      </c>
      <c r="S37" t="s">
        <v>0</v>
      </c>
      <c r="T37" s="53">
        <f>IFERROR((Table1[[#This Row],[2019 Total Scope 1, 2 + 3]])/Table1[[#This Row],[2018 Total Scope 1, 2 + Scope 3]]-1,"NA")</f>
        <v>0.11831514934716503</v>
      </c>
      <c r="V37" s="12">
        <v>27600000</v>
      </c>
      <c r="W37" s="12">
        <v>6050000</v>
      </c>
      <c r="X37" s="12">
        <v>0</v>
      </c>
      <c r="Y37" s="12">
        <f t="shared" si="10"/>
        <v>33650000</v>
      </c>
      <c r="Z37" s="12">
        <v>91400000</v>
      </c>
      <c r="AA37" s="12">
        <f t="shared" si="11"/>
        <v>125050000</v>
      </c>
      <c r="AB37" s="12">
        <v>28700000</v>
      </c>
      <c r="AC37" s="12">
        <v>6820000</v>
      </c>
      <c r="AD37" s="12">
        <v>0</v>
      </c>
      <c r="AE37" s="12">
        <f t="shared" si="12"/>
        <v>35520000</v>
      </c>
      <c r="AF37" s="12">
        <v>76300000</v>
      </c>
      <c r="AG37" s="12">
        <f t="shared" si="13"/>
        <v>111820000</v>
      </c>
      <c r="AH37" s="12">
        <v>25760540</v>
      </c>
      <c r="AI37" s="12">
        <v>8814966</v>
      </c>
      <c r="AJ37" s="12"/>
      <c r="AK37" s="12">
        <f t="shared" si="14"/>
        <v>34575506</v>
      </c>
      <c r="AL37" s="12">
        <f>39700000+2400000+800000+2000000+260000+74000+200000+60000+2000000+3000000+24500000+200000+3700000</f>
        <v>78894000</v>
      </c>
      <c r="AM37" s="12">
        <f t="shared" si="15"/>
        <v>113469506</v>
      </c>
      <c r="AN37" s="12">
        <v>25570000</v>
      </c>
      <c r="AO37" s="12">
        <v>9840000</v>
      </c>
      <c r="AP37" s="12"/>
      <c r="AQ37" s="12">
        <f t="shared" si="6"/>
        <v>35410000</v>
      </c>
      <c r="AR37" s="12">
        <f>36500000+2400000+2500000+2000000+260000+820000+110000+60000+2000000+2900000+25000000+1800000</f>
        <v>76350000</v>
      </c>
      <c r="AS37" s="12">
        <f t="shared" si="16"/>
        <v>111760000</v>
      </c>
      <c r="AT37" s="12">
        <v>25240000</v>
      </c>
      <c r="AU37" s="12">
        <v>9710000</v>
      </c>
      <c r="AV37" s="12"/>
      <c r="AW37" s="12">
        <f t="shared" si="8"/>
        <v>34950000</v>
      </c>
      <c r="AX37" s="12">
        <f>48800000+2200000+10300000+3000000+150000+670000+100000+60000+3400000+7400000+20900000+3400000</f>
        <v>100380000</v>
      </c>
      <c r="AY37" s="12">
        <f t="shared" si="17"/>
        <v>135330000</v>
      </c>
      <c r="AZ37" t="s">
        <v>1</v>
      </c>
      <c r="BA37" s="18" t="s">
        <v>149</v>
      </c>
      <c r="BB37" s="16" t="s">
        <v>425</v>
      </c>
      <c r="BD37" s="44"/>
    </row>
    <row r="38" spans="1:56" ht="38.25" x14ac:dyDescent="0.2">
      <c r="A38" s="21" t="s">
        <v>150</v>
      </c>
      <c r="B38" s="21" t="s">
        <v>150</v>
      </c>
      <c r="C38" t="s">
        <v>12</v>
      </c>
      <c r="D38" t="s">
        <v>12</v>
      </c>
      <c r="E38" s="5">
        <v>25079000000</v>
      </c>
      <c r="F38" s="5" t="str">
        <f>IF(ISNUMBER(Table1[[#This Row],[2019 Scope 3 ]]),IF(Table1[[#This Row],[Net Earnings/Income (2019)]]-k_cost*Table1[[#This Row],[2019 Total Scope 1, 2 + 3]]&lt;0,"Y","N"),"NA")</f>
        <v>Y</v>
      </c>
      <c r="G38" s="56" t="str">
        <f>IF(ISNUMBER(Table1[[#This Row],[2019 Scope 3 ]]),IF(k_cost*Table1[[#This Row],[2019 Total Scope 1, 2 + 3]]/Table1[[#This Row],[Size (2019 Revenue)]]&gt;k_rev_max,"Y","N"),"NA")</f>
        <v>Y</v>
      </c>
      <c r="H38" s="56" t="str">
        <f>IF(OR(Table1[[#This Row],[Net earnings post carbon price @85/t]]="Y",Table1[[#This Row],[Carbon costs in % revenue]] = "Y"),"Y",IF(OR(Table1[[#This Row],[Net earnings post carbon price @85/t]]="NA",Table1[[#This Row],[Carbon costs in % revenue]]="NA"),"NA","N"))</f>
        <v>Y</v>
      </c>
      <c r="I38" s="5">
        <v>3707000000</v>
      </c>
      <c r="J38" s="9">
        <v>1900</v>
      </c>
      <c r="K38" s="5" t="s">
        <v>1</v>
      </c>
      <c r="L38" t="s">
        <v>1</v>
      </c>
      <c r="M38" t="s">
        <v>0</v>
      </c>
      <c r="N38">
        <v>2050</v>
      </c>
      <c r="O38">
        <v>2019</v>
      </c>
      <c r="P38" t="s">
        <v>0</v>
      </c>
      <c r="Q38" t="s">
        <v>0</v>
      </c>
      <c r="R38" t="s">
        <v>0</v>
      </c>
      <c r="S38" t="s">
        <v>0</v>
      </c>
      <c r="T38" s="53">
        <f>IFERROR((Table1[[#This Row],[2019 Total Scope 1, 2 + 3]])/Table1[[#This Row],[2018 Total Scope 1, 2 + Scope 3]]-1,"NA")</f>
        <v>-5.749250366880343E-3</v>
      </c>
      <c r="V38" s="12">
        <v>93000000</v>
      </c>
      <c r="W38" s="12">
        <v>11122000</v>
      </c>
      <c r="X38" s="12">
        <v>0</v>
      </c>
      <c r="Y38" s="12">
        <f t="shared" si="10"/>
        <v>104122000</v>
      </c>
      <c r="Z38" s="12">
        <v>19811000</v>
      </c>
      <c r="AA38" s="12">
        <f t="shared" si="11"/>
        <v>123933000</v>
      </c>
      <c r="AB38" s="12">
        <v>96548800</v>
      </c>
      <c r="AC38" s="12">
        <v>23200</v>
      </c>
      <c r="AD38" s="12"/>
      <c r="AE38" s="12">
        <f t="shared" si="12"/>
        <v>96572000</v>
      </c>
      <c r="AF38" s="12">
        <f>10100000+17977642</f>
        <v>28077642</v>
      </c>
      <c r="AG38" s="12">
        <f t="shared" si="13"/>
        <v>124649642</v>
      </c>
      <c r="AH38" s="12">
        <v>95213400</v>
      </c>
      <c r="AI38" s="12">
        <v>0</v>
      </c>
      <c r="AJ38" s="12"/>
      <c r="AK38" s="12">
        <f t="shared" si="14"/>
        <v>95213400</v>
      </c>
      <c r="AL38" s="12">
        <f>15948080</f>
        <v>15948080</v>
      </c>
      <c r="AM38" s="12">
        <f t="shared" si="15"/>
        <v>111161480</v>
      </c>
      <c r="AN38" s="12">
        <v>96837200</v>
      </c>
      <c r="AO38" s="12">
        <v>0</v>
      </c>
      <c r="AP38" s="12"/>
      <c r="AQ38" s="12">
        <f t="shared" si="6"/>
        <v>96837200</v>
      </c>
      <c r="AR38" s="12">
        <f>16640509</f>
        <v>16640509</v>
      </c>
      <c r="AS38" s="12">
        <f t="shared" si="16"/>
        <v>113477709</v>
      </c>
      <c r="AT38" s="12">
        <v>100238000</v>
      </c>
      <c r="AU38" s="12">
        <v>0</v>
      </c>
      <c r="AV38" s="12"/>
      <c r="AW38" s="12">
        <f t="shared" si="8"/>
        <v>100238000</v>
      </c>
      <c r="AX38" s="12" t="s">
        <v>401</v>
      </c>
      <c r="AY38" s="12" t="str">
        <f t="shared" si="17"/>
        <v/>
      </c>
      <c r="AZ38" s="13" t="s">
        <v>0</v>
      </c>
      <c r="BA38" s="18" t="s">
        <v>151</v>
      </c>
      <c r="BB38" s="16" t="s">
        <v>426</v>
      </c>
      <c r="BD38" s="44"/>
    </row>
    <row r="39" spans="1:56" ht="76.5" x14ac:dyDescent="0.2">
      <c r="A39" s="21" t="s">
        <v>152</v>
      </c>
      <c r="B39" s="21" t="s">
        <v>152</v>
      </c>
      <c r="C39" s="21" t="s">
        <v>9</v>
      </c>
      <c r="D39" s="4" t="s">
        <v>148</v>
      </c>
      <c r="E39" s="5">
        <v>21570000000</v>
      </c>
      <c r="F39" s="5" t="str">
        <f>IF(ISNUMBER(Table1[[#This Row],[2019 Scope 3 ]]),IF(Table1[[#This Row],[Net Earnings/Income (2019)]]-k_cost*Table1[[#This Row],[2019 Total Scope 1, 2 + 3]]&lt;0,"Y","N"),"NA")</f>
        <v>Y</v>
      </c>
      <c r="G39" s="56" t="str">
        <f>IF(ISNUMBER(Table1[[#This Row],[2019 Scope 3 ]]),IF(k_cost*Table1[[#This Row],[2019 Total Scope 1, 2 + 3]]/Table1[[#This Row],[Size (2019 Revenue)]]&gt;k_rev_max,"Y","N"),"NA")</f>
        <v>N</v>
      </c>
      <c r="H39" s="56" t="str">
        <f>IF(OR(Table1[[#This Row],[Net earnings post carbon price @85/t]]="Y",Table1[[#This Row],[Carbon costs in % revenue]] = "Y"),"Y",IF(OR(Table1[[#This Row],[Net earnings post carbon price @85/t]]="NA",Table1[[#This Row],[Carbon costs in % revenue]]="NA"),"NA","N"))</f>
        <v>Y</v>
      </c>
      <c r="I39" s="5">
        <v>498000000</v>
      </c>
      <c r="J39" s="9">
        <v>1802</v>
      </c>
      <c r="K39" s="5" t="s">
        <v>1</v>
      </c>
      <c r="L39" t="s">
        <v>1</v>
      </c>
      <c r="M39" t="s">
        <v>0</v>
      </c>
      <c r="N39">
        <v>2050</v>
      </c>
      <c r="O39">
        <v>2018</v>
      </c>
      <c r="P39" t="s">
        <v>0</v>
      </c>
      <c r="Q39" t="s">
        <v>0</v>
      </c>
      <c r="R39" t="s">
        <v>0</v>
      </c>
      <c r="S39" t="s">
        <v>0</v>
      </c>
      <c r="T39" s="53" t="str">
        <f>IFERROR((Table1[[#This Row],[2019 Total Scope 1, 2 + 3]])/Table1[[#This Row],[2018 Total Scope 1, 2 + Scope 3]]-1,"NA")</f>
        <v>NA</v>
      </c>
      <c r="V39" s="12">
        <v>3057000</v>
      </c>
      <c r="W39" s="12">
        <v>2323000</v>
      </c>
      <c r="X39" s="12">
        <v>0</v>
      </c>
      <c r="Y39" s="12">
        <f t="shared" si="10"/>
        <v>5380000</v>
      </c>
      <c r="Z39" s="12">
        <f>1207243+23037+72464</f>
        <v>1302744</v>
      </c>
      <c r="AA39" s="12">
        <f t="shared" si="11"/>
        <v>6682744</v>
      </c>
      <c r="AB39" s="12" t="s">
        <v>401</v>
      </c>
      <c r="AC39" s="12" t="s">
        <v>401</v>
      </c>
      <c r="AD39" s="12"/>
      <c r="AE39" s="12" t="str">
        <f t="shared" si="12"/>
        <v/>
      </c>
      <c r="AF39" s="12" t="s">
        <v>401</v>
      </c>
      <c r="AG39" s="12" t="str">
        <f t="shared" si="13"/>
        <v/>
      </c>
      <c r="AH39" s="12" t="s">
        <v>401</v>
      </c>
      <c r="AI39" s="12" t="s">
        <v>401</v>
      </c>
      <c r="AJ39" s="12"/>
      <c r="AK39" s="12" t="str">
        <f t="shared" si="14"/>
        <v/>
      </c>
      <c r="AL39" s="12" t="s">
        <v>401</v>
      </c>
      <c r="AM39" s="12" t="str">
        <f t="shared" si="15"/>
        <v/>
      </c>
      <c r="AN39" s="12" t="s">
        <v>401</v>
      </c>
      <c r="AO39" s="12" t="s">
        <v>401</v>
      </c>
      <c r="AP39" s="12"/>
      <c r="AQ39" s="12" t="str">
        <f t="shared" si="6"/>
        <v/>
      </c>
      <c r="AR39" s="12" t="s">
        <v>401</v>
      </c>
      <c r="AS39" s="12" t="str">
        <f t="shared" si="16"/>
        <v/>
      </c>
      <c r="AT39" s="12" t="s">
        <v>401</v>
      </c>
      <c r="AU39" s="12" t="s">
        <v>401</v>
      </c>
      <c r="AV39" s="12"/>
      <c r="AW39" s="12" t="str">
        <f t="shared" si="8"/>
        <v/>
      </c>
      <c r="AX39" s="12" t="s">
        <v>401</v>
      </c>
      <c r="AY39" s="12" t="str">
        <f t="shared" si="17"/>
        <v/>
      </c>
      <c r="AZ39" t="s">
        <v>1</v>
      </c>
      <c r="BA39" s="18" t="s">
        <v>153</v>
      </c>
      <c r="BD39" s="44"/>
    </row>
    <row r="40" spans="1:56" x14ac:dyDescent="0.2">
      <c r="A40" s="21" t="s">
        <v>154</v>
      </c>
      <c r="B40" s="21" t="s">
        <v>154</v>
      </c>
      <c r="C40" s="21" t="s">
        <v>7</v>
      </c>
      <c r="D40" s="4" t="s">
        <v>69</v>
      </c>
      <c r="E40" s="5">
        <v>22320000000</v>
      </c>
      <c r="F40" s="5" t="str">
        <f>IF(ISNUMBER(Table1[[#This Row],[2019 Scope 3 ]]),IF(Table1[[#This Row],[Net Earnings/Income (2019)]]-k_cost*Table1[[#This Row],[2019 Total Scope 1, 2 + 3]]&lt;0,"Y","N"),"NA")</f>
        <v>N</v>
      </c>
      <c r="G40" s="56" t="str">
        <f>IF(ISNUMBER(Table1[[#This Row],[2019 Scope 3 ]]),IF(k_cost*Table1[[#This Row],[2019 Total Scope 1, 2 + 3]]/Table1[[#This Row],[Size (2019 Revenue)]]&gt;k_rev_max,"Y","N"),"NA")</f>
        <v>N</v>
      </c>
      <c r="H40" s="56" t="str">
        <f>IF(OR(Table1[[#This Row],[Net earnings post carbon price @85/t]]="Y",Table1[[#This Row],[Carbon costs in % revenue]] = "Y"),"Y",IF(OR(Table1[[#This Row],[Net earnings post carbon price @85/t]]="NA",Table1[[#This Row],[Carbon costs in % revenue]]="NA"),"NA","N"))</f>
        <v>N</v>
      </c>
      <c r="I40" s="5">
        <v>8318000000</v>
      </c>
      <c r="J40" s="9">
        <v>1876</v>
      </c>
      <c r="K40" s="5" t="s">
        <v>1</v>
      </c>
      <c r="L40" t="s">
        <v>0</v>
      </c>
      <c r="M40" t="s">
        <v>0</v>
      </c>
      <c r="P40">
        <v>700000</v>
      </c>
      <c r="Q40" t="s">
        <v>0</v>
      </c>
      <c r="R40" t="s">
        <v>0</v>
      </c>
      <c r="S40" t="s">
        <v>0</v>
      </c>
      <c r="T40" s="53">
        <f>IFERROR((Table1[[#This Row],[2019 Total Scope 1, 2 + 3]])/Table1[[#This Row],[2018 Total Scope 1, 2 + Scope 3]]-1,"NA")</f>
        <v>-1.4285714285714235E-2</v>
      </c>
      <c r="V40" s="12">
        <v>193000</v>
      </c>
      <c r="W40" s="12">
        <v>671000</v>
      </c>
      <c r="X40" s="12">
        <v>0</v>
      </c>
      <c r="Y40" s="12">
        <f t="shared" si="10"/>
        <v>864000</v>
      </c>
      <c r="Z40" s="12">
        <v>240000</v>
      </c>
      <c r="AA40" s="12">
        <f t="shared" si="11"/>
        <v>1104000</v>
      </c>
      <c r="AB40" s="12">
        <v>201000</v>
      </c>
      <c r="AC40" s="12">
        <v>654000</v>
      </c>
      <c r="AD40" s="12">
        <v>0</v>
      </c>
      <c r="AE40" s="12">
        <f t="shared" si="12"/>
        <v>855000</v>
      </c>
      <c r="AF40" s="12">
        <v>265000</v>
      </c>
      <c r="AG40" s="12">
        <f t="shared" si="13"/>
        <v>1120000</v>
      </c>
      <c r="AH40" s="12">
        <v>228000</v>
      </c>
      <c r="AI40" s="12">
        <v>636000</v>
      </c>
      <c r="AJ40" s="12">
        <v>0</v>
      </c>
      <c r="AK40" s="12">
        <f t="shared" si="14"/>
        <v>864000</v>
      </c>
      <c r="AL40" s="12">
        <v>232000</v>
      </c>
      <c r="AM40" s="12">
        <f t="shared" si="15"/>
        <v>1096000</v>
      </c>
      <c r="AN40" s="12">
        <v>216000</v>
      </c>
      <c r="AO40" s="12">
        <v>660000</v>
      </c>
      <c r="AP40" s="12">
        <v>0</v>
      </c>
      <c r="AQ40" s="12">
        <f t="shared" si="6"/>
        <v>876000</v>
      </c>
      <c r="AR40" s="12">
        <v>248000</v>
      </c>
      <c r="AS40" s="12">
        <f t="shared" si="16"/>
        <v>1124000</v>
      </c>
      <c r="AT40" s="12">
        <v>214000</v>
      </c>
      <c r="AU40" s="12">
        <v>713000</v>
      </c>
      <c r="AV40" s="12">
        <v>0</v>
      </c>
      <c r="AW40" s="12">
        <f t="shared" si="8"/>
        <v>927000</v>
      </c>
      <c r="AX40" s="12">
        <v>237000</v>
      </c>
      <c r="AY40" s="12">
        <f t="shared" si="17"/>
        <v>1164000</v>
      </c>
      <c r="AZ40" t="s">
        <v>0</v>
      </c>
      <c r="BA40" s="18" t="s">
        <v>155</v>
      </c>
      <c r="BD40" s="44"/>
    </row>
    <row r="41" spans="1:56" ht="25.5" x14ac:dyDescent="0.2">
      <c r="A41" s="21" t="s">
        <v>156</v>
      </c>
      <c r="B41" s="21" t="s">
        <v>156</v>
      </c>
      <c r="C41" s="21" t="s">
        <v>8</v>
      </c>
      <c r="D41" s="4" t="s">
        <v>121</v>
      </c>
      <c r="E41" s="5">
        <v>18372000000</v>
      </c>
      <c r="F41" s="5" t="str">
        <f>IF(ISNUMBER(Table1[[#This Row],[2019 Scope 3 ]]),IF(Table1[[#This Row],[Net Earnings/Income (2019)]]-k_cost*Table1[[#This Row],[2019 Total Scope 1, 2 + 3]]&lt;0,"Y","N"),"NA")</f>
        <v>NA</v>
      </c>
      <c r="G41" s="56" t="str">
        <f>IF(ISNUMBER(Table1[[#This Row],[2019 Scope 3 ]]),IF(k_cost*Table1[[#This Row],[2019 Total Scope 1, 2 + 3]]/Table1[[#This Row],[Size (2019 Revenue)]]&gt;k_rev_max,"Y","N"),"NA")</f>
        <v>NA</v>
      </c>
      <c r="H41" s="56" t="str">
        <f>IF(OR(Table1[[#This Row],[Net earnings post carbon price @85/t]]="Y",Table1[[#This Row],[Carbon costs in % revenue]] = "Y"),"Y",IF(OR(Table1[[#This Row],[Net earnings post carbon price @85/t]]="NA",Table1[[#This Row],[Carbon costs in % revenue]]="NA"),"NA","N"))</f>
        <v>NA</v>
      </c>
      <c r="I41" s="5">
        <v>2306000000</v>
      </c>
      <c r="J41" s="9">
        <v>1890</v>
      </c>
      <c r="K41" t="s">
        <v>1</v>
      </c>
      <c r="L41" t="s">
        <v>0</v>
      </c>
      <c r="M41" t="s">
        <v>0</v>
      </c>
      <c r="P41" t="s">
        <v>0</v>
      </c>
      <c r="Q41" t="s">
        <v>0</v>
      </c>
      <c r="R41" t="s">
        <v>0</v>
      </c>
      <c r="S41" t="s">
        <v>0</v>
      </c>
      <c r="T41" s="53" t="str">
        <f>IFERROR((Table1[[#This Row],[2019 Total Scope 1, 2 + 3]])/Table1[[#This Row],[2018 Total Scope 1, 2 + Scope 3]]-1,"NA")</f>
        <v>NA</v>
      </c>
      <c r="V41" s="12">
        <v>163945</v>
      </c>
      <c r="W41" s="12">
        <v>699739</v>
      </c>
      <c r="X41" s="12">
        <v>0</v>
      </c>
      <c r="Y41" s="12">
        <f t="shared" si="10"/>
        <v>863684</v>
      </c>
      <c r="Z41" s="12" t="s">
        <v>401</v>
      </c>
      <c r="AA41" s="12" t="str">
        <f t="shared" si="11"/>
        <v/>
      </c>
      <c r="AB41" s="12">
        <v>166132</v>
      </c>
      <c r="AC41" s="12">
        <v>699423</v>
      </c>
      <c r="AD41" s="12">
        <v>0</v>
      </c>
      <c r="AE41" s="12">
        <f t="shared" si="12"/>
        <v>865555</v>
      </c>
      <c r="AF41" s="12" t="s">
        <v>401</v>
      </c>
      <c r="AG41" s="12" t="str">
        <f t="shared" si="13"/>
        <v/>
      </c>
      <c r="AH41" s="12" t="s">
        <v>401</v>
      </c>
      <c r="AI41" s="12" t="s">
        <v>401</v>
      </c>
      <c r="AJ41" s="12"/>
      <c r="AK41" s="12" t="str">
        <f t="shared" si="14"/>
        <v/>
      </c>
      <c r="AL41" s="12" t="s">
        <v>401</v>
      </c>
      <c r="AM41" s="12" t="str">
        <f t="shared" si="15"/>
        <v/>
      </c>
      <c r="AN41" s="12" t="s">
        <v>401</v>
      </c>
      <c r="AO41" s="12" t="s">
        <v>401</v>
      </c>
      <c r="AP41" s="12"/>
      <c r="AQ41" s="12" t="str">
        <f t="shared" si="6"/>
        <v/>
      </c>
      <c r="AR41" s="12" t="s">
        <v>401</v>
      </c>
      <c r="AS41" s="12" t="str">
        <f t="shared" si="16"/>
        <v/>
      </c>
      <c r="AT41" s="12" t="s">
        <v>401</v>
      </c>
      <c r="AU41" s="12" t="s">
        <v>401</v>
      </c>
      <c r="AV41" s="12"/>
      <c r="AW41" s="12" t="str">
        <f t="shared" si="8"/>
        <v/>
      </c>
      <c r="AX41" s="12" t="s">
        <v>401</v>
      </c>
      <c r="AY41" s="12" t="str">
        <f t="shared" si="17"/>
        <v/>
      </c>
      <c r="AZ41" t="s">
        <v>1</v>
      </c>
      <c r="BA41" s="18" t="s">
        <v>157</v>
      </c>
      <c r="BD41" s="44"/>
    </row>
    <row r="42" spans="1:56" x14ac:dyDescent="0.2">
      <c r="A42" s="21" t="s">
        <v>158</v>
      </c>
      <c r="B42" s="21" t="s">
        <v>158</v>
      </c>
      <c r="C42" s="21" t="s">
        <v>12</v>
      </c>
      <c r="D42" t="s">
        <v>12</v>
      </c>
      <c r="E42" s="5">
        <v>34438000000</v>
      </c>
      <c r="F42" s="5" t="str">
        <f>IF(ISNUMBER(Table1[[#This Row],[2019 Scope 3 ]]),IF(Table1[[#This Row],[Net Earnings/Income (2019)]]-k_cost*Table1[[#This Row],[2019 Total Scope 1, 2 + 3]]&lt;0,"Y","N"),"NA")</f>
        <v>Y</v>
      </c>
      <c r="G42" s="56" t="str">
        <f>IF(ISNUMBER(Table1[[#This Row],[2019 Scope 3 ]]),IF(k_cost*Table1[[#This Row],[2019 Total Scope 1, 2 + 3]]/Table1[[#This Row],[Size (2019 Revenue)]]&gt;k_rev_max,"Y","N"),"NA")</f>
        <v>Y</v>
      </c>
      <c r="H42" s="56" t="str">
        <f>IF(OR(Table1[[#This Row],[Net earnings post carbon price @85/t]]="Y",Table1[[#This Row],[Carbon costs in % revenue]] = "Y"),"Y",IF(OR(Table1[[#This Row],[Net earnings post carbon price @85/t]]="NA",Table1[[#This Row],[Carbon costs in % revenue]]="NA"),"NA","N"))</f>
        <v>Y</v>
      </c>
      <c r="I42" s="5">
        <v>2936000000</v>
      </c>
      <c r="J42" s="9">
        <v>2000</v>
      </c>
      <c r="K42" t="s">
        <v>1</v>
      </c>
      <c r="L42" s="43" t="s">
        <v>0</v>
      </c>
      <c r="M42" s="4" t="s">
        <v>0</v>
      </c>
      <c r="O42" s="4"/>
      <c r="P42" s="4" t="s">
        <v>0</v>
      </c>
      <c r="Q42" s="4" t="s">
        <v>1</v>
      </c>
      <c r="R42" s="4" t="s">
        <v>0</v>
      </c>
      <c r="S42" s="4" t="s">
        <v>0</v>
      </c>
      <c r="T42" s="54">
        <f>IFERROR((Table1[[#This Row],[2019 Total Scope 1, 2 + 3]])/Table1[[#This Row],[2018 Total Scope 1, 2 + Scope 3]]-1,"NA")</f>
        <v>-7.8774224325639186E-2</v>
      </c>
      <c r="U42" s="4"/>
      <c r="V42" s="12">
        <v>9395000</v>
      </c>
      <c r="W42" s="12">
        <v>6103000</v>
      </c>
      <c r="X42" s="12">
        <f>W42-4914000</f>
        <v>1189000</v>
      </c>
      <c r="Y42" s="12">
        <f t="shared" si="10"/>
        <v>14309000</v>
      </c>
      <c r="Z42" s="12">
        <v>180732000</v>
      </c>
      <c r="AA42" s="12">
        <f t="shared" si="11"/>
        <v>195041000</v>
      </c>
      <c r="AB42" s="12">
        <v>9526000</v>
      </c>
      <c r="AC42" s="12">
        <v>6120000</v>
      </c>
      <c r="AD42" s="12">
        <f>AC42-4817000</f>
        <v>1303000</v>
      </c>
      <c r="AE42" s="12">
        <f t="shared" si="12"/>
        <v>14343000</v>
      </c>
      <c r="AF42" s="12">
        <v>197376000</v>
      </c>
      <c r="AG42" s="12">
        <f t="shared" si="13"/>
        <v>211719000</v>
      </c>
      <c r="AH42" s="12">
        <v>10200000</v>
      </c>
      <c r="AI42" s="12">
        <v>6521000</v>
      </c>
      <c r="AJ42" s="12">
        <f>AI42-5037000</f>
        <v>1484000</v>
      </c>
      <c r="AK42" s="12">
        <f t="shared" si="14"/>
        <v>15237000</v>
      </c>
      <c r="AL42" s="12">
        <v>195220000</v>
      </c>
      <c r="AM42" s="12">
        <f t="shared" si="15"/>
        <v>210457000</v>
      </c>
      <c r="AN42" s="12" t="s">
        <v>401</v>
      </c>
      <c r="AO42" s="12" t="s">
        <v>401</v>
      </c>
      <c r="AP42" s="12"/>
      <c r="AQ42" s="12" t="str">
        <f t="shared" si="6"/>
        <v/>
      </c>
      <c r="AR42" s="12" t="s">
        <v>401</v>
      </c>
      <c r="AS42" s="12" t="str">
        <f t="shared" si="16"/>
        <v/>
      </c>
      <c r="AT42" s="12" t="s">
        <v>401</v>
      </c>
      <c r="AU42" s="12" t="s">
        <v>401</v>
      </c>
      <c r="AV42" s="12"/>
      <c r="AW42" s="12" t="str">
        <f t="shared" si="8"/>
        <v/>
      </c>
      <c r="AX42" s="12" t="s">
        <v>401</v>
      </c>
      <c r="AY42" s="12" t="str">
        <f t="shared" si="17"/>
        <v/>
      </c>
      <c r="AZ42" s="4" t="s">
        <v>1</v>
      </c>
      <c r="BA42" s="14" t="s">
        <v>159</v>
      </c>
      <c r="BD42" s="44" t="s">
        <v>488</v>
      </c>
    </row>
    <row r="43" spans="1:56" ht="51" x14ac:dyDescent="0.2">
      <c r="A43" s="21" t="s">
        <v>160</v>
      </c>
      <c r="B43" s="21" t="s">
        <v>160</v>
      </c>
      <c r="C43" s="21" t="s">
        <v>5</v>
      </c>
      <c r="D43" s="4" t="s">
        <v>126</v>
      </c>
      <c r="E43" s="5">
        <v>264938000000</v>
      </c>
      <c r="F43" s="5" t="str">
        <f>IF(ISNUMBER(Table1[[#This Row],[2019 Scope 3 ]]),IF(Table1[[#This Row],[Net Earnings/Income (2019)]]-k_cost*Table1[[#This Row],[2019 Total Scope 1, 2 + 3]]&lt;0,"Y","N"),"NA")</f>
        <v>NA</v>
      </c>
      <c r="G43" s="56" t="str">
        <f>IF(ISNUMBER(Table1[[#This Row],[2019 Scope 3 ]]),IF(k_cost*Table1[[#This Row],[2019 Total Scope 1, 2 + 3]]/Table1[[#This Row],[Size (2019 Revenue)]]&gt;k_rev_max,"Y","N"),"NA")</f>
        <v>NA</v>
      </c>
      <c r="H43" s="56" t="str">
        <f>IF(OR(Table1[[#This Row],[Net earnings post carbon price @85/t]]="Y",Table1[[#This Row],[Carbon costs in % revenue]] = "Y"),"Y",IF(OR(Table1[[#This Row],[Net earnings post carbon price @85/t]]="NA",Table1[[#This Row],[Carbon costs in % revenue]]="NA"),"NA","N"))</f>
        <v>NA</v>
      </c>
      <c r="I43" s="5">
        <v>14340000000</v>
      </c>
      <c r="J43" s="9">
        <v>1870</v>
      </c>
      <c r="K43" t="s">
        <v>1</v>
      </c>
      <c r="L43" s="4" t="s">
        <v>0</v>
      </c>
      <c r="M43" s="4" t="s">
        <v>0</v>
      </c>
      <c r="N43" s="4"/>
      <c r="O43" s="4"/>
      <c r="P43" s="4" t="s">
        <v>0</v>
      </c>
      <c r="Q43" s="4" t="s">
        <v>0</v>
      </c>
      <c r="R43" s="4" t="s">
        <v>0</v>
      </c>
      <c r="S43" s="4" t="s">
        <v>0</v>
      </c>
      <c r="T43" s="54" t="str">
        <f>IFERROR((Table1[[#This Row],[2019 Total Scope 1, 2 + 3]])/Table1[[#This Row],[2018 Total Scope 1, 2 + Scope 3]]-1,"NA")</f>
        <v>NA</v>
      </c>
      <c r="U43" s="4"/>
      <c r="V43" s="12" t="s">
        <v>401</v>
      </c>
      <c r="W43" s="12" t="s">
        <v>401</v>
      </c>
      <c r="X43" s="12"/>
      <c r="Y43" s="12" t="str">
        <f t="shared" si="10"/>
        <v/>
      </c>
      <c r="Z43" s="12" t="s">
        <v>401</v>
      </c>
      <c r="AA43" s="12" t="str">
        <f t="shared" si="11"/>
        <v/>
      </c>
      <c r="AB43" s="12">
        <v>116000000</v>
      </c>
      <c r="AC43" s="12">
        <v>8000000</v>
      </c>
      <c r="AD43" s="12">
        <v>0</v>
      </c>
      <c r="AE43" s="12">
        <f t="shared" si="12"/>
        <v>124000000</v>
      </c>
      <c r="AF43" s="12" t="s">
        <v>401</v>
      </c>
      <c r="AG43" s="12" t="str">
        <f t="shared" si="13"/>
        <v/>
      </c>
      <c r="AH43" s="12">
        <v>115000000</v>
      </c>
      <c r="AI43" s="12">
        <v>8000000</v>
      </c>
      <c r="AJ43" s="12">
        <v>0</v>
      </c>
      <c r="AK43" s="12">
        <f t="shared" si="14"/>
        <v>123000000</v>
      </c>
      <c r="AL43" s="12" t="s">
        <v>401</v>
      </c>
      <c r="AM43" s="12" t="str">
        <f t="shared" si="15"/>
        <v/>
      </c>
      <c r="AN43" s="12" t="s">
        <v>401</v>
      </c>
      <c r="AO43" s="12" t="s">
        <v>401</v>
      </c>
      <c r="AP43" s="12"/>
      <c r="AQ43" s="12">
        <v>125000000</v>
      </c>
      <c r="AR43" s="12" t="s">
        <v>401</v>
      </c>
      <c r="AS43" s="12" t="str">
        <f t="shared" si="16"/>
        <v/>
      </c>
      <c r="AT43" s="12" t="s">
        <v>401</v>
      </c>
      <c r="AU43" s="12" t="s">
        <v>401</v>
      </c>
      <c r="AV43" s="12"/>
      <c r="AW43" s="12">
        <v>122000000</v>
      </c>
      <c r="AX43" s="12" t="s">
        <v>401</v>
      </c>
      <c r="AY43" s="12" t="str">
        <f t="shared" si="17"/>
        <v/>
      </c>
      <c r="AZ43" s="4" t="s">
        <v>1</v>
      </c>
      <c r="BA43" s="14" t="s">
        <v>161</v>
      </c>
      <c r="BD43" s="44"/>
    </row>
    <row r="44" spans="1:56" ht="25.5" x14ac:dyDescent="0.2">
      <c r="A44" s="21" t="s">
        <v>162</v>
      </c>
      <c r="B44" s="21" t="s">
        <v>403</v>
      </c>
      <c r="C44" s="21" t="s">
        <v>2</v>
      </c>
      <c r="D44" s="4" t="s">
        <v>79</v>
      </c>
      <c r="E44" s="5">
        <v>70697000000</v>
      </c>
      <c r="F44" s="5" t="str">
        <f>IF(ISNUMBER(Table1[[#This Row],[2019 Scope 3 ]]),IF(Table1[[#This Row],[Net Earnings/Income (2019)]]-k_cost*Table1[[#This Row],[2019 Total Scope 1, 2 + 3]]&lt;0,"Y","N"),"NA")</f>
        <v>NA</v>
      </c>
      <c r="G44" s="56" t="str">
        <f>IF(ISNUMBER(Table1[[#This Row],[2019 Scope 3 ]]),IF(k_cost*Table1[[#This Row],[2019 Total Scope 1, 2 + 3]]/Table1[[#This Row],[Size (2019 Revenue)]]&gt;k_rev_max,"Y","N"),"NA")</f>
        <v>NA</v>
      </c>
      <c r="H44" s="56" t="str">
        <f>IF(OR(Table1[[#This Row],[Net earnings post carbon price @85/t]]="Y",Table1[[#This Row],[Carbon costs in % revenue]] = "Y"),"Y",IF(OR(Table1[[#This Row],[Net earnings post carbon price @85/t]]="NA",Table1[[#This Row],[Carbon costs in % revenue]]="NA"),"NA","N"))</f>
        <v>NA</v>
      </c>
      <c r="I44" s="5">
        <v>18485000000</v>
      </c>
      <c r="J44" s="9">
        <v>2012</v>
      </c>
      <c r="K44" s="5" t="s">
        <v>1</v>
      </c>
      <c r="L44" s="4" t="s">
        <v>1</v>
      </c>
      <c r="M44" s="4" t="s">
        <v>1</v>
      </c>
      <c r="N44">
        <v>2030</v>
      </c>
      <c r="O44">
        <v>2020</v>
      </c>
      <c r="P44" s="4" t="s">
        <v>0</v>
      </c>
      <c r="Q44" s="4" t="s">
        <v>1</v>
      </c>
      <c r="R44" t="s">
        <v>1</v>
      </c>
      <c r="S44">
        <v>2020</v>
      </c>
      <c r="T44" s="53" t="str">
        <f>IFERROR((Table1[[#This Row],[2019 Total Scope 1, 2 + 3]])/Table1[[#This Row],[2018 Total Scope 1, 2 + Scope 3]]-1,"NA")</f>
        <v>NA</v>
      </c>
      <c r="V44" s="12">
        <v>207000</v>
      </c>
      <c r="W44" s="12">
        <v>44000</v>
      </c>
      <c r="X44" s="12">
        <v>0</v>
      </c>
      <c r="Y44" s="12">
        <f t="shared" si="10"/>
        <v>251000</v>
      </c>
      <c r="Z44" s="12" t="s">
        <v>401</v>
      </c>
      <c r="AA44" s="12" t="str">
        <f t="shared" si="11"/>
        <v/>
      </c>
      <c r="AB44" s="12">
        <v>314000</v>
      </c>
      <c r="AC44" s="12">
        <v>42000</v>
      </c>
      <c r="AD44" s="12">
        <v>0</v>
      </c>
      <c r="AE44" s="12">
        <f t="shared" si="12"/>
        <v>356000</v>
      </c>
      <c r="AF44" s="12" t="s">
        <v>401</v>
      </c>
      <c r="AG44" s="12" t="str">
        <f t="shared" si="13"/>
        <v/>
      </c>
      <c r="AH44" s="12">
        <v>568000</v>
      </c>
      <c r="AI44" s="12">
        <v>48800</v>
      </c>
      <c r="AJ44" s="12">
        <v>0</v>
      </c>
      <c r="AK44" s="12">
        <f t="shared" si="14"/>
        <v>616800</v>
      </c>
      <c r="AL44" s="12" t="s">
        <v>401</v>
      </c>
      <c r="AM44" s="12" t="str">
        <f t="shared" si="15"/>
        <v/>
      </c>
      <c r="AN44" s="12">
        <v>516000</v>
      </c>
      <c r="AO44" s="12">
        <v>39000</v>
      </c>
      <c r="AP44" s="12">
        <v>0</v>
      </c>
      <c r="AQ44" s="12">
        <f t="shared" ref="AQ44:AQ70" si="18">IFERROR(AN44+AO44-AP44,"")</f>
        <v>555000</v>
      </c>
      <c r="AR44" s="12" t="s">
        <v>401</v>
      </c>
      <c r="AS44" s="12" t="str">
        <f t="shared" si="16"/>
        <v/>
      </c>
      <c r="AT44" s="12">
        <v>423000</v>
      </c>
      <c r="AU44" s="12">
        <v>28000</v>
      </c>
      <c r="AV44" s="12">
        <v>0</v>
      </c>
      <c r="AW44" s="12">
        <f t="shared" ref="AW44:AW75" si="19">IFERROR(AT44+AU44-AV44,"")</f>
        <v>451000</v>
      </c>
      <c r="AX44" s="12" t="s">
        <v>401</v>
      </c>
      <c r="AY44" s="12" t="str">
        <f t="shared" si="17"/>
        <v/>
      </c>
      <c r="AZ44" s="4" t="s">
        <v>1</v>
      </c>
      <c r="BA44" s="18" t="s">
        <v>163</v>
      </c>
      <c r="BD44" s="44"/>
    </row>
    <row r="45" spans="1:56" ht="38.25" x14ac:dyDescent="0.2">
      <c r="A45" s="21" t="s">
        <v>164</v>
      </c>
      <c r="B45" s="21" t="s">
        <v>164</v>
      </c>
      <c r="C45" s="21" t="s">
        <v>8</v>
      </c>
      <c r="D45" s="4" t="s">
        <v>165</v>
      </c>
      <c r="E45" s="5">
        <v>69693000000</v>
      </c>
      <c r="F45" s="5" t="str">
        <f>IF(ISNUMBER(Table1[[#This Row],[2019 Scope 3 ]]),IF(Table1[[#This Row],[Net Earnings/Income (2019)]]-k_cost*Table1[[#This Row],[2019 Total Scope 1, 2 + 3]]&lt;0,"Y","N"),"NA")</f>
        <v>Y</v>
      </c>
      <c r="G45" s="56" t="str">
        <f>IF(ISNUMBER(Table1[[#This Row],[2019 Scope 3 ]]),IF(k_cost*Table1[[#This Row],[2019 Total Scope 1, 2 + 3]]/Table1[[#This Row],[Size (2019 Revenue)]]&gt;k_rev_max,"Y","N"),"NA")</f>
        <v>N</v>
      </c>
      <c r="H45" s="56" t="str">
        <f>IF(OR(Table1[[#This Row],[Net earnings post carbon price @85/t]]="Y",Table1[[#This Row],[Carbon costs in % revenue]] = "Y"),"Y",IF(OR(Table1[[#This Row],[Net earnings post carbon price @85/t]]="NA",Table1[[#This Row],[Carbon costs in % revenue]]="NA"),"NA","N"))</f>
        <v>Y</v>
      </c>
      <c r="I45" s="5">
        <v>540000000</v>
      </c>
      <c r="J45" s="9">
        <v>1971</v>
      </c>
      <c r="K45" s="5" t="s">
        <v>1</v>
      </c>
      <c r="L45" s="4" t="s">
        <v>0</v>
      </c>
      <c r="M45" s="4" t="s">
        <v>0</v>
      </c>
      <c r="P45" t="s">
        <v>0</v>
      </c>
      <c r="Q45" t="s">
        <v>0</v>
      </c>
      <c r="R45" t="s">
        <v>0</v>
      </c>
      <c r="S45" t="s">
        <v>0</v>
      </c>
      <c r="T45" s="53">
        <f>IFERROR((Table1[[#This Row],[2019 Total Scope 1, 2 + 3]])/Table1[[#This Row],[2018 Total Scope 1, 2 + Scope 3]]-1,"NA")</f>
        <v>2.5133290245900719E-2</v>
      </c>
      <c r="V45" s="12">
        <v>15406173</v>
      </c>
      <c r="W45" s="12">
        <v>995988</v>
      </c>
      <c r="X45" s="12">
        <v>0</v>
      </c>
      <c r="Y45" s="12">
        <f t="shared" si="10"/>
        <v>16402161</v>
      </c>
      <c r="Z45" s="12">
        <v>3099293</v>
      </c>
      <c r="AA45" s="12">
        <f t="shared" si="11"/>
        <v>19501454</v>
      </c>
      <c r="AB45" s="12">
        <v>15152383</v>
      </c>
      <c r="AC45" s="12">
        <v>1049987</v>
      </c>
      <c r="AD45" s="12">
        <v>0</v>
      </c>
      <c r="AE45" s="12">
        <f t="shared" si="12"/>
        <v>16202370</v>
      </c>
      <c r="AF45" s="12">
        <v>2820965</v>
      </c>
      <c r="AG45" s="12">
        <f t="shared" si="13"/>
        <v>19023335</v>
      </c>
      <c r="AH45" s="12">
        <v>14053599</v>
      </c>
      <c r="AI45" s="12">
        <v>1094109</v>
      </c>
      <c r="AJ45" s="12">
        <v>0</v>
      </c>
      <c r="AK45" s="12">
        <f t="shared" si="14"/>
        <v>15147708</v>
      </c>
      <c r="AL45" s="12">
        <v>2642415</v>
      </c>
      <c r="AM45" s="12">
        <f t="shared" si="15"/>
        <v>17790123</v>
      </c>
      <c r="AN45" s="12">
        <v>13759865</v>
      </c>
      <c r="AO45" s="12">
        <v>958526</v>
      </c>
      <c r="AP45" s="12"/>
      <c r="AQ45" s="12">
        <f t="shared" si="18"/>
        <v>14718391</v>
      </c>
      <c r="AR45" s="12">
        <f>2150216+63944+186515</f>
        <v>2400675</v>
      </c>
      <c r="AS45" s="12">
        <f t="shared" si="16"/>
        <v>17119066</v>
      </c>
      <c r="AT45" s="12">
        <v>13751187</v>
      </c>
      <c r="AU45" s="12">
        <v>970981</v>
      </c>
      <c r="AV45" s="12"/>
      <c r="AW45" s="12">
        <f t="shared" si="19"/>
        <v>14722168</v>
      </c>
      <c r="AX45" s="12">
        <f>2023432+50897</f>
        <v>2074329</v>
      </c>
      <c r="AY45" s="12">
        <f t="shared" si="17"/>
        <v>16796497</v>
      </c>
      <c r="AZ45" s="4" t="s">
        <v>1</v>
      </c>
      <c r="BA45" s="18" t="s">
        <v>166</v>
      </c>
      <c r="BB45" s="30" t="s">
        <v>428</v>
      </c>
      <c r="BD45" s="44"/>
    </row>
    <row r="46" spans="1:56" x14ac:dyDescent="0.2">
      <c r="A46" s="21" t="s">
        <v>167</v>
      </c>
      <c r="B46" s="21" t="s">
        <v>475</v>
      </c>
      <c r="C46" s="32" t="s">
        <v>3</v>
      </c>
      <c r="D46" s="4" t="s">
        <v>168</v>
      </c>
      <c r="E46" s="5">
        <v>155900000000</v>
      </c>
      <c r="F46" s="5" t="str">
        <f>IF(ISNUMBER(Table1[[#This Row],[2019 Scope 3 ]]),IF(Table1[[#This Row],[Net Earnings/Income (2019)]]-k_cost*Table1[[#This Row],[2019 Total Scope 1, 2 + 3]]&lt;0,"Y","N"),"NA")</f>
        <v>Y</v>
      </c>
      <c r="G46" s="56" t="str">
        <f>IF(ISNUMBER(Table1[[#This Row],[2019 Scope 3 ]]),IF(k_cost*Table1[[#This Row],[2019 Total Scope 1, 2 + 3]]/Table1[[#This Row],[Size (2019 Revenue)]]&gt;k_rev_max,"Y","N"),"NA")</f>
        <v>Y</v>
      </c>
      <c r="H46" s="56" t="str">
        <f>IF(OR(Table1[[#This Row],[Net earnings post carbon price @85/t]]="Y",Table1[[#This Row],[Carbon costs in % revenue]] = "Y"),"Y",IF(OR(Table1[[#This Row],[Net earnings post carbon price @85/t]]="NA",Table1[[#This Row],[Carbon costs in % revenue]]="NA"),"NA","N"))</f>
        <v>Y</v>
      </c>
      <c r="I46" s="5">
        <v>47000000</v>
      </c>
      <c r="J46" s="9">
        <v>1956</v>
      </c>
      <c r="K46" s="5" t="s">
        <v>1</v>
      </c>
      <c r="L46" t="s">
        <v>1</v>
      </c>
      <c r="M46" s="4" t="s">
        <v>0</v>
      </c>
      <c r="N46">
        <v>2050</v>
      </c>
      <c r="O46">
        <v>2020</v>
      </c>
      <c r="P46" t="s">
        <v>0</v>
      </c>
      <c r="Q46" t="s">
        <v>0</v>
      </c>
      <c r="R46" t="s">
        <v>1</v>
      </c>
      <c r="S46">
        <v>2035</v>
      </c>
      <c r="T46" s="53">
        <f>IFERROR((Table1[[#This Row],[2019 Total Scope 1, 2 + 3]])/Table1[[#This Row],[2018 Total Scope 1, 2 + Scope 3]]-1,"NA")</f>
        <v>0.34766110090144764</v>
      </c>
      <c r="V46" s="12">
        <v>1451947</v>
      </c>
      <c r="W46" s="12">
        <v>3068182</v>
      </c>
      <c r="X46" s="12"/>
      <c r="Y46" s="12">
        <f t="shared" si="10"/>
        <v>4520129</v>
      </c>
      <c r="Z46" s="12">
        <f>39676648+1280384+1066000+2102900+9297+61306+803387+134760000+1360000+1957800</f>
        <v>183077722</v>
      </c>
      <c r="AA46" s="12">
        <f t="shared" si="11"/>
        <v>187597851</v>
      </c>
      <c r="AB46" s="12">
        <v>1442963</v>
      </c>
      <c r="AC46" s="12">
        <v>3349808</v>
      </c>
      <c r="AD46" s="12">
        <v>0</v>
      </c>
      <c r="AE46" s="12">
        <f t="shared" si="12"/>
        <v>4792771</v>
      </c>
      <c r="AF46" s="12">
        <v>134409771</v>
      </c>
      <c r="AG46" s="12">
        <f t="shared" si="13"/>
        <v>139202542</v>
      </c>
      <c r="AH46" s="12">
        <v>1389740</v>
      </c>
      <c r="AI46" s="12">
        <v>3482444</v>
      </c>
      <c r="AJ46" s="12">
        <v>0</v>
      </c>
      <c r="AK46" s="12">
        <f t="shared" si="14"/>
        <v>4872184</v>
      </c>
      <c r="AL46" s="12" t="s">
        <v>401</v>
      </c>
      <c r="AM46" s="12" t="str">
        <f t="shared" si="15"/>
        <v/>
      </c>
      <c r="AN46" s="12">
        <v>1304409</v>
      </c>
      <c r="AO46" s="12">
        <v>3312936</v>
      </c>
      <c r="AP46" s="12"/>
      <c r="AQ46" s="12">
        <f t="shared" si="18"/>
        <v>4617345</v>
      </c>
      <c r="AR46" s="12">
        <f>13133594+2413+1502980+22295+57192+651750+665461+131000000</f>
        <v>147035685</v>
      </c>
      <c r="AS46" s="12">
        <f t="shared" si="16"/>
        <v>151653030</v>
      </c>
      <c r="AT46" s="12" t="s">
        <v>401</v>
      </c>
      <c r="AU46" s="12" t="s">
        <v>401</v>
      </c>
      <c r="AV46" s="12"/>
      <c r="AW46" s="12" t="str">
        <f t="shared" si="19"/>
        <v/>
      </c>
      <c r="AX46" s="12" t="s">
        <v>401</v>
      </c>
      <c r="AY46" s="12" t="str">
        <f t="shared" si="17"/>
        <v/>
      </c>
      <c r="AZ46" s="3" t="s">
        <v>169</v>
      </c>
      <c r="BA46" s="18" t="s">
        <v>170</v>
      </c>
      <c r="BD46" s="44"/>
    </row>
    <row r="47" spans="1:56" x14ac:dyDescent="0.2">
      <c r="A47" s="21" t="s">
        <v>171</v>
      </c>
      <c r="B47" s="21" t="s">
        <v>171</v>
      </c>
      <c r="C47" s="21" t="s">
        <v>8</v>
      </c>
      <c r="D47" t="s">
        <v>8</v>
      </c>
      <c r="E47" s="5">
        <v>39350000000</v>
      </c>
      <c r="F47" s="5" t="str">
        <f>IF(ISNUMBER(Table1[[#This Row],[2019 Scope 3 ]]),IF(Table1[[#This Row],[Net Earnings/Income (2019)]]-k_cost*Table1[[#This Row],[2019 Total Scope 1, 2 + 3]]&lt;0,"Y","N"),"NA")</f>
        <v>NA</v>
      </c>
      <c r="G47" s="56" t="str">
        <f>IF(ISNUMBER(Table1[[#This Row],[2019 Scope 3 ]]),IF(k_cost*Table1[[#This Row],[2019 Total Scope 1, 2 + 3]]/Table1[[#This Row],[Size (2019 Revenue)]]&gt;k_rev_max,"Y","N"),"NA")</f>
        <v>NA</v>
      </c>
      <c r="H47" s="56" t="str">
        <f>IF(OR(Table1[[#This Row],[Net earnings post carbon price @85/t]]="Y",Table1[[#This Row],[Carbon costs in % revenue]] = "Y"),"Y",IF(OR(Table1[[#This Row],[Net earnings post carbon price @85/t]]="NA",Table1[[#This Row],[Carbon costs in % revenue]]="NA"),"NA","N"))</f>
        <v>NA</v>
      </c>
      <c r="I47" s="5">
        <v>3484000000</v>
      </c>
      <c r="J47" s="9">
        <v>1899</v>
      </c>
      <c r="K47" s="5" t="s">
        <v>1</v>
      </c>
      <c r="L47" t="s">
        <v>0</v>
      </c>
      <c r="M47" s="4" t="s">
        <v>0</v>
      </c>
      <c r="N47" s="4"/>
      <c r="O47" s="4"/>
      <c r="P47" s="4" t="s">
        <v>0</v>
      </c>
      <c r="Q47" s="4" t="s">
        <v>0</v>
      </c>
      <c r="R47" s="4" t="s">
        <v>0</v>
      </c>
      <c r="S47" s="4" t="s">
        <v>0</v>
      </c>
      <c r="T47" s="54" t="str">
        <f>IFERROR((Table1[[#This Row],[2019 Total Scope 1, 2 + 3]])/Table1[[#This Row],[2018 Total Scope 1, 2 + Scope 3]]-1,"NA")</f>
        <v>NA</v>
      </c>
      <c r="U47" s="4"/>
      <c r="V47" s="12">
        <v>317081</v>
      </c>
      <c r="W47" s="12">
        <v>445119</v>
      </c>
      <c r="X47" s="12"/>
      <c r="Y47" s="12">
        <f t="shared" si="10"/>
        <v>762200</v>
      </c>
      <c r="Z47" s="12" t="s">
        <v>401</v>
      </c>
      <c r="AA47" s="12" t="str">
        <f t="shared" si="11"/>
        <v/>
      </c>
      <c r="AB47" s="12">
        <v>306430</v>
      </c>
      <c r="AC47" s="12">
        <v>487731</v>
      </c>
      <c r="AD47" s="12"/>
      <c r="AE47" s="12">
        <f t="shared" si="12"/>
        <v>794161</v>
      </c>
      <c r="AF47" s="12" t="s">
        <v>401</v>
      </c>
      <c r="AG47" s="12" t="str">
        <f t="shared" si="13"/>
        <v/>
      </c>
      <c r="AH47" s="12">
        <v>305836</v>
      </c>
      <c r="AI47" s="12">
        <v>478428</v>
      </c>
      <c r="AJ47" s="12"/>
      <c r="AK47" s="12">
        <f t="shared" si="14"/>
        <v>784264</v>
      </c>
      <c r="AL47" s="12" t="s">
        <v>401</v>
      </c>
      <c r="AM47" s="12" t="str">
        <f t="shared" si="15"/>
        <v/>
      </c>
      <c r="AN47" s="12">
        <v>298276</v>
      </c>
      <c r="AO47" s="12">
        <v>523497</v>
      </c>
      <c r="AP47" s="12"/>
      <c r="AQ47" s="12">
        <f t="shared" si="18"/>
        <v>821773</v>
      </c>
      <c r="AR47" s="12" t="s">
        <v>401</v>
      </c>
      <c r="AS47" s="12" t="str">
        <f t="shared" si="16"/>
        <v/>
      </c>
      <c r="AT47" s="12" t="s">
        <v>401</v>
      </c>
      <c r="AU47" s="12" t="s">
        <v>401</v>
      </c>
      <c r="AV47" s="12"/>
      <c r="AW47" s="12" t="str">
        <f t="shared" si="19"/>
        <v/>
      </c>
      <c r="AX47" s="12" t="s">
        <v>401</v>
      </c>
      <c r="AY47" s="12" t="str">
        <f t="shared" si="17"/>
        <v/>
      </c>
      <c r="AZ47" s="4" t="s">
        <v>0</v>
      </c>
      <c r="BA47" s="18" t="s">
        <v>172</v>
      </c>
      <c r="BD47" s="44"/>
    </row>
    <row r="48" spans="1:56" ht="25.5" x14ac:dyDescent="0.2">
      <c r="A48" s="21" t="s">
        <v>173</v>
      </c>
      <c r="B48" s="21" t="s">
        <v>392</v>
      </c>
      <c r="C48" s="21" t="s">
        <v>8</v>
      </c>
      <c r="D48" s="4" t="s">
        <v>121</v>
      </c>
      <c r="E48" s="5">
        <v>95214000000</v>
      </c>
      <c r="F48" s="5" t="str">
        <f>IF(ISNUMBER(Table1[[#This Row],[2019 Scope 3 ]]),IF(Table1[[#This Row],[Net Earnings/Income (2019)]]-k_cost*Table1[[#This Row],[2019 Total Scope 1, 2 + 3]]&lt;0,"Y","N"),"NA")</f>
        <v>Y</v>
      </c>
      <c r="G48" s="56" t="str">
        <f>IF(ISNUMBER(Table1[[#This Row],[2019 Scope 3 ]]),IF(k_cost*Table1[[#This Row],[2019 Total Scope 1, 2 + 3]]/Table1[[#This Row],[Size (2019 Revenue)]]&gt;k_rev_max,"Y","N"),"NA")</f>
        <v>N</v>
      </c>
      <c r="H48" s="56" t="str">
        <f>IF(OR(Table1[[#This Row],[Net earnings post carbon price @85/t]]="Y",Table1[[#This Row],[Carbon costs in % revenue]] = "Y"),"Y",IF(OR(Table1[[#This Row],[Net earnings post carbon price @85/t]]="NA",Table1[[#This Row],[Carbon costs in % revenue]]="NA"),"NA","N"))</f>
        <v>Y</v>
      </c>
      <c r="I48" s="11">
        <v>-5439000000</v>
      </c>
      <c r="J48" s="9">
        <v>1896</v>
      </c>
      <c r="K48" s="5" t="s">
        <v>1</v>
      </c>
      <c r="L48" t="s">
        <v>0</v>
      </c>
      <c r="M48" s="4" t="s">
        <v>0</v>
      </c>
      <c r="N48" s="4">
        <v>2030</v>
      </c>
      <c r="O48" s="4">
        <v>2020</v>
      </c>
      <c r="P48" s="4" t="s">
        <v>0</v>
      </c>
      <c r="Q48" s="4" t="s">
        <v>0</v>
      </c>
      <c r="R48" s="4" t="s">
        <v>0</v>
      </c>
      <c r="S48" s="4" t="s">
        <v>0</v>
      </c>
      <c r="T48" s="54">
        <f>IFERROR((Table1[[#This Row],[2019 Total Scope 1, 2 + 3]])/Table1[[#This Row],[2018 Total Scope 1, 2 + Scope 3]]-1,"NA")</f>
        <v>-0.40272373540856032</v>
      </c>
      <c r="U48" s="4"/>
      <c r="V48" s="12">
        <v>1000000</v>
      </c>
      <c r="W48" s="12">
        <v>1390000</v>
      </c>
      <c r="X48" s="12"/>
      <c r="Y48" s="12">
        <f t="shared" si="10"/>
        <v>2390000</v>
      </c>
      <c r="Z48" s="12">
        <v>680000</v>
      </c>
      <c r="AA48" s="12">
        <f t="shared" si="11"/>
        <v>3070000</v>
      </c>
      <c r="AB48" s="12">
        <v>1290000</v>
      </c>
      <c r="AC48" s="12">
        <v>1510000</v>
      </c>
      <c r="AD48" s="12">
        <v>0</v>
      </c>
      <c r="AE48" s="12">
        <f t="shared" si="12"/>
        <v>2800000</v>
      </c>
      <c r="AF48" s="12">
        <v>2340000</v>
      </c>
      <c r="AG48" s="12">
        <f t="shared" si="13"/>
        <v>5140000</v>
      </c>
      <c r="AH48" s="12">
        <v>1670000</v>
      </c>
      <c r="AI48" s="12">
        <v>2110000</v>
      </c>
      <c r="AJ48" s="12">
        <v>0</v>
      </c>
      <c r="AK48" s="12">
        <f t="shared" si="14"/>
        <v>3780000</v>
      </c>
      <c r="AL48" s="12">
        <v>2790000</v>
      </c>
      <c r="AM48" s="12">
        <f t="shared" si="15"/>
        <v>6570000</v>
      </c>
      <c r="AN48" s="12">
        <v>1621000</v>
      </c>
      <c r="AO48" s="12">
        <v>2207000</v>
      </c>
      <c r="AP48" s="12"/>
      <c r="AQ48" s="12">
        <f t="shared" si="18"/>
        <v>3828000</v>
      </c>
      <c r="AR48" s="12">
        <f>8000000</f>
        <v>8000000</v>
      </c>
      <c r="AS48" s="12">
        <f t="shared" si="16"/>
        <v>11828000</v>
      </c>
      <c r="AT48" s="12">
        <v>1961000</v>
      </c>
      <c r="AU48" s="12">
        <v>2572000</v>
      </c>
      <c r="AV48" s="12"/>
      <c r="AW48" s="12">
        <f t="shared" si="19"/>
        <v>4533000</v>
      </c>
      <c r="AX48" s="12">
        <f>11500000</f>
        <v>11500000</v>
      </c>
      <c r="AY48" s="12">
        <f t="shared" si="17"/>
        <v>16033000</v>
      </c>
      <c r="AZ48" s="4" t="s">
        <v>1</v>
      </c>
      <c r="BA48" s="14" t="s">
        <v>409</v>
      </c>
      <c r="BB48" s="4" t="s">
        <v>427</v>
      </c>
      <c r="BD48" s="44"/>
    </row>
    <row r="49" spans="1:56" x14ac:dyDescent="0.2">
      <c r="A49" s="21" t="s">
        <v>174</v>
      </c>
      <c r="B49" s="21" t="s">
        <v>393</v>
      </c>
      <c r="C49" s="32" t="s">
        <v>3</v>
      </c>
      <c r="D49" s="4" t="s">
        <v>168</v>
      </c>
      <c r="E49" s="5">
        <v>137237000000</v>
      </c>
      <c r="F49" s="5" t="str">
        <f>IF(ISNUMBER(Table1[[#This Row],[2019 Scope 3 ]]),IF(Table1[[#This Row],[Net Earnings/Income (2019)]]-k_cost*Table1[[#This Row],[2019 Total Scope 1, 2 + 3]]&lt;0,"Y","N"),"NA")</f>
        <v>Y</v>
      </c>
      <c r="G49" s="56" t="str">
        <f>IF(ISNUMBER(Table1[[#This Row],[2019 Scope 3 ]]),IF(k_cost*Table1[[#This Row],[2019 Total Scope 1, 2 + 3]]/Table1[[#This Row],[Size (2019 Revenue)]]&gt;k_rev_max,"Y","N"),"NA")</f>
        <v>Y</v>
      </c>
      <c r="H49" s="56" t="str">
        <f>IF(OR(Table1[[#This Row],[Net earnings post carbon price @85/t]]="Y",Table1[[#This Row],[Carbon costs in % revenue]] = "Y"),"Y",IF(OR(Table1[[#This Row],[Net earnings post carbon price @85/t]]="NA",Table1[[#This Row],[Carbon costs in % revenue]]="NA"),"NA","N"))</f>
        <v>Y</v>
      </c>
      <c r="I49" s="5">
        <v>6581000000</v>
      </c>
      <c r="J49" s="9">
        <v>1908</v>
      </c>
      <c r="K49" s="5" t="s">
        <v>1</v>
      </c>
      <c r="L49" t="s">
        <v>1</v>
      </c>
      <c r="M49" s="4" t="s">
        <v>0</v>
      </c>
      <c r="N49">
        <v>2050</v>
      </c>
      <c r="O49">
        <v>2020</v>
      </c>
      <c r="P49" s="4" t="s">
        <v>0</v>
      </c>
      <c r="Q49" s="4" t="s">
        <v>0</v>
      </c>
      <c r="R49" t="s">
        <v>1</v>
      </c>
      <c r="S49">
        <v>2040</v>
      </c>
      <c r="T49" s="53">
        <f>IFERROR((Table1[[#This Row],[2019 Total Scope 1, 2 + 3]])/Table1[[#This Row],[2018 Total Scope 1, 2 + Scope 3]]-1,"NA")</f>
        <v>-5.8947427211291425E-2</v>
      </c>
      <c r="V49" s="12">
        <v>1589700</v>
      </c>
      <c r="W49" s="12">
        <v>3721875</v>
      </c>
      <c r="X49" s="12">
        <v>0</v>
      </c>
      <c r="Y49" s="12">
        <f t="shared" si="10"/>
        <v>5311575</v>
      </c>
      <c r="Z49" s="12">
        <v>249384317</v>
      </c>
      <c r="AA49" s="12">
        <f t="shared" si="11"/>
        <v>254695892</v>
      </c>
      <c r="AB49" s="12">
        <v>1763555</v>
      </c>
      <c r="AC49" s="12">
        <v>4322761</v>
      </c>
      <c r="AD49" s="12">
        <v>0</v>
      </c>
      <c r="AE49" s="12">
        <f t="shared" si="12"/>
        <v>6086316</v>
      </c>
      <c r="AF49" s="12">
        <v>264563698</v>
      </c>
      <c r="AG49" s="12">
        <f t="shared" si="13"/>
        <v>270650014</v>
      </c>
      <c r="AH49" s="12">
        <v>1848804</v>
      </c>
      <c r="AI49" s="12">
        <v>4302887</v>
      </c>
      <c r="AJ49" s="12"/>
      <c r="AK49" s="12">
        <f t="shared" si="14"/>
        <v>6151691</v>
      </c>
      <c r="AL49" s="12">
        <v>286310319</v>
      </c>
      <c r="AM49" s="12">
        <f t="shared" si="15"/>
        <v>292462010</v>
      </c>
      <c r="AN49" s="12">
        <v>1815001</v>
      </c>
      <c r="AO49" s="12">
        <v>5095809</v>
      </c>
      <c r="AP49" s="12"/>
      <c r="AQ49" s="12">
        <f t="shared" si="18"/>
        <v>6910810</v>
      </c>
      <c r="AR49" s="12">
        <v>320911918</v>
      </c>
      <c r="AS49" s="12">
        <f t="shared" si="16"/>
        <v>327822728</v>
      </c>
      <c r="AT49" s="12">
        <v>1863495</v>
      </c>
      <c r="AU49" s="12">
        <v>4763994</v>
      </c>
      <c r="AV49" s="12"/>
      <c r="AW49" s="12">
        <f t="shared" si="19"/>
        <v>6627489</v>
      </c>
      <c r="AX49" s="12" t="s">
        <v>401</v>
      </c>
      <c r="AY49" s="12" t="str">
        <f t="shared" si="17"/>
        <v/>
      </c>
      <c r="AZ49" s="4" t="s">
        <v>1</v>
      </c>
      <c r="BD49" s="44"/>
    </row>
    <row r="50" spans="1:56" ht="25.5" x14ac:dyDescent="0.2">
      <c r="A50" s="21" t="s">
        <v>175</v>
      </c>
      <c r="B50" s="21" t="s">
        <v>398</v>
      </c>
      <c r="C50" s="32" t="s">
        <v>7</v>
      </c>
      <c r="D50" s="4" t="s">
        <v>69</v>
      </c>
      <c r="E50" s="5">
        <v>22449000000</v>
      </c>
      <c r="F50" s="5" t="str">
        <f>IF(ISNUMBER(Table1[[#This Row],[2019 Scope 3 ]]),IF(Table1[[#This Row],[Net Earnings/Income (2019)]]-k_cost*Table1[[#This Row],[2019 Total Scope 1, 2 + 3]]&lt;0,"Y","N"),"NA")</f>
        <v>N</v>
      </c>
      <c r="G50" s="56" t="str">
        <f>IF(ISNUMBER(Table1[[#This Row],[2019 Scope 3 ]]),IF(k_cost*Table1[[#This Row],[2019 Total Scope 1, 2 + 3]]/Table1[[#This Row],[Size (2019 Revenue)]]&gt;k_rev_max,"Y","N"),"NA")</f>
        <v>N</v>
      </c>
      <c r="H50" s="56" t="str">
        <f>IF(OR(Table1[[#This Row],[Net earnings post carbon price @85/t]]="Y",Table1[[#This Row],[Carbon costs in % revenue]] = "Y"),"Y",IF(OR(Table1[[#This Row],[Net earnings post carbon price @85/t]]="NA",Table1[[#This Row],[Carbon costs in % revenue]]="NA"),"NA","N"))</f>
        <v>N</v>
      </c>
      <c r="I50" s="5">
        <v>5386000000</v>
      </c>
      <c r="J50" s="9">
        <v>1992</v>
      </c>
      <c r="K50" s="5" t="s">
        <v>1</v>
      </c>
      <c r="L50" t="s">
        <v>0</v>
      </c>
      <c r="M50" s="4" t="s">
        <v>0</v>
      </c>
      <c r="P50">
        <v>69620</v>
      </c>
      <c r="Q50" s="4" t="s">
        <v>0</v>
      </c>
      <c r="R50" s="4" t="s">
        <v>0</v>
      </c>
      <c r="S50" s="4" t="s">
        <v>0</v>
      </c>
      <c r="T50" s="54">
        <f>IFERROR((Table1[[#This Row],[2019 Total Scope 1, 2 + 3]])/Table1[[#This Row],[2018 Total Scope 1, 2 + Scope 3]]-1,"NA")</f>
        <v>9.3790114716576518</v>
      </c>
      <c r="U50" s="4"/>
      <c r="V50" s="12">
        <v>52019</v>
      </c>
      <c r="W50" s="12">
        <v>21716</v>
      </c>
      <c r="X50" s="12"/>
      <c r="Y50" s="12">
        <f t="shared" si="10"/>
        <v>73735</v>
      </c>
      <c r="Z50" s="12">
        <f>1229479+95700+25250+17003+4810+40399+23656</f>
        <v>1436297</v>
      </c>
      <c r="AA50" s="12">
        <f t="shared" si="11"/>
        <v>1510032</v>
      </c>
      <c r="AB50" s="12">
        <v>47256</v>
      </c>
      <c r="AC50" s="12">
        <v>26647</v>
      </c>
      <c r="AD50" s="12"/>
      <c r="AE50" s="12">
        <f t="shared" si="12"/>
        <v>73903</v>
      </c>
      <c r="AF50" s="12">
        <f>22519+10881+38186</f>
        <v>71586</v>
      </c>
      <c r="AG50" s="12">
        <f t="shared" si="13"/>
        <v>145489</v>
      </c>
      <c r="AH50" s="12">
        <v>46330</v>
      </c>
      <c r="AI50" s="12">
        <v>46217</v>
      </c>
      <c r="AJ50" s="12">
        <v>0</v>
      </c>
      <c r="AK50" s="12">
        <f t="shared" si="14"/>
        <v>92547</v>
      </c>
      <c r="AL50" s="12">
        <v>33056</v>
      </c>
      <c r="AM50" s="12">
        <f t="shared" si="15"/>
        <v>125603</v>
      </c>
      <c r="AN50" s="12">
        <v>44531</v>
      </c>
      <c r="AO50" s="12">
        <v>48296</v>
      </c>
      <c r="AP50" s="12">
        <v>0</v>
      </c>
      <c r="AQ50" s="12">
        <f t="shared" si="18"/>
        <v>92827</v>
      </c>
      <c r="AR50" s="12">
        <v>32003</v>
      </c>
      <c r="AS50" s="12">
        <f t="shared" si="16"/>
        <v>124830</v>
      </c>
      <c r="AT50" s="12" t="s">
        <v>401</v>
      </c>
      <c r="AU50" s="12" t="s">
        <v>401</v>
      </c>
      <c r="AV50" s="12"/>
      <c r="AW50" s="12" t="str">
        <f t="shared" si="19"/>
        <v/>
      </c>
      <c r="AX50" s="12" t="s">
        <v>401</v>
      </c>
      <c r="AY50" s="12" t="str">
        <f t="shared" si="17"/>
        <v/>
      </c>
      <c r="AZ50" s="4" t="s">
        <v>0</v>
      </c>
      <c r="BA50" s="18" t="s">
        <v>176</v>
      </c>
      <c r="BD50" s="44"/>
    </row>
    <row r="51" spans="1:56" ht="114.75" x14ac:dyDescent="0.2">
      <c r="A51" s="21" t="s">
        <v>177</v>
      </c>
      <c r="B51" s="21" t="s">
        <v>464</v>
      </c>
      <c r="C51" s="32" t="s">
        <v>6</v>
      </c>
      <c r="D51" s="4" t="s">
        <v>109</v>
      </c>
      <c r="E51" s="5">
        <v>36546000000</v>
      </c>
      <c r="F51" s="5" t="str">
        <f>IF(ISNUMBER(Table1[[#This Row],[2019 Scope 3 ]]),IF(Table1[[#This Row],[Net Earnings/Income (2019)]]-k_cost*Table1[[#This Row],[2019 Total Scope 1, 2 + 3]]&lt;0,"Y","N"),"NA")</f>
        <v>N</v>
      </c>
      <c r="G51" s="56" t="str">
        <f>IF(ISNUMBER(Table1[[#This Row],[2019 Scope 3 ]]),IF(k_cost*Table1[[#This Row],[2019 Total Scope 1, 2 + 3]]/Table1[[#This Row],[Size (2019 Revenue)]]&gt;k_rev_max,"Y","N"),"NA")</f>
        <v>N</v>
      </c>
      <c r="H51" s="56" t="str">
        <f>IF(OR(Table1[[#This Row],[Net earnings post carbon price @85/t]]="Y",Table1[[#This Row],[Carbon costs in % revenue]] = "Y"),"Y",IF(OR(Table1[[#This Row],[Net earnings post carbon price @85/t]]="NA",Table1[[#This Row],[Carbon costs in % revenue]]="NA"),"NA","N"))</f>
        <v>N</v>
      </c>
      <c r="I51" s="5">
        <v>8470000000</v>
      </c>
      <c r="J51" s="9">
        <v>1999</v>
      </c>
      <c r="K51" s="5" t="s">
        <v>1</v>
      </c>
      <c r="L51" t="s">
        <v>1</v>
      </c>
      <c r="M51" t="s">
        <v>0</v>
      </c>
      <c r="N51">
        <v>2015</v>
      </c>
      <c r="O51">
        <v>2009</v>
      </c>
      <c r="Q51" t="s">
        <v>1</v>
      </c>
      <c r="R51" t="s">
        <v>1</v>
      </c>
      <c r="S51">
        <v>2020</v>
      </c>
      <c r="T51" s="53">
        <f>IFERROR((Table1[[#This Row],[2019 Total Scope 1, 2 + 3]])/Table1[[#This Row],[2018 Total Scope 1, 2 + Scope 3]]-1,"NA")</f>
        <v>-6.2518629800527026E-2</v>
      </c>
      <c r="V51" s="12">
        <v>12673</v>
      </c>
      <c r="W51" s="12">
        <v>9109</v>
      </c>
      <c r="X51" s="12">
        <v>0</v>
      </c>
      <c r="Y51" s="12">
        <f t="shared" si="10"/>
        <v>21782</v>
      </c>
      <c r="Z51" s="12">
        <v>135473</v>
      </c>
      <c r="AA51" s="12">
        <f t="shared" si="11"/>
        <v>157255</v>
      </c>
      <c r="AB51" s="12">
        <v>11565</v>
      </c>
      <c r="AC51" s="12">
        <v>16284</v>
      </c>
      <c r="AD51" s="12"/>
      <c r="AE51" s="12">
        <f t="shared" si="12"/>
        <v>27849</v>
      </c>
      <c r="AF51" s="12">
        <v>139893</v>
      </c>
      <c r="AG51" s="12">
        <f t="shared" si="13"/>
        <v>167742</v>
      </c>
      <c r="AH51" s="12">
        <v>11231</v>
      </c>
      <c r="AI51" s="12">
        <v>18410</v>
      </c>
      <c r="AJ51" s="12"/>
      <c r="AK51" s="12">
        <f t="shared" si="14"/>
        <v>29641</v>
      </c>
      <c r="AL51" s="12">
        <v>120001</v>
      </c>
      <c r="AM51" s="12">
        <f t="shared" si="15"/>
        <v>149642</v>
      </c>
      <c r="AN51" s="12">
        <v>11520</v>
      </c>
      <c r="AO51" s="12">
        <v>34179</v>
      </c>
      <c r="AP51" s="12"/>
      <c r="AQ51" s="12">
        <f t="shared" si="18"/>
        <v>45699</v>
      </c>
      <c r="AR51" s="12">
        <v>102266</v>
      </c>
      <c r="AS51" s="12">
        <f t="shared" si="16"/>
        <v>147965</v>
      </c>
      <c r="AT51" s="12">
        <v>11900</v>
      </c>
      <c r="AU51" s="12">
        <v>51690</v>
      </c>
      <c r="AV51" s="12"/>
      <c r="AW51" s="12">
        <f t="shared" si="19"/>
        <v>63590</v>
      </c>
      <c r="AX51" s="12">
        <v>148918</v>
      </c>
      <c r="AY51" s="12">
        <f t="shared" si="17"/>
        <v>212508</v>
      </c>
      <c r="AZ51" s="30" t="s">
        <v>1</v>
      </c>
      <c r="BA51" s="14" t="s">
        <v>178</v>
      </c>
      <c r="BB51" s="4" t="s">
        <v>427</v>
      </c>
      <c r="BC51" s="3" t="s">
        <v>179</v>
      </c>
      <c r="BD51" s="44"/>
    </row>
    <row r="52" spans="1:56" ht="165.75" x14ac:dyDescent="0.2">
      <c r="A52" s="21" t="s">
        <v>180</v>
      </c>
      <c r="B52" s="21" t="s">
        <v>180</v>
      </c>
      <c r="C52" s="32" t="s">
        <v>3</v>
      </c>
      <c r="D52" s="4" t="s">
        <v>85</v>
      </c>
      <c r="E52" s="11">
        <v>110200000000</v>
      </c>
      <c r="F52" s="5" t="str">
        <f>IF(ISNUMBER(Table1[[#This Row],[2019 Scope 3 ]]),IF(Table1[[#This Row],[Net Earnings/Income (2019)]]-k_cost*Table1[[#This Row],[2019 Total Scope 1, 2 + 3]]&lt;0,"Y","N"),"NA")</f>
        <v>Y</v>
      </c>
      <c r="G52" s="56" t="str">
        <f>IF(ISNUMBER(Table1[[#This Row],[2019 Scope 3 ]]),IF(k_cost*Table1[[#This Row],[2019 Total Scope 1, 2 + 3]]/Table1[[#This Row],[Size (2019 Revenue)]]&gt;k_rev_max,"Y","N"),"NA")</f>
        <v>Y</v>
      </c>
      <c r="H52" s="56" t="str">
        <f>IF(OR(Table1[[#This Row],[Net earnings post carbon price @85/t]]="Y",Table1[[#This Row],[Carbon costs in % revenue]] = "Y"),"Y",IF(OR(Table1[[#This Row],[Net earnings post carbon price @85/t]]="NA",Table1[[#This Row],[Carbon costs in % revenue]]="NA"),"NA","N"))</f>
        <v>Y</v>
      </c>
      <c r="I52" s="11">
        <v>11240000000</v>
      </c>
      <c r="J52" s="10">
        <v>1981</v>
      </c>
      <c r="K52" t="s">
        <v>1</v>
      </c>
      <c r="L52" t="s">
        <v>0</v>
      </c>
      <c r="M52" s="3" t="s">
        <v>0</v>
      </c>
      <c r="P52" s="3" t="s">
        <v>181</v>
      </c>
      <c r="Q52" t="s">
        <v>0</v>
      </c>
      <c r="R52" t="s">
        <v>0</v>
      </c>
      <c r="S52" s="4" t="s">
        <v>0</v>
      </c>
      <c r="T52" s="54">
        <f>IFERROR((Table1[[#This Row],[2019 Total Scope 1, 2 + 3]])/Table1[[#This Row],[2018 Total Scope 1, 2 + Scope 3]]-1,"NA")</f>
        <v>-0.35458591999082634</v>
      </c>
      <c r="U52" s="4"/>
      <c r="V52" s="12">
        <v>554317</v>
      </c>
      <c r="W52" s="12">
        <v>1302648</v>
      </c>
      <c r="X52" s="12"/>
      <c r="Y52" s="12">
        <f t="shared" si="10"/>
        <v>1856965</v>
      </c>
      <c r="Z52" s="12">
        <f>44487507+420000+2665080+564400+156500611</f>
        <v>204637598</v>
      </c>
      <c r="AA52" s="12">
        <f t="shared" si="11"/>
        <v>206494563</v>
      </c>
      <c r="AB52" s="12">
        <v>516246</v>
      </c>
      <c r="AC52" s="12">
        <v>1549876</v>
      </c>
      <c r="AD52" s="12"/>
      <c r="AE52" s="12">
        <f t="shared" si="12"/>
        <v>2066122</v>
      </c>
      <c r="AF52" s="12">
        <f>54000000+440000+2865590+569500+260000000</f>
        <v>317875090</v>
      </c>
      <c r="AG52" s="12">
        <f t="shared" si="13"/>
        <v>319941212</v>
      </c>
      <c r="AH52" s="12">
        <v>433633</v>
      </c>
      <c r="AI52" s="12">
        <v>1681640</v>
      </c>
      <c r="AJ52" s="12"/>
      <c r="AK52" s="12">
        <f t="shared" si="14"/>
        <v>2115273</v>
      </c>
      <c r="AL52" s="12">
        <v>3791806</v>
      </c>
      <c r="AM52" s="12">
        <f t="shared" si="15"/>
        <v>5907079</v>
      </c>
      <c r="AN52" s="12">
        <v>438335</v>
      </c>
      <c r="AO52" s="12">
        <v>1906283</v>
      </c>
      <c r="AP52" s="12"/>
      <c r="AQ52" s="12">
        <f t="shared" si="18"/>
        <v>2344618</v>
      </c>
      <c r="AR52" s="12">
        <v>2293060</v>
      </c>
      <c r="AS52" s="12">
        <f t="shared" si="16"/>
        <v>4637678</v>
      </c>
      <c r="AT52" s="12">
        <v>388664</v>
      </c>
      <c r="AU52" s="12">
        <v>2249712</v>
      </c>
      <c r="AV52" s="12"/>
      <c r="AW52" s="12">
        <f t="shared" si="19"/>
        <v>2638376</v>
      </c>
      <c r="AX52" s="12">
        <v>2133972</v>
      </c>
      <c r="AY52" s="12">
        <f t="shared" si="17"/>
        <v>4772348</v>
      </c>
      <c r="AZ52" t="s">
        <v>0</v>
      </c>
      <c r="BA52" s="18" t="s">
        <v>182</v>
      </c>
      <c r="BC52" s="3" t="s">
        <v>183</v>
      </c>
      <c r="BD52" s="44"/>
    </row>
    <row r="53" spans="1:56" ht="165.75" x14ac:dyDescent="0.2">
      <c r="A53" s="21" t="s">
        <v>184</v>
      </c>
      <c r="B53" s="21" t="s">
        <v>446</v>
      </c>
      <c r="C53" s="21" t="s">
        <v>8</v>
      </c>
      <c r="D53" s="4" t="s">
        <v>121</v>
      </c>
      <c r="E53" s="11">
        <v>36709000000</v>
      </c>
      <c r="F53" s="5" t="str">
        <f>IF(ISNUMBER(Table1[[#This Row],[2019 Scope 3 ]]),IF(Table1[[#This Row],[Net Earnings/Income (2019)]]-k_cost*Table1[[#This Row],[2019 Total Scope 1, 2 + 3]]&lt;0,"Y","N"),"NA")</f>
        <v>N</v>
      </c>
      <c r="G53" s="56" t="str">
        <f>IF(ISNUMBER(Table1[[#This Row],[2019 Scope 3 ]]),IF(k_cost*Table1[[#This Row],[2019 Total Scope 1, 2 + 3]]/Table1[[#This Row],[Size (2019 Revenue)]]&gt;k_rev_max,"Y","N"),"NA")</f>
        <v>N</v>
      </c>
      <c r="H53" s="56" t="str">
        <f>IF(OR(Table1[[#This Row],[Net earnings post carbon price @85/t]]="Y",Table1[[#This Row],[Carbon costs in % revenue]] = "Y"),"Y",IF(OR(Table1[[#This Row],[Net earnings post carbon price @85/t]]="NA",Table1[[#This Row],[Carbon costs in % revenue]]="NA"),"NA","N"))</f>
        <v>N</v>
      </c>
      <c r="I53" s="11">
        <v>6143000000</v>
      </c>
      <c r="K53" t="s">
        <v>1</v>
      </c>
      <c r="L53" t="s">
        <v>0</v>
      </c>
      <c r="M53" t="s">
        <v>0</v>
      </c>
      <c r="P53" s="3" t="s">
        <v>185</v>
      </c>
      <c r="Q53" t="s">
        <v>0</v>
      </c>
      <c r="R53" t="s">
        <v>0</v>
      </c>
      <c r="S53" s="4" t="s">
        <v>0</v>
      </c>
      <c r="T53" s="54">
        <f>IFERROR((Table1[[#This Row],[2019 Total Scope 1, 2 + 3]])/Table1[[#This Row],[2018 Total Scope 1, 2 + Scope 3]]-1,"NA")</f>
        <v>-5.9343161738182992E-2</v>
      </c>
      <c r="U53" s="4"/>
      <c r="V53" s="12">
        <v>1090649</v>
      </c>
      <c r="W53" s="12">
        <v>933484</v>
      </c>
      <c r="X53" s="12"/>
      <c r="Y53" s="12">
        <f t="shared" si="10"/>
        <v>2024133</v>
      </c>
      <c r="Z53" s="12">
        <f>16976983+518408+306478+163207+104444+17530</f>
        <v>18087050</v>
      </c>
      <c r="AA53" s="12">
        <f t="shared" si="11"/>
        <v>20111183</v>
      </c>
      <c r="AB53" s="12">
        <v>1479149</v>
      </c>
      <c r="AC53" s="12">
        <v>1036941</v>
      </c>
      <c r="AD53" s="12"/>
      <c r="AE53" s="12">
        <f t="shared" si="12"/>
        <v>2516090</v>
      </c>
      <c r="AF53" s="12">
        <f>17689014+504252+336382+173925+147869+12404</f>
        <v>18863846</v>
      </c>
      <c r="AG53" s="12">
        <f t="shared" si="13"/>
        <v>21379936</v>
      </c>
      <c r="AH53" s="12">
        <v>1355420</v>
      </c>
      <c r="AI53" s="12">
        <v>1228457</v>
      </c>
      <c r="AJ53" s="12"/>
      <c r="AK53" s="12">
        <f t="shared" si="14"/>
        <v>2583877</v>
      </c>
      <c r="AL53" s="12" t="s">
        <v>401</v>
      </c>
      <c r="AM53" s="12" t="str">
        <f t="shared" si="15"/>
        <v/>
      </c>
      <c r="AN53" s="12">
        <v>2699554</v>
      </c>
      <c r="AO53" s="12">
        <v>1518875</v>
      </c>
      <c r="AP53" s="12"/>
      <c r="AQ53" s="12">
        <f t="shared" si="18"/>
        <v>4218429</v>
      </c>
      <c r="AR53" s="12" t="s">
        <v>401</v>
      </c>
      <c r="AS53" s="12" t="str">
        <f t="shared" si="16"/>
        <v/>
      </c>
      <c r="AT53" s="12">
        <v>3526031</v>
      </c>
      <c r="AU53" s="12">
        <v>1736106</v>
      </c>
      <c r="AV53" s="12"/>
      <c r="AW53" s="12">
        <f t="shared" si="19"/>
        <v>5262137</v>
      </c>
      <c r="AX53" s="12" t="s">
        <v>401</v>
      </c>
      <c r="AY53" s="12" t="str">
        <f t="shared" si="17"/>
        <v/>
      </c>
      <c r="AZ53" t="s">
        <v>0</v>
      </c>
      <c r="BA53" s="3" t="s">
        <v>186</v>
      </c>
      <c r="BC53" s="3" t="s">
        <v>187</v>
      </c>
      <c r="BD53" s="44"/>
    </row>
    <row r="54" spans="1:56" ht="89.25" x14ac:dyDescent="0.2">
      <c r="A54" s="21" t="s">
        <v>188</v>
      </c>
      <c r="B54" s="21" t="s">
        <v>470</v>
      </c>
      <c r="C54" s="21" t="s">
        <v>11</v>
      </c>
      <c r="D54" s="4" t="s">
        <v>72</v>
      </c>
      <c r="E54" s="11">
        <v>77140000000</v>
      </c>
      <c r="F54" s="5" t="str">
        <f>IF(ISNUMBER(Table1[[#This Row],[2019 Scope 3 ]]),IF(Table1[[#This Row],[Net Earnings/Income (2019)]]-k_cost*Table1[[#This Row],[2019 Total Scope 1, 2 + 3]]&lt;0,"Y","N"),"NA")</f>
        <v>N</v>
      </c>
      <c r="G54" s="56" t="str">
        <f>IF(ISNUMBER(Table1[[#This Row],[2019 Scope 3 ]]),IF(k_cost*Table1[[#This Row],[2019 Total Scope 1, 2 + 3]]/Table1[[#This Row],[Size (2019 Revenue)]]&gt;k_rev_max,"Y","N"),"NA")</f>
        <v>N</v>
      </c>
      <c r="H54" s="56" t="str">
        <f>IF(OR(Table1[[#This Row],[Net earnings post carbon price @85/t]]="Y",Table1[[#This Row],[Carbon costs in % revenue]] = "Y"),"Y",IF(OR(Table1[[#This Row],[Net earnings post carbon price @85/t]]="NA",Table1[[#This Row],[Carbon costs in % revenue]]="NA"),"NA","N"))</f>
        <v>N</v>
      </c>
      <c r="I54" s="11">
        <v>9430000000</v>
      </c>
      <c r="J54" s="10">
        <v>1911</v>
      </c>
      <c r="K54" t="s">
        <v>1</v>
      </c>
      <c r="L54" t="s">
        <v>0</v>
      </c>
      <c r="M54" t="s">
        <v>0</v>
      </c>
      <c r="P54" s="3" t="s">
        <v>189</v>
      </c>
      <c r="R54" t="s">
        <v>0</v>
      </c>
      <c r="S54" t="s">
        <v>190</v>
      </c>
      <c r="T54" s="53">
        <f>IFERROR((Table1[[#This Row],[2019 Total Scope 1, 2 + 3]])/Table1[[#This Row],[2018 Total Scope 1, 2 + Scope 3]]-1,"NA")</f>
        <v>-0.13922680118079112</v>
      </c>
      <c r="V54" s="12">
        <v>114640</v>
      </c>
      <c r="W54" s="12">
        <v>822616</v>
      </c>
      <c r="X54" s="12"/>
      <c r="Y54" s="12">
        <f t="shared" si="10"/>
        <v>937256</v>
      </c>
      <c r="Z54" s="12">
        <v>1158416</v>
      </c>
      <c r="AA54" s="12">
        <f t="shared" si="11"/>
        <v>2095672</v>
      </c>
      <c r="AB54" s="12">
        <v>124633</v>
      </c>
      <c r="AC54" s="12">
        <v>963304</v>
      </c>
      <c r="AD54" s="12"/>
      <c r="AE54" s="12">
        <f t="shared" si="12"/>
        <v>1087937</v>
      </c>
      <c r="AF54" s="12">
        <f>329409+39017+458090+122800+397386</f>
        <v>1346702</v>
      </c>
      <c r="AG54" s="12">
        <f t="shared" si="13"/>
        <v>2434639</v>
      </c>
      <c r="AH54" s="12">
        <f>84000+40700</f>
        <v>124700</v>
      </c>
      <c r="AI54" s="12">
        <v>1077000</v>
      </c>
      <c r="AJ54" s="12"/>
      <c r="AK54" s="12">
        <f t="shared" si="14"/>
        <v>1201700</v>
      </c>
      <c r="AL54" s="12" t="s">
        <v>401</v>
      </c>
      <c r="AM54" s="12" t="str">
        <f t="shared" si="15"/>
        <v/>
      </c>
      <c r="AN54" s="12">
        <f>91000+42300</f>
        <v>133300</v>
      </c>
      <c r="AO54" s="12">
        <v>1156000</v>
      </c>
      <c r="AP54" s="12"/>
      <c r="AQ54" s="12">
        <f t="shared" si="18"/>
        <v>1289300</v>
      </c>
      <c r="AR54" s="12" t="s">
        <v>401</v>
      </c>
      <c r="AS54" s="12" t="str">
        <f t="shared" si="16"/>
        <v/>
      </c>
      <c r="AT54" s="12">
        <v>354046</v>
      </c>
      <c r="AU54" s="12">
        <v>1433456</v>
      </c>
      <c r="AV54" s="12"/>
      <c r="AW54" s="12">
        <f t="shared" si="19"/>
        <v>1787502</v>
      </c>
      <c r="AX54" s="12" t="s">
        <v>401</v>
      </c>
      <c r="AY54" s="12" t="str">
        <f t="shared" si="17"/>
        <v/>
      </c>
      <c r="AZ54" t="s">
        <v>0</v>
      </c>
      <c r="BA54" s="3" t="s">
        <v>191</v>
      </c>
      <c r="BC54" s="3" t="s">
        <v>192</v>
      </c>
      <c r="BD54" s="44"/>
    </row>
    <row r="55" spans="1:56" ht="191.25" x14ac:dyDescent="0.2">
      <c r="A55" s="21" t="s">
        <v>193</v>
      </c>
      <c r="B55" s="21" t="s">
        <v>443</v>
      </c>
      <c r="C55" s="21" t="s">
        <v>11</v>
      </c>
      <c r="D55" s="32" t="s">
        <v>96</v>
      </c>
      <c r="E55" s="11">
        <v>71900000000</v>
      </c>
      <c r="F55" s="5" t="str">
        <f>IF(ISNUMBER(Table1[[#This Row],[2019 Scope 3 ]]),IF(Table1[[#This Row],[Net Earnings/Income (2019)]]-k_cost*Table1[[#This Row],[2019 Total Scope 1, 2 + 3]]&lt;0,"Y","N"),"NA")</f>
        <v>N</v>
      </c>
      <c r="G55" s="56" t="str">
        <f>IF(ISNUMBER(Table1[[#This Row],[2019 Scope 3 ]]),IF(k_cost*Table1[[#This Row],[2019 Total Scope 1, 2 + 3]]/Table1[[#This Row],[Size (2019 Revenue)]]&gt;k_rev_max,"Y","N"),"NA")</f>
        <v>N</v>
      </c>
      <c r="H55" s="56" t="str">
        <f>IF(OR(Table1[[#This Row],[Net earnings post carbon price @85/t]]="Y",Table1[[#This Row],[Carbon costs in % revenue]] = "Y"),"Y",IF(OR(Table1[[#This Row],[Net earnings post carbon price @85/t]]="NA",Table1[[#This Row],[Carbon costs in % revenue]]="NA"),"NA","N"))</f>
        <v>N</v>
      </c>
      <c r="I55" s="11">
        <v>21000000000</v>
      </c>
      <c r="J55" s="10">
        <v>1971</v>
      </c>
      <c r="K55" t="s">
        <v>1</v>
      </c>
      <c r="L55" t="s">
        <v>0</v>
      </c>
      <c r="M55" t="s">
        <v>0</v>
      </c>
      <c r="P55" s="3" t="s">
        <v>194</v>
      </c>
      <c r="Q55" t="s">
        <v>0</v>
      </c>
      <c r="R55" t="s">
        <v>0</v>
      </c>
      <c r="S55">
        <v>2030</v>
      </c>
      <c r="T55" s="53">
        <f>IFERROR((Table1[[#This Row],[2019 Total Scope 1, 2 + 3]])/Table1[[#This Row],[2018 Total Scope 1, 2 + Scope 3]]-1,"NA")</f>
        <v>-1.8126246975421312E-2</v>
      </c>
      <c r="V55" s="12">
        <v>1489000</v>
      </c>
      <c r="W55" s="12">
        <v>1299000</v>
      </c>
      <c r="X55" s="12"/>
      <c r="Y55" s="12">
        <f t="shared" si="10"/>
        <v>2788000</v>
      </c>
      <c r="Z55" s="12">
        <v>20342000</v>
      </c>
      <c r="AA55" s="12">
        <f t="shared" si="11"/>
        <v>23130000</v>
      </c>
      <c r="AB55" s="12">
        <v>1458000</v>
      </c>
      <c r="AC55" s="12">
        <v>1120000</v>
      </c>
      <c r="AD55" s="12"/>
      <c r="AE55" s="12">
        <f t="shared" si="12"/>
        <v>2578000</v>
      </c>
      <c r="AF55" s="12">
        <v>20979000</v>
      </c>
      <c r="AG55" s="12">
        <f t="shared" si="13"/>
        <v>23557000</v>
      </c>
      <c r="AH55" s="12">
        <v>1490000</v>
      </c>
      <c r="AI55" s="12">
        <v>971000</v>
      </c>
      <c r="AJ55" s="12"/>
      <c r="AK55" s="12">
        <f t="shared" si="14"/>
        <v>2461000</v>
      </c>
      <c r="AL55" s="12">
        <v>12320000</v>
      </c>
      <c r="AM55" s="12">
        <f t="shared" si="15"/>
        <v>14781000</v>
      </c>
      <c r="AN55" s="12">
        <v>976000</v>
      </c>
      <c r="AO55" s="12">
        <v>647000</v>
      </c>
      <c r="AP55" s="12"/>
      <c r="AQ55" s="12">
        <f t="shared" si="18"/>
        <v>1623000</v>
      </c>
      <c r="AR55" s="12">
        <v>2740000</v>
      </c>
      <c r="AS55" s="12">
        <f t="shared" si="16"/>
        <v>4363000</v>
      </c>
      <c r="AT55" s="12">
        <v>1050000</v>
      </c>
      <c r="AU55" s="12">
        <v>950000</v>
      </c>
      <c r="AV55" s="12"/>
      <c r="AW55" s="12">
        <f t="shared" si="19"/>
        <v>2000000</v>
      </c>
      <c r="AX55" s="12">
        <v>1562000</v>
      </c>
      <c r="AY55" s="12">
        <f t="shared" si="17"/>
        <v>3562000</v>
      </c>
      <c r="AZ55" s="30" t="s">
        <v>1</v>
      </c>
      <c r="BA55" s="30" t="s">
        <v>195</v>
      </c>
      <c r="BC55" s="3" t="s">
        <v>196</v>
      </c>
      <c r="BD55" s="44"/>
    </row>
    <row r="56" spans="1:56" ht="178.5" x14ac:dyDescent="0.2">
      <c r="A56" s="21" t="s">
        <v>197</v>
      </c>
      <c r="B56" s="21" t="s">
        <v>481</v>
      </c>
      <c r="C56" s="21" t="s">
        <v>7</v>
      </c>
      <c r="D56" s="4" t="s">
        <v>69</v>
      </c>
      <c r="E56" s="5">
        <v>82060000000</v>
      </c>
      <c r="F56" s="5" t="str">
        <f>IF(ISNUMBER(Table1[[#This Row],[2019 Scope 3 ]]),IF(Table1[[#This Row],[Net Earnings/Income (2019)]]-k_cost*Table1[[#This Row],[2019 Total Scope 1, 2 + 3]]&lt;0,"Y","N"),"NA")</f>
        <v>N</v>
      </c>
      <c r="G56" s="56" t="str">
        <f>IF(ISNUMBER(Table1[[#This Row],[2019 Scope 3 ]]),IF(k_cost*Table1[[#This Row],[2019 Total Scope 1, 2 + 3]]/Table1[[#This Row],[Size (2019 Revenue)]]&gt;k_rev_max,"Y","N"),"NA")</f>
        <v>N</v>
      </c>
      <c r="H56" s="56" t="str">
        <f>IF(OR(Table1[[#This Row],[Net earnings post carbon price @85/t]]="Y",Table1[[#This Row],[Carbon costs in % revenue]] = "Y"),"Y",IF(OR(Table1[[#This Row],[Net earnings post carbon price @85/t]]="NA",Table1[[#This Row],[Carbon costs in % revenue]]="NA"),"NA","N"))</f>
        <v>N</v>
      </c>
      <c r="I56" s="5">
        <v>15120000000</v>
      </c>
      <c r="J56" s="9">
        <v>1944</v>
      </c>
      <c r="K56" s="5" t="s">
        <v>1</v>
      </c>
      <c r="L56" t="s">
        <v>0</v>
      </c>
      <c r="M56" t="s">
        <v>0</v>
      </c>
      <c r="P56" s="3" t="s">
        <v>198</v>
      </c>
      <c r="Q56" t="s">
        <v>0</v>
      </c>
      <c r="R56" t="s">
        <v>1</v>
      </c>
      <c r="S56">
        <v>2050</v>
      </c>
      <c r="T56" s="53">
        <f>IFERROR((Table1[[#This Row],[2019 Total Scope 1, 2 + 3]])/Table1[[#This Row],[2018 Total Scope 1, 2 + Scope 3]]-1,"NA")</f>
        <v>2.8367999165437752E-2</v>
      </c>
      <c r="V56" s="12">
        <v>415094</v>
      </c>
      <c r="W56" s="12">
        <v>518542</v>
      </c>
      <c r="X56" s="12"/>
      <c r="Y56" s="12">
        <f t="shared" si="10"/>
        <v>933636</v>
      </c>
      <c r="Z56" s="12">
        <v>20300054</v>
      </c>
      <c r="AA56" s="12">
        <f t="shared" si="11"/>
        <v>21233690</v>
      </c>
      <c r="AB56" s="12">
        <v>452407</v>
      </c>
      <c r="AC56" s="12">
        <v>583361</v>
      </c>
      <c r="AD56" s="12"/>
      <c r="AE56" s="12">
        <f t="shared" si="12"/>
        <v>1035768</v>
      </c>
      <c r="AF56" s="12">
        <v>19612181</v>
      </c>
      <c r="AG56" s="12">
        <f t="shared" si="13"/>
        <v>20647949</v>
      </c>
      <c r="AH56" s="12">
        <v>474497</v>
      </c>
      <c r="AI56" s="12">
        <v>639323</v>
      </c>
      <c r="AJ56" s="12"/>
      <c r="AK56" s="12">
        <f t="shared" si="14"/>
        <v>1113820</v>
      </c>
      <c r="AL56" s="12">
        <v>17988490</v>
      </c>
      <c r="AM56" s="12">
        <f t="shared" si="15"/>
        <v>19102310</v>
      </c>
      <c r="AN56" s="12">
        <v>463622</v>
      </c>
      <c r="AO56" s="12">
        <v>694257</v>
      </c>
      <c r="AP56" s="12"/>
      <c r="AQ56" s="12">
        <f t="shared" si="18"/>
        <v>1157879</v>
      </c>
      <c r="AR56" s="12">
        <v>284901</v>
      </c>
      <c r="AS56" s="12">
        <f t="shared" si="16"/>
        <v>1442780</v>
      </c>
      <c r="AT56" s="12">
        <v>449078</v>
      </c>
      <c r="AU56" s="12">
        <v>724819</v>
      </c>
      <c r="AV56" s="12"/>
      <c r="AW56" s="12">
        <f t="shared" si="19"/>
        <v>1173897</v>
      </c>
      <c r="AX56" s="12">
        <v>353974</v>
      </c>
      <c r="AY56" s="12">
        <f t="shared" si="17"/>
        <v>1527871</v>
      </c>
      <c r="AZ56" t="s">
        <v>1</v>
      </c>
      <c r="BA56" s="3" t="s">
        <v>199</v>
      </c>
      <c r="BB56" s="30" t="s">
        <v>429</v>
      </c>
      <c r="BC56" s="3" t="s">
        <v>200</v>
      </c>
      <c r="BD56" s="44"/>
    </row>
    <row r="57" spans="1:56" ht="114.75" x14ac:dyDescent="0.2">
      <c r="A57" s="21" t="s">
        <v>201</v>
      </c>
      <c r="B57" s="21" t="s">
        <v>472</v>
      </c>
      <c r="C57" s="21" t="s">
        <v>6</v>
      </c>
      <c r="D57" s="4" t="s">
        <v>103</v>
      </c>
      <c r="E57" s="5">
        <v>115600000000</v>
      </c>
      <c r="F57" s="5" t="str">
        <f>IF(ISNUMBER(Table1[[#This Row],[2019 Scope 3 ]]),IF(Table1[[#This Row],[Net Earnings/Income (2019)]]-k_cost*Table1[[#This Row],[2019 Total Scope 1, 2 + 3]]&lt;0,"Y","N"),"NA")</f>
        <v>N</v>
      </c>
      <c r="G57" s="56" t="str">
        <f>IF(ISNUMBER(Table1[[#This Row],[2019 Scope 3 ]]),IF(k_cost*Table1[[#This Row],[2019 Total Scope 1, 2 + 3]]/Table1[[#This Row],[Size (2019 Revenue)]]&gt;k_rev_max,"Y","N"),"NA")</f>
        <v>N</v>
      </c>
      <c r="H57" s="56" t="str">
        <f>IF(OR(Table1[[#This Row],[Net earnings post carbon price @85/t]]="Y",Table1[[#This Row],[Carbon costs in % revenue]] = "Y"),"Y",IF(OR(Table1[[#This Row],[Net earnings post carbon price @85/t]]="NA",Table1[[#This Row],[Carbon costs in % revenue]]="NA"),"NA","N"))</f>
        <v>N</v>
      </c>
      <c r="I57" s="5">
        <v>36430000000</v>
      </c>
      <c r="J57" s="9">
        <v>1940</v>
      </c>
      <c r="K57" s="5" t="s">
        <v>1</v>
      </c>
      <c r="L57" t="s">
        <v>0</v>
      </c>
      <c r="M57" t="s">
        <v>0</v>
      </c>
      <c r="Q57" t="s">
        <v>1</v>
      </c>
      <c r="R57" t="s">
        <v>1</v>
      </c>
      <c r="S57">
        <v>2020</v>
      </c>
      <c r="T57" s="53">
        <f>IFERROR((Table1[[#This Row],[2019 Total Scope 1, 2 + 3]])/Table1[[#This Row],[2018 Total Scope 1, 2 + Scope 3]]-1,"NA")</f>
        <v>-1.5300821142865351E-2</v>
      </c>
      <c r="V57" s="12">
        <v>81655</v>
      </c>
      <c r="W57" s="12">
        <v>556142</v>
      </c>
      <c r="X57" s="12"/>
      <c r="Y57" s="12">
        <f t="shared" si="10"/>
        <v>637797</v>
      </c>
      <c r="Z57" s="12">
        <v>181004</v>
      </c>
      <c r="AA57" s="12">
        <f t="shared" si="11"/>
        <v>818801</v>
      </c>
      <c r="AB57" s="12">
        <v>83101</v>
      </c>
      <c r="AC57" s="12">
        <v>572067</v>
      </c>
      <c r="AD57" s="12"/>
      <c r="AE57" s="12">
        <f t="shared" si="12"/>
        <v>655168</v>
      </c>
      <c r="AF57" s="12">
        <v>176356</v>
      </c>
      <c r="AG57" s="12">
        <f t="shared" si="13"/>
        <v>831524</v>
      </c>
      <c r="AH57" s="12">
        <v>78229</v>
      </c>
      <c r="AI57" s="12">
        <v>596843</v>
      </c>
      <c r="AJ57" s="12"/>
      <c r="AK57" s="12">
        <f t="shared" si="14"/>
        <v>675072</v>
      </c>
      <c r="AL57" s="12">
        <v>187020</v>
      </c>
      <c r="AM57" s="12">
        <f t="shared" si="15"/>
        <v>862092</v>
      </c>
      <c r="AN57" s="12">
        <v>79556</v>
      </c>
      <c r="AO57" s="12">
        <v>780710</v>
      </c>
      <c r="AP57" s="12"/>
      <c r="AQ57" s="12">
        <f t="shared" si="18"/>
        <v>860266</v>
      </c>
      <c r="AR57" s="12">
        <v>130430</v>
      </c>
      <c r="AS57" s="12">
        <f t="shared" si="16"/>
        <v>990696</v>
      </c>
      <c r="AT57" s="12">
        <v>82525</v>
      </c>
      <c r="AU57" s="12">
        <v>844403</v>
      </c>
      <c r="AV57" s="12"/>
      <c r="AW57" s="12">
        <f t="shared" si="19"/>
        <v>926928</v>
      </c>
      <c r="AX57" s="12">
        <v>138878</v>
      </c>
      <c r="AY57" s="12">
        <f t="shared" si="17"/>
        <v>1065806</v>
      </c>
      <c r="AZ57" s="30" t="s">
        <v>1</v>
      </c>
      <c r="BA57" s="14" t="s">
        <v>202</v>
      </c>
      <c r="BB57" s="4" t="s">
        <v>430</v>
      </c>
      <c r="BC57" s="3" t="s">
        <v>203</v>
      </c>
      <c r="BD57" s="44"/>
    </row>
    <row r="58" spans="1:56" ht="38.25" x14ac:dyDescent="0.2">
      <c r="A58" s="21" t="s">
        <v>204</v>
      </c>
      <c r="B58" s="21" t="s">
        <v>399</v>
      </c>
      <c r="C58" s="32" t="s">
        <v>5</v>
      </c>
      <c r="D58" s="4" t="s">
        <v>126</v>
      </c>
      <c r="E58" s="5">
        <v>13209000000</v>
      </c>
      <c r="F58" s="5" t="str">
        <f>IF(ISNUMBER(Table1[[#This Row],[2019 Scope 3 ]]),IF(Table1[[#This Row],[Net Earnings/Income (2019)]]-k_cost*Table1[[#This Row],[2019 Total Scope 1, 2 + 3]]&lt;0,"Y","N"),"NA")</f>
        <v>NA</v>
      </c>
      <c r="G58" s="56" t="str">
        <f>IF(ISNUMBER(Table1[[#This Row],[2019 Scope 3 ]]),IF(k_cost*Table1[[#This Row],[2019 Total Scope 1, 2 + 3]]/Table1[[#This Row],[Size (2019 Revenue)]]&gt;k_rev_max,"Y","N"),"NA")</f>
        <v>NA</v>
      </c>
      <c r="H58" s="56" t="str">
        <f>IF(OR(Table1[[#This Row],[Net earnings post carbon price @85/t]]="Y",Table1[[#This Row],[Carbon costs in % revenue]] = "Y"),"Y",IF(OR(Table1[[#This Row],[Net earnings post carbon price @85/t]]="NA",Table1[[#This Row],[Carbon costs in % revenue]]="NA"),"NA","N"))</f>
        <v>NA</v>
      </c>
      <c r="I58" s="5">
        <v>2190000000</v>
      </c>
      <c r="J58" s="9">
        <v>2011</v>
      </c>
      <c r="K58" s="5" t="s">
        <v>1</v>
      </c>
      <c r="L58" t="s">
        <v>0</v>
      </c>
      <c r="M58" t="s">
        <v>0</v>
      </c>
      <c r="Q58" t="s">
        <v>1</v>
      </c>
      <c r="R58" t="s">
        <v>0</v>
      </c>
      <c r="T58" s="53" t="str">
        <f>IFERROR((Table1[[#This Row],[2019 Total Scope 1, 2 + 3]])/Table1[[#This Row],[2018 Total Scope 1, 2 + Scope 3]]-1,"NA")</f>
        <v>NA</v>
      </c>
      <c r="V58" s="12" t="s">
        <v>401</v>
      </c>
      <c r="W58" s="12" t="s">
        <v>401</v>
      </c>
      <c r="X58" s="12"/>
      <c r="Y58" s="12" t="str">
        <f t="shared" si="10"/>
        <v/>
      </c>
      <c r="Z58" s="12" t="s">
        <v>401</v>
      </c>
      <c r="AA58" s="12" t="str">
        <f t="shared" si="11"/>
        <v/>
      </c>
      <c r="AB58" s="12" t="s">
        <v>401</v>
      </c>
      <c r="AC58" s="12" t="s">
        <v>401</v>
      </c>
      <c r="AD58" s="12"/>
      <c r="AE58" s="12" t="str">
        <f t="shared" si="12"/>
        <v/>
      </c>
      <c r="AF58" s="12" t="s">
        <v>401</v>
      </c>
      <c r="AG58" s="12" t="str">
        <f t="shared" si="13"/>
        <v/>
      </c>
      <c r="AH58" s="12" t="s">
        <v>401</v>
      </c>
      <c r="AI58" s="12" t="s">
        <v>401</v>
      </c>
      <c r="AJ58" s="12"/>
      <c r="AK58" s="12" t="str">
        <f t="shared" si="14"/>
        <v/>
      </c>
      <c r="AL58" s="12" t="s">
        <v>401</v>
      </c>
      <c r="AM58" s="12" t="str">
        <f t="shared" si="15"/>
        <v/>
      </c>
      <c r="AN58" s="12" t="s">
        <v>401</v>
      </c>
      <c r="AO58" s="12" t="s">
        <v>401</v>
      </c>
      <c r="AP58" s="12"/>
      <c r="AQ58" s="12" t="str">
        <f t="shared" si="18"/>
        <v/>
      </c>
      <c r="AR58" s="12" t="s">
        <v>401</v>
      </c>
      <c r="AS58" s="12" t="str">
        <f t="shared" si="16"/>
        <v/>
      </c>
      <c r="AT58" s="12" t="s">
        <v>401</v>
      </c>
      <c r="AU58" s="12" t="s">
        <v>401</v>
      </c>
      <c r="AV58" s="12"/>
      <c r="AW58" s="12" t="str">
        <f t="shared" si="19"/>
        <v/>
      </c>
      <c r="AX58" s="12" t="s">
        <v>401</v>
      </c>
      <c r="AY58" s="12" t="str">
        <f t="shared" si="17"/>
        <v/>
      </c>
      <c r="AZ58" s="19" t="s">
        <v>0</v>
      </c>
      <c r="BA58" s="3" t="s">
        <v>205</v>
      </c>
      <c r="BB58" s="3" t="s">
        <v>206</v>
      </c>
      <c r="BC58" s="3" t="s">
        <v>207</v>
      </c>
      <c r="BD58" s="44"/>
    </row>
    <row r="59" spans="1:56" ht="127.5" x14ac:dyDescent="0.2">
      <c r="A59" s="21" t="s">
        <v>208</v>
      </c>
      <c r="B59" s="21" t="s">
        <v>450</v>
      </c>
      <c r="C59" s="21" t="s">
        <v>4</v>
      </c>
      <c r="D59" s="4" t="s">
        <v>133</v>
      </c>
      <c r="E59" s="5">
        <v>24970000000</v>
      </c>
      <c r="F59" s="5" t="str">
        <f>IF(ISNUMBER(Table1[[#This Row],[2019 Scope 3 ]]),IF(Table1[[#This Row],[Net Earnings/Income (2019)]]-k_cost*Table1[[#This Row],[2019 Total Scope 1, 2 + 3]]&lt;0,"Y","N"),"NA")</f>
        <v>Y</v>
      </c>
      <c r="G59" s="56" t="str">
        <f>IF(ISNUMBER(Table1[[#This Row],[2019 Scope 3 ]]),IF(k_cost*Table1[[#This Row],[2019 Total Scope 1, 2 + 3]]/Table1[[#This Row],[Size (2019 Revenue)]]&gt;k_rev_max,"Y","N"),"NA")</f>
        <v>Y</v>
      </c>
      <c r="H59" s="56" t="str">
        <f>IF(OR(Table1[[#This Row],[Net earnings post carbon price @85/t]]="Y",Table1[[#This Row],[Carbon costs in % revenue]] = "Y"),"Y",IF(OR(Table1[[#This Row],[Net earnings post carbon price @85/t]]="NA",Table1[[#This Row],[Carbon costs in % revenue]]="NA"),"NA","N"))</f>
        <v>Y</v>
      </c>
      <c r="I59" s="5">
        <v>1935000000</v>
      </c>
      <c r="J59" s="9">
        <v>2001</v>
      </c>
      <c r="K59" s="5" t="s">
        <v>1</v>
      </c>
      <c r="L59" t="s">
        <v>0</v>
      </c>
      <c r="M59" t="s">
        <v>1</v>
      </c>
      <c r="R59" s="51" t="s">
        <v>0</v>
      </c>
      <c r="T59" s="53">
        <f>IFERROR((Table1[[#This Row],[2019 Total Scope 1, 2 + 3]])/Table1[[#This Row],[2018 Total Scope 1, 2 + Scope 3]]-1,"NA")</f>
        <v>1.4574204005638469E-2</v>
      </c>
      <c r="V59" s="12">
        <v>649256</v>
      </c>
      <c r="W59" s="12">
        <v>773066</v>
      </c>
      <c r="X59" s="12"/>
      <c r="Y59" s="12">
        <f t="shared" si="10"/>
        <v>1422322</v>
      </c>
      <c r="Z59" s="12">
        <f>18282750.168+397603.648+717228.775+1366415.404+52106.122+18988.075+105896.625+1307392.304+1029151.785</f>
        <v>23277532.905999999</v>
      </c>
      <c r="AA59" s="12">
        <f t="shared" si="11"/>
        <v>24699854.905999999</v>
      </c>
      <c r="AB59" s="12">
        <v>649256</v>
      </c>
      <c r="AC59" s="12">
        <v>773066</v>
      </c>
      <c r="AD59" s="12"/>
      <c r="AE59" s="12">
        <f t="shared" si="12"/>
        <v>1422322</v>
      </c>
      <c r="AF59" s="12">
        <f>18010670.91+436667.62+685766.14+1444101+50550.66+19031.77+108758.7+1150017.93+1017158.52</f>
        <v>22922723.25</v>
      </c>
      <c r="AG59" s="12">
        <f t="shared" si="13"/>
        <v>24345045.25</v>
      </c>
      <c r="AH59" s="12">
        <v>709692</v>
      </c>
      <c r="AI59" s="12">
        <v>765557</v>
      </c>
      <c r="AJ59" s="12"/>
      <c r="AK59" s="12">
        <f t="shared" si="14"/>
        <v>1475249</v>
      </c>
      <c r="AL59" s="12">
        <f>16751871.94+739999.79+1352970.13+191539.38+49063.7+18587.51+189896.51+1203705.71+970000+51440.68</f>
        <v>21519075.350000001</v>
      </c>
      <c r="AM59" s="12">
        <f t="shared" si="15"/>
        <v>22994324.350000001</v>
      </c>
      <c r="AN59" s="12">
        <v>742200</v>
      </c>
      <c r="AO59" s="12">
        <v>800400</v>
      </c>
      <c r="AP59" s="12"/>
      <c r="AQ59" s="12">
        <f t="shared" si="18"/>
        <v>1542600</v>
      </c>
      <c r="AR59" s="12">
        <f>21674146+732601+1402638+855051+392623+19182+188691+1236974+63352</f>
        <v>26565258</v>
      </c>
      <c r="AS59" s="12">
        <f t="shared" si="16"/>
        <v>28107858</v>
      </c>
      <c r="AT59" s="12">
        <v>769761</v>
      </c>
      <c r="AU59" s="12">
        <v>804156</v>
      </c>
      <c r="AV59" s="12"/>
      <c r="AW59" s="12">
        <f t="shared" si="19"/>
        <v>1573917</v>
      </c>
      <c r="AX59" s="12"/>
      <c r="AY59" s="12">
        <f t="shared" si="17"/>
        <v>1573917</v>
      </c>
      <c r="BA59" s="3" t="s">
        <v>209</v>
      </c>
      <c r="BB59" s="30" t="s">
        <v>431</v>
      </c>
      <c r="BC59" s="3" t="s">
        <v>210</v>
      </c>
      <c r="BD59" s="44" t="s">
        <v>498</v>
      </c>
    </row>
    <row r="60" spans="1:56" ht="280.5" x14ac:dyDescent="0.2">
      <c r="A60" s="21" t="s">
        <v>211</v>
      </c>
      <c r="B60" s="21" t="s">
        <v>471</v>
      </c>
      <c r="C60" s="21" t="s">
        <v>8</v>
      </c>
      <c r="D60" s="4" t="s">
        <v>112</v>
      </c>
      <c r="E60" s="11">
        <v>59810000000</v>
      </c>
      <c r="F60" s="5" t="str">
        <f>IF(ISNUMBER(Table1[[#This Row],[2019 Scope 3 ]]),IF(Table1[[#This Row],[Net Earnings/Income (2019)]]-k_cost*Table1[[#This Row],[2019 Total Scope 1, 2 + 3]]&lt;0,"Y","N"),"NA")</f>
        <v>N</v>
      </c>
      <c r="G60" s="56" t="str">
        <f>IF(ISNUMBER(Table1[[#This Row],[2019 Scope 3 ]]),IF(k_cost*Table1[[#This Row],[2019 Total Scope 1, 2 + 3]]/Table1[[#This Row],[Size (2019 Revenue)]]&gt;k_rev_max,"Y","N"),"NA")</f>
        <v>N</v>
      </c>
      <c r="H60" s="56" t="str">
        <f>IF(OR(Table1[[#This Row],[Net earnings post carbon price @85/t]]="Y",Table1[[#This Row],[Carbon costs in % revenue]] = "Y"),"Y",IF(OR(Table1[[#This Row],[Net earnings post carbon price @85/t]]="NA",Table1[[#This Row],[Carbon costs in % revenue]]="NA"),"NA","N"))</f>
        <v>N</v>
      </c>
      <c r="I60" s="11">
        <v>6230000000</v>
      </c>
      <c r="J60" s="10" t="s">
        <v>212</v>
      </c>
      <c r="K60" t="s">
        <v>1</v>
      </c>
      <c r="L60" t="s">
        <v>0</v>
      </c>
      <c r="M60" t="s">
        <v>0</v>
      </c>
      <c r="P60" s="3" t="s">
        <v>213</v>
      </c>
      <c r="R60" t="s">
        <v>0</v>
      </c>
      <c r="T60" s="53">
        <f>IFERROR((Table1[[#This Row],[2019 Total Scope 1, 2 + 3]])/Table1[[#This Row],[2018 Total Scope 1, 2 + Scope 3]]-1,"NA")</f>
        <v>-4.6581908610587863E-4</v>
      </c>
      <c r="V60" s="12">
        <v>305362</v>
      </c>
      <c r="W60" s="12">
        <v>466073</v>
      </c>
      <c r="X60" s="12"/>
      <c r="Y60" s="12">
        <f t="shared" si="10"/>
        <v>771435</v>
      </c>
      <c r="Z60" s="12">
        <v>30584500</v>
      </c>
      <c r="AA60" s="12">
        <f t="shared" si="11"/>
        <v>31355935</v>
      </c>
      <c r="AB60" s="12">
        <v>291782</v>
      </c>
      <c r="AC60" s="12">
        <v>527766</v>
      </c>
      <c r="AD60" s="12"/>
      <c r="AE60" s="12">
        <f t="shared" si="12"/>
        <v>819548</v>
      </c>
      <c r="AF60" s="12">
        <v>30551000</v>
      </c>
      <c r="AG60" s="12">
        <f t="shared" si="13"/>
        <v>31370548</v>
      </c>
      <c r="AH60" s="12">
        <v>291523</v>
      </c>
      <c r="AI60" s="12">
        <v>552851</v>
      </c>
      <c r="AJ60" s="12"/>
      <c r="AK60" s="12">
        <f t="shared" si="14"/>
        <v>844374</v>
      </c>
      <c r="AL60" s="12">
        <v>30605000</v>
      </c>
      <c r="AM60" s="12">
        <f t="shared" si="15"/>
        <v>31449374</v>
      </c>
      <c r="AN60" s="12">
        <v>302679</v>
      </c>
      <c r="AO60" s="12">
        <f>804245-302679</f>
        <v>501566</v>
      </c>
      <c r="AP60" s="12"/>
      <c r="AQ60" s="12">
        <f t="shared" si="18"/>
        <v>804245</v>
      </c>
      <c r="AR60" s="12"/>
      <c r="AS60" s="12">
        <f t="shared" si="16"/>
        <v>804245</v>
      </c>
      <c r="AT60" s="12" t="s">
        <v>0</v>
      </c>
      <c r="AU60" s="12" t="s">
        <v>0</v>
      </c>
      <c r="AV60" s="12" t="s">
        <v>0</v>
      </c>
      <c r="AW60" s="12" t="str">
        <f t="shared" si="19"/>
        <v/>
      </c>
      <c r="AX60" s="12" t="s">
        <v>0</v>
      </c>
      <c r="AY60" s="12" t="str">
        <f t="shared" si="17"/>
        <v/>
      </c>
      <c r="AZ60" t="s">
        <v>0</v>
      </c>
      <c r="BA60" s="18" t="s">
        <v>214</v>
      </c>
      <c r="BB60" s="3" t="s">
        <v>215</v>
      </c>
      <c r="BC60" s="3" t="s">
        <v>216</v>
      </c>
      <c r="BD60" s="44"/>
    </row>
    <row r="61" spans="1:56" ht="127.5" x14ac:dyDescent="0.2">
      <c r="A61" s="21" t="s">
        <v>217</v>
      </c>
      <c r="B61" s="21" t="s">
        <v>476</v>
      </c>
      <c r="C61" s="21" t="s">
        <v>3</v>
      </c>
      <c r="D61" s="4" t="s">
        <v>85</v>
      </c>
      <c r="E61" s="11">
        <v>71300000000</v>
      </c>
      <c r="F61" s="5" t="str">
        <f>IF(ISNUMBER(Table1[[#This Row],[2019 Scope 3 ]]),IF(Table1[[#This Row],[Net Earnings/Income (2019)]]-k_cost*Table1[[#This Row],[2019 Total Scope 1, 2 + 3]]&lt;0,"Y","N"),"NA")</f>
        <v>Y</v>
      </c>
      <c r="G61" s="56" t="str">
        <f>IF(ISNUMBER(Table1[[#This Row],[2019 Scope 3 ]]),IF(k_cost*Table1[[#This Row],[2019 Total Scope 1, 2 + 3]]/Table1[[#This Row],[Size (2019 Revenue)]]&gt;k_rev_max,"Y","N"),"NA")</f>
        <v>Y</v>
      </c>
      <c r="H61" s="56" t="str">
        <f>IF(OR(Table1[[#This Row],[Net earnings post carbon price @85/t]]="Y",Table1[[#This Row],[Carbon costs in % revenue]] = "Y"),"Y",IF(OR(Table1[[#This Row],[Net earnings post carbon price @85/t]]="NA",Table1[[#This Row],[Carbon costs in % revenue]]="NA"),"NA","N"))</f>
        <v>Y</v>
      </c>
      <c r="I61" s="11">
        <v>2307000000</v>
      </c>
      <c r="J61" s="10">
        <v>1961</v>
      </c>
      <c r="K61" t="s">
        <v>1</v>
      </c>
      <c r="L61" t="s">
        <v>0</v>
      </c>
      <c r="M61" t="s">
        <v>0</v>
      </c>
      <c r="P61" s="3" t="s">
        <v>218</v>
      </c>
      <c r="R61" t="s">
        <v>0</v>
      </c>
      <c r="T61" s="53">
        <f>IFERROR((Table1[[#This Row],[2019 Total Scope 1, 2 + 3]])/Table1[[#This Row],[2018 Total Scope 1, 2 + Scope 3]]-1,"NA")</f>
        <v>-0.63554886222942319</v>
      </c>
      <c r="V61" s="12">
        <v>484737</v>
      </c>
      <c r="W61" s="12">
        <v>1623768</v>
      </c>
      <c r="X61" s="12"/>
      <c r="Y61" s="12">
        <f t="shared" si="10"/>
        <v>2108505</v>
      </c>
      <c r="Z61" s="12">
        <f>426134+10700+123208225.78</f>
        <v>123645059.78</v>
      </c>
      <c r="AA61" s="12">
        <f t="shared" si="11"/>
        <v>125753564.78</v>
      </c>
      <c r="AB61" s="12">
        <v>473689</v>
      </c>
      <c r="AC61" s="12">
        <v>1932514</v>
      </c>
      <c r="AD61" s="12"/>
      <c r="AE61" s="12">
        <f t="shared" si="12"/>
        <v>2406203</v>
      </c>
      <c r="AF61" s="12">
        <f>463300+342179673</f>
        <v>342642973</v>
      </c>
      <c r="AG61" s="12">
        <f t="shared" si="13"/>
        <v>345049176</v>
      </c>
      <c r="AH61" s="12">
        <v>400000</v>
      </c>
      <c r="AI61" s="12">
        <v>2022000</v>
      </c>
      <c r="AJ61" s="12"/>
      <c r="AK61" s="12">
        <f t="shared" si="14"/>
        <v>2422000</v>
      </c>
      <c r="AL61" s="12" t="s">
        <v>401</v>
      </c>
      <c r="AM61" s="12" t="str">
        <f t="shared" si="15"/>
        <v/>
      </c>
      <c r="AN61" s="12">
        <v>354000</v>
      </c>
      <c r="AO61" s="12">
        <v>2054000</v>
      </c>
      <c r="AP61" s="12"/>
      <c r="AQ61" s="12">
        <f t="shared" si="18"/>
        <v>2408000</v>
      </c>
      <c r="AR61" s="12" t="s">
        <v>401</v>
      </c>
      <c r="AS61" s="12" t="str">
        <f t="shared" si="16"/>
        <v/>
      </c>
      <c r="AT61" s="12">
        <v>368000</v>
      </c>
      <c r="AU61" s="12">
        <v>2322000</v>
      </c>
      <c r="AV61" s="12"/>
      <c r="AW61" s="12">
        <f t="shared" si="19"/>
        <v>2690000</v>
      </c>
      <c r="AX61" s="12" t="s">
        <v>401</v>
      </c>
      <c r="AY61" s="12" t="str">
        <f t="shared" si="17"/>
        <v/>
      </c>
      <c r="BA61" s="3" t="s">
        <v>219</v>
      </c>
      <c r="BC61" s="3" t="s">
        <v>220</v>
      </c>
      <c r="BD61" s="44"/>
    </row>
    <row r="62" spans="1:56" ht="76.5" x14ac:dyDescent="0.2">
      <c r="A62" s="21" t="s">
        <v>221</v>
      </c>
      <c r="B62" s="21" t="s">
        <v>467</v>
      </c>
      <c r="C62" s="32" t="s">
        <v>6</v>
      </c>
      <c r="D62" s="4" t="s">
        <v>89</v>
      </c>
      <c r="E62" s="5">
        <v>16883000000</v>
      </c>
      <c r="F62" s="5" t="str">
        <f>IF(ISNUMBER(Table1[[#This Row],[2019 Scope 3 ]]),IF(Table1[[#This Row],[Net Earnings/Income (2019)]]-k_cost*Table1[[#This Row],[2019 Total Scope 1, 2 + 3]]&lt;0,"Y","N"),"NA")</f>
        <v>N</v>
      </c>
      <c r="G62" s="56" t="str">
        <f>IF(ISNUMBER(Table1[[#This Row],[2019 Scope 3 ]]),IF(k_cost*Table1[[#This Row],[2019 Total Scope 1, 2 + 3]]/Table1[[#This Row],[Size (2019 Revenue)]]&gt;k_rev_max,"Y","N"),"NA")</f>
        <v>N</v>
      </c>
      <c r="H62" s="56" t="str">
        <f>IF(OR(Table1[[#This Row],[Net earnings post carbon price @85/t]]="Y",Table1[[#This Row],[Carbon costs in % revenue]] = "Y"),"Y",IF(OR(Table1[[#This Row],[Net earnings post carbon price @85/t]]="NA",Table1[[#This Row],[Carbon costs in % revenue]]="NA"),"NA","N"))</f>
        <v>N</v>
      </c>
      <c r="I62" s="5">
        <v>8120000000</v>
      </c>
      <c r="J62" s="9">
        <v>2006</v>
      </c>
      <c r="K62" s="5" t="s">
        <v>1</v>
      </c>
      <c r="L62" t="s">
        <v>0</v>
      </c>
      <c r="M62" t="s">
        <v>1</v>
      </c>
      <c r="P62" s="3" t="s">
        <v>222</v>
      </c>
      <c r="R62" t="s">
        <v>1</v>
      </c>
      <c r="S62">
        <v>2020</v>
      </c>
      <c r="T62" s="53">
        <f>IFERROR((Table1[[#This Row],[2019 Total Scope 1, 2 + 3]])/Table1[[#This Row],[2018 Total Scope 1, 2 + Scope 3]]-1,"NA")</f>
        <v>-8.2572911718435282E-2</v>
      </c>
      <c r="V62" s="12">
        <v>4758.3999999999996</v>
      </c>
      <c r="W62" s="12">
        <v>162</v>
      </c>
      <c r="X62" s="12"/>
      <c r="Y62" s="12">
        <f t="shared" si="10"/>
        <v>4920.3999999999996</v>
      </c>
      <c r="Z62" s="12">
        <f>396269.96+8451.87+1288.49+53738+43263.87</f>
        <v>503012.19</v>
      </c>
      <c r="AA62" s="12">
        <f t="shared" si="11"/>
        <v>507932.59</v>
      </c>
      <c r="AB62" s="12">
        <f>57687-AC62</f>
        <v>4828</v>
      </c>
      <c r="AC62" s="12">
        <v>52859</v>
      </c>
      <c r="AD62" s="12"/>
      <c r="AE62" s="12">
        <f t="shared" si="12"/>
        <v>57687</v>
      </c>
      <c r="AF62" s="12">
        <v>495962</v>
      </c>
      <c r="AG62" s="12">
        <f t="shared" si="13"/>
        <v>553649</v>
      </c>
      <c r="AH62" s="12">
        <f>71504-AI62</f>
        <v>6587</v>
      </c>
      <c r="AI62" s="12">
        <v>64917</v>
      </c>
      <c r="AJ62" s="12"/>
      <c r="AK62" s="12">
        <f t="shared" si="14"/>
        <v>71504</v>
      </c>
      <c r="AL62" s="12">
        <v>471614</v>
      </c>
      <c r="AM62" s="12">
        <f t="shared" si="15"/>
        <v>543118</v>
      </c>
      <c r="AN62" s="12">
        <f>99214-AO62</f>
        <v>4486</v>
      </c>
      <c r="AO62" s="12">
        <v>94728</v>
      </c>
      <c r="AP62" s="12"/>
      <c r="AQ62" s="12">
        <f t="shared" si="18"/>
        <v>99214</v>
      </c>
      <c r="AR62" s="12">
        <v>849277</v>
      </c>
      <c r="AS62" s="12">
        <f t="shared" si="16"/>
        <v>948491</v>
      </c>
      <c r="AT62" s="12" t="s">
        <v>401</v>
      </c>
      <c r="AU62" s="12" t="s">
        <v>401</v>
      </c>
      <c r="AV62" s="12"/>
      <c r="AW62" s="12" t="str">
        <f t="shared" si="19"/>
        <v/>
      </c>
      <c r="AX62" s="12" t="s">
        <v>401</v>
      </c>
      <c r="AY62" s="12" t="str">
        <f t="shared" si="17"/>
        <v/>
      </c>
      <c r="BA62" s="3" t="s">
        <v>223</v>
      </c>
      <c r="BB62" s="3" t="s">
        <v>224</v>
      </c>
      <c r="BC62" s="3" t="s">
        <v>225</v>
      </c>
      <c r="BD62" s="44"/>
    </row>
    <row r="63" spans="1:56" ht="140.25" x14ac:dyDescent="0.2">
      <c r="A63" s="21" t="s">
        <v>226</v>
      </c>
      <c r="B63" s="21" t="s">
        <v>473</v>
      </c>
      <c r="C63" s="32" t="s">
        <v>3</v>
      </c>
      <c r="D63" s="4" t="s">
        <v>133</v>
      </c>
      <c r="E63" s="11">
        <v>21076000000</v>
      </c>
      <c r="F63" s="5" t="str">
        <f>IF(ISNUMBER(Table1[[#This Row],[2019 Scope 3 ]]),IF(Table1[[#This Row],[Net Earnings/Income (2019)]]-k_cost*Table1[[#This Row],[2019 Total Scope 1, 2 + 3]]&lt;0,"Y","N"),"NA")</f>
        <v>N</v>
      </c>
      <c r="G63" s="56" t="str">
        <f>IF(ISNUMBER(Table1[[#This Row],[2019 Scope 3 ]]),IF(k_cost*Table1[[#This Row],[2019 Total Scope 1, 2 + 3]]/Table1[[#This Row],[Size (2019 Revenue)]]&gt;k_rev_max,"Y","N"),"NA")</f>
        <v>Y</v>
      </c>
      <c r="H63" s="56" t="str">
        <f>IF(OR(Table1[[#This Row],[Net earnings post carbon price @85/t]]="Y",Table1[[#This Row],[Carbon costs in % revenue]] = "Y"),"Y",IF(OR(Table1[[#This Row],[Net earnings post carbon price @85/t]]="NA",Table1[[#This Row],[Carbon costs in % revenue]]="NA"),"NA","N"))</f>
        <v>Y</v>
      </c>
      <c r="I63" s="11">
        <v>6025000000</v>
      </c>
      <c r="J63" s="10">
        <v>1965</v>
      </c>
      <c r="K63" t="s">
        <v>1</v>
      </c>
      <c r="L63" t="s">
        <v>0</v>
      </c>
      <c r="M63" t="s">
        <v>1</v>
      </c>
      <c r="P63" s="3" t="s">
        <v>227</v>
      </c>
      <c r="R63" t="s">
        <v>0</v>
      </c>
      <c r="T63" s="53">
        <f>IFERROR((Table1[[#This Row],[2019 Total Scope 1, 2 + 3]])/Table1[[#This Row],[2018 Total Scope 1, 2 + Scope 3]]-1,"NA")</f>
        <v>0.45160716925870581</v>
      </c>
      <c r="V63" s="12">
        <v>107034.65</v>
      </c>
      <c r="W63" s="12">
        <v>492114.18</v>
      </c>
      <c r="X63" s="12"/>
      <c r="Y63" s="12">
        <f t="shared" si="10"/>
        <v>599148.82999999996</v>
      </c>
      <c r="Z63" s="12">
        <f>41115851.55+2358793.15+1947637.85+1535857.79+5997501.76</f>
        <v>52955642.099999994</v>
      </c>
      <c r="AA63" s="12">
        <f t="shared" si="11"/>
        <v>53554790.929999992</v>
      </c>
      <c r="AB63" s="12">
        <v>111499.18</v>
      </c>
      <c r="AC63" s="12">
        <v>491052.97</v>
      </c>
      <c r="AD63" s="12"/>
      <c r="AE63" s="12">
        <f t="shared" si="12"/>
        <v>602552.14999999991</v>
      </c>
      <c r="AF63" s="12">
        <f>31745364+1422677+745592+1487635+17507+115459+756660</f>
        <v>36290894</v>
      </c>
      <c r="AG63" s="12">
        <f t="shared" si="13"/>
        <v>36893446.149999999</v>
      </c>
      <c r="AH63" s="12">
        <f>0.151*1000000</f>
        <v>151000</v>
      </c>
      <c r="AI63" s="12">
        <f>0.764*1000000</f>
        <v>764000</v>
      </c>
      <c r="AJ63" s="12"/>
      <c r="AK63" s="12">
        <f t="shared" si="14"/>
        <v>915000</v>
      </c>
      <c r="AL63" s="12"/>
      <c r="AM63" s="12">
        <f t="shared" si="15"/>
        <v>915000</v>
      </c>
      <c r="AN63" s="12">
        <f>0.182*1000000</f>
        <v>182000</v>
      </c>
      <c r="AO63" s="12">
        <f>1.78*1000000</f>
        <v>1780000</v>
      </c>
      <c r="AP63" s="12"/>
      <c r="AQ63" s="12">
        <f t="shared" si="18"/>
        <v>1962000</v>
      </c>
      <c r="AR63" s="12">
        <f>28983578+850284+6843336</f>
        <v>36677198</v>
      </c>
      <c r="AS63" s="12">
        <f t="shared" si="16"/>
        <v>38639198</v>
      </c>
      <c r="AT63" s="12">
        <f>0.178*1000000</f>
        <v>178000</v>
      </c>
      <c r="AU63" s="12">
        <f>2.03*1000000</f>
        <v>2029999.9999999998</v>
      </c>
      <c r="AV63" s="12"/>
      <c r="AW63" s="12">
        <f t="shared" si="19"/>
        <v>2208000</v>
      </c>
      <c r="AX63" s="12" t="s">
        <v>401</v>
      </c>
      <c r="AY63" s="12" t="str">
        <f t="shared" si="17"/>
        <v/>
      </c>
      <c r="BA63" s="3" t="s">
        <v>228</v>
      </c>
      <c r="BB63" s="3" t="s">
        <v>229</v>
      </c>
      <c r="BC63" s="3" t="s">
        <v>230</v>
      </c>
      <c r="BD63" s="44"/>
    </row>
    <row r="64" spans="1:56" ht="102" x14ac:dyDescent="0.2">
      <c r="A64" s="21" t="s">
        <v>231</v>
      </c>
      <c r="B64" s="21" t="s">
        <v>231</v>
      </c>
      <c r="C64" s="32" t="s">
        <v>7</v>
      </c>
      <c r="D64" s="4" t="s">
        <v>66</v>
      </c>
      <c r="E64" s="11">
        <v>30557000000</v>
      </c>
      <c r="F64" s="5" t="str">
        <f>IF(ISNUMBER(Table1[[#This Row],[2019 Scope 3 ]]),IF(Table1[[#This Row],[Net Earnings/Income (2019)]]-k_cost*Table1[[#This Row],[2019 Total Scope 1, 2 + 3]]&lt;0,"Y","N"),"NA")</f>
        <v>N</v>
      </c>
      <c r="G64" s="56" t="str">
        <f>IF(ISNUMBER(Table1[[#This Row],[2019 Scope 3 ]]),IF(k_cost*Table1[[#This Row],[2019 Total Scope 1, 2 + 3]]/Table1[[#This Row],[Size (2019 Revenue)]]&gt;k_rev_max,"Y","N"),"NA")</f>
        <v>N</v>
      </c>
      <c r="H64" s="56" t="str">
        <f>IF(OR(Table1[[#This Row],[Net earnings post carbon price @85/t]]="Y",Table1[[#This Row],[Carbon costs in % revenue]] = "Y"),"Y",IF(OR(Table1[[#This Row],[Net earnings post carbon price @85/t]]="NA",Table1[[#This Row],[Carbon costs in % revenue]]="NA"),"NA","N"))</f>
        <v>N</v>
      </c>
      <c r="I64" s="11">
        <v>4631000000</v>
      </c>
      <c r="J64" s="10">
        <v>1982</v>
      </c>
      <c r="K64" t="s">
        <v>1</v>
      </c>
      <c r="L64" t="s">
        <v>0</v>
      </c>
      <c r="M64" t="s">
        <v>0</v>
      </c>
      <c r="P64" s="3" t="s">
        <v>232</v>
      </c>
      <c r="R64" t="s">
        <v>0</v>
      </c>
      <c r="T64" s="53">
        <f>IFERROR((Table1[[#This Row],[2019 Total Scope 1, 2 + 3]])/Table1[[#This Row],[2018 Total Scope 1, 2 + Scope 3]]-1,"NA")</f>
        <v>5.5419113323956104E-2</v>
      </c>
      <c r="V64" s="12">
        <v>62931</v>
      </c>
      <c r="W64" s="12">
        <v>225841</v>
      </c>
      <c r="X64" s="12"/>
      <c r="Y64" s="12">
        <f t="shared" si="10"/>
        <v>288772</v>
      </c>
      <c r="Z64" s="12">
        <f>235863+42619</f>
        <v>278482</v>
      </c>
      <c r="AA64" s="12">
        <f t="shared" si="11"/>
        <v>567254</v>
      </c>
      <c r="AB64" s="12">
        <v>65312</v>
      </c>
      <c r="AC64" s="12">
        <v>233364</v>
      </c>
      <c r="AD64" s="12"/>
      <c r="AE64" s="12">
        <f t="shared" si="12"/>
        <v>298676</v>
      </c>
      <c r="AF64" s="12">
        <f>203421+35371</f>
        <v>238792</v>
      </c>
      <c r="AG64" s="12">
        <f t="shared" si="13"/>
        <v>537468</v>
      </c>
      <c r="AH64" s="12">
        <v>74992</v>
      </c>
      <c r="AI64" s="12">
        <v>269008</v>
      </c>
      <c r="AJ64" s="12"/>
      <c r="AK64" s="12">
        <f t="shared" si="14"/>
        <v>344000</v>
      </c>
      <c r="AL64" s="12"/>
      <c r="AM64" s="12">
        <f t="shared" si="15"/>
        <v>344000</v>
      </c>
      <c r="AN64" s="12" t="s">
        <v>0</v>
      </c>
      <c r="AO64" s="12" t="s">
        <v>0</v>
      </c>
      <c r="AP64" s="12" t="s">
        <v>0</v>
      </c>
      <c r="AQ64" s="12" t="str">
        <f t="shared" si="18"/>
        <v/>
      </c>
      <c r="AR64" s="12" t="s">
        <v>0</v>
      </c>
      <c r="AS64" s="12" t="str">
        <f t="shared" si="16"/>
        <v/>
      </c>
      <c r="AT64" s="12" t="s">
        <v>0</v>
      </c>
      <c r="AU64" s="12" t="s">
        <v>0</v>
      </c>
      <c r="AV64" s="12" t="s">
        <v>0</v>
      </c>
      <c r="AW64" s="12" t="str">
        <f t="shared" si="19"/>
        <v/>
      </c>
      <c r="AX64" s="12" t="s">
        <v>0</v>
      </c>
      <c r="AY64" s="12" t="str">
        <f t="shared" si="17"/>
        <v/>
      </c>
      <c r="BA64" s="3" t="s">
        <v>233</v>
      </c>
      <c r="BB64" s="4" t="s">
        <v>430</v>
      </c>
      <c r="BC64" s="3" t="s">
        <v>234</v>
      </c>
      <c r="BD64" s="44"/>
    </row>
    <row r="65" spans="1:56" ht="89.25" x14ac:dyDescent="0.2">
      <c r="A65" s="21" t="s">
        <v>235</v>
      </c>
      <c r="B65" s="21" t="s">
        <v>469</v>
      </c>
      <c r="C65" s="32" t="s">
        <v>7</v>
      </c>
      <c r="D65" s="4" t="s">
        <v>69</v>
      </c>
      <c r="E65" s="5">
        <v>42290000000</v>
      </c>
      <c r="F65" s="5" t="str">
        <f>IF(ISNUMBER(Table1[[#This Row],[2019 Scope 3 ]]),IF(Table1[[#This Row],[Net Earnings/Income (2019)]]-k_cost*Table1[[#This Row],[2019 Total Scope 1, 2 + 3]]&lt;0,"Y","N"),"NA")</f>
        <v>N</v>
      </c>
      <c r="G65" s="56" t="str">
        <f>IF(ISNUMBER(Table1[[#This Row],[2019 Scope 3 ]]),IF(k_cost*Table1[[#This Row],[2019 Total Scope 1, 2 + 3]]/Table1[[#This Row],[Size (2019 Revenue)]]&gt;k_rev_max,"Y","N"),"NA")</f>
        <v>N</v>
      </c>
      <c r="H65" s="56" t="str">
        <f>IF(OR(Table1[[#This Row],[Net earnings post carbon price @85/t]]="Y",Table1[[#This Row],[Carbon costs in % revenue]] = "Y"),"Y",IF(OR(Table1[[#This Row],[Net earnings post carbon price @85/t]]="NA",Table1[[#This Row],[Carbon costs in % revenue]]="NA"),"NA","N"))</f>
        <v>N</v>
      </c>
      <c r="I65" s="5">
        <v>6220000000</v>
      </c>
      <c r="J65" s="9"/>
      <c r="K65" s="5" t="s">
        <v>1</v>
      </c>
      <c r="L65" t="s">
        <v>0</v>
      </c>
      <c r="M65" t="s">
        <v>0</v>
      </c>
      <c r="P65" s="3" t="s">
        <v>236</v>
      </c>
      <c r="R65" t="s">
        <v>0</v>
      </c>
      <c r="S65" s="3" t="s">
        <v>237</v>
      </c>
      <c r="T65" s="55">
        <f>IFERROR((Table1[[#This Row],[2019 Total Scope 1, 2 + 3]])/Table1[[#This Row],[2018 Total Scope 1, 2 + Scope 3]]-1,"NA")</f>
        <v>8.5439371227160388E-2</v>
      </c>
      <c r="U65" s="3"/>
      <c r="V65" s="12">
        <v>755340</v>
      </c>
      <c r="W65" s="12">
        <v>316630</v>
      </c>
      <c r="X65" s="12"/>
      <c r="Y65" s="12">
        <f t="shared" si="10"/>
        <v>1071970</v>
      </c>
      <c r="Z65" s="12">
        <f>5155100+339900+240700+271200+19500+340400+272000+133200+142100+51500</f>
        <v>6965600</v>
      </c>
      <c r="AA65" s="12">
        <f t="shared" si="11"/>
        <v>8037570</v>
      </c>
      <c r="AB65" s="12">
        <v>783500</v>
      </c>
      <c r="AC65" s="12">
        <v>389700</v>
      </c>
      <c r="AD65" s="12"/>
      <c r="AE65" s="12">
        <f t="shared" si="12"/>
        <v>1173200</v>
      </c>
      <c r="AF65" s="12">
        <v>6231700</v>
      </c>
      <c r="AG65" s="12">
        <f t="shared" si="13"/>
        <v>7404900</v>
      </c>
      <c r="AH65" s="12">
        <v>801600</v>
      </c>
      <c r="AI65" s="12">
        <v>462500</v>
      </c>
      <c r="AJ65" s="12"/>
      <c r="AK65" s="12">
        <f t="shared" si="14"/>
        <v>1264100</v>
      </c>
      <c r="AL65" s="12">
        <f>4997600+192900+262100+267100+16000+218200+262200+121900+205800+42200</f>
        <v>6586000</v>
      </c>
      <c r="AM65" s="12">
        <f t="shared" si="15"/>
        <v>7850100</v>
      </c>
      <c r="AN65" s="12">
        <v>847400</v>
      </c>
      <c r="AO65" s="12">
        <v>562200</v>
      </c>
      <c r="AP65" s="12"/>
      <c r="AQ65" s="12">
        <f t="shared" si="18"/>
        <v>1409600</v>
      </c>
      <c r="AR65" s="12">
        <f>6204000+224000+304500+255500+16800+265400+301500+118000+248400+37000</f>
        <v>7975100</v>
      </c>
      <c r="AS65" s="12">
        <f t="shared" si="16"/>
        <v>9384700</v>
      </c>
      <c r="AT65" s="12">
        <v>865100</v>
      </c>
      <c r="AU65" s="12">
        <v>635900</v>
      </c>
      <c r="AV65" s="12"/>
      <c r="AW65" s="12">
        <f t="shared" si="19"/>
        <v>1501000</v>
      </c>
      <c r="AX65" s="12" t="s">
        <v>401</v>
      </c>
      <c r="AY65" s="12" t="str">
        <f t="shared" si="17"/>
        <v/>
      </c>
      <c r="BA65" s="3" t="s">
        <v>238</v>
      </c>
      <c r="BC65" s="3" t="s">
        <v>239</v>
      </c>
      <c r="BD65" s="44"/>
    </row>
    <row r="66" spans="1:56" ht="114.75" x14ac:dyDescent="0.2">
      <c r="A66" s="21" t="s">
        <v>240</v>
      </c>
      <c r="B66" s="21" t="s">
        <v>465</v>
      </c>
      <c r="C66" s="32" t="s">
        <v>6</v>
      </c>
      <c r="D66" s="4" t="s">
        <v>76</v>
      </c>
      <c r="E66" s="5">
        <v>67941000000</v>
      </c>
      <c r="F66" s="5" t="str">
        <f>IF(ISNUMBER(Table1[[#This Row],[2019 Scope 3 ]]),IF(Table1[[#This Row],[Net Earnings/Income (2019)]]-k_cost*Table1[[#This Row],[2019 Total Scope 1, 2 + 3]]&lt;0,"Y","N"),"NA")</f>
        <v>N</v>
      </c>
      <c r="G66" s="56" t="str">
        <f>IF(ISNUMBER(Table1[[#This Row],[2019 Scope 3 ]]),IF(k_cost*Table1[[#This Row],[2019 Total Scope 1, 2 + 3]]/Table1[[#This Row],[Size (2019 Revenue)]]&gt;k_rev_max,"Y","N"),"NA")</f>
        <v>N</v>
      </c>
      <c r="H66" s="56" t="str">
        <f>IF(OR(Table1[[#This Row],[Net earnings post carbon price @85/t]]="Y",Table1[[#This Row],[Carbon costs in % revenue]] = "Y"),"Y",IF(OR(Table1[[#This Row],[Net earnings post carbon price @85/t]]="NA",Table1[[#This Row],[Carbon costs in % revenue]]="NA"),"NA","N"))</f>
        <v>N</v>
      </c>
      <c r="I66" s="5">
        <v>5070000000</v>
      </c>
      <c r="J66" s="9">
        <v>2000</v>
      </c>
      <c r="K66" s="5" t="s">
        <v>1</v>
      </c>
      <c r="L66" t="s">
        <v>1</v>
      </c>
      <c r="M66" t="s">
        <v>0</v>
      </c>
      <c r="N66">
        <v>2016</v>
      </c>
      <c r="O66">
        <v>2015</v>
      </c>
      <c r="Q66" t="s">
        <v>1</v>
      </c>
      <c r="R66" t="s">
        <v>0</v>
      </c>
      <c r="T66" s="53">
        <f>IFERROR((Table1[[#This Row],[2019 Total Scope 1, 2 + 3]])/Table1[[#This Row],[2018 Total Scope 1, 2 + Scope 3]]-1,"NA")</f>
        <v>-6.6632073024034733E-2</v>
      </c>
      <c r="V66" s="12">
        <v>13613</v>
      </c>
      <c r="W66" s="12">
        <v>0</v>
      </c>
      <c r="X66" s="12"/>
      <c r="Y66" s="12">
        <f t="shared" ref="Y66:Y70" si="20">IFERROR(V66+W66-X66,"")</f>
        <v>13613</v>
      </c>
      <c r="Z66" s="12">
        <v>25959</v>
      </c>
      <c r="AA66" s="12">
        <f t="shared" ref="AA66:AA97" si="21">IFERROR(Y66+Z66,"")</f>
        <v>39572</v>
      </c>
      <c r="AB66" s="12">
        <v>16016</v>
      </c>
      <c r="AC66" s="12">
        <v>0</v>
      </c>
      <c r="AD66" s="12"/>
      <c r="AE66" s="12">
        <f t="shared" ref="AE66:AE70" si="22">IFERROR(AB66+AC66-AD66,"")</f>
        <v>16016</v>
      </c>
      <c r="AF66" s="12">
        <v>26381</v>
      </c>
      <c r="AG66" s="12">
        <f t="shared" ref="AG66:AG97" si="23">IFERROR(AE66+AF66,"")</f>
        <v>42397</v>
      </c>
      <c r="AH66" s="12">
        <v>15722</v>
      </c>
      <c r="AI66" s="12">
        <v>0</v>
      </c>
      <c r="AJ66" s="12"/>
      <c r="AK66" s="12">
        <f t="shared" ref="AK66:AK70" si="24">IFERROR(AH66+AI66-AJ66,"")</f>
        <v>15722</v>
      </c>
      <c r="AL66" s="12">
        <v>34019</v>
      </c>
      <c r="AM66" s="12">
        <f t="shared" ref="AM66:AM97" si="25">IFERROR(AK66+AL66,"")</f>
        <v>49741</v>
      </c>
      <c r="AN66" s="12">
        <v>17555</v>
      </c>
      <c r="AO66" s="12">
        <v>0</v>
      </c>
      <c r="AP66" s="12"/>
      <c r="AQ66" s="12">
        <f t="shared" si="18"/>
        <v>17555</v>
      </c>
      <c r="AR66" s="12">
        <v>34019</v>
      </c>
      <c r="AS66" s="12">
        <f t="shared" ref="AS66:AS97" si="26">IFERROR(AQ66+AR66,"")</f>
        <v>51574</v>
      </c>
      <c r="AT66" s="12">
        <v>19780</v>
      </c>
      <c r="AU66" s="12">
        <v>67962</v>
      </c>
      <c r="AV66" s="12"/>
      <c r="AW66" s="12">
        <f t="shared" si="19"/>
        <v>87742</v>
      </c>
      <c r="AX66" s="12">
        <v>36166</v>
      </c>
      <c r="AY66" s="12">
        <f t="shared" ref="AY66:AY97" si="27">IFERROR(AW66+AX66,"")</f>
        <v>123908</v>
      </c>
      <c r="AZ66" s="30" t="s">
        <v>0</v>
      </c>
      <c r="BA66" s="14" t="s">
        <v>241</v>
      </c>
      <c r="BB66" t="s">
        <v>242</v>
      </c>
      <c r="BC66" s="3" t="s">
        <v>243</v>
      </c>
      <c r="BD66" s="44"/>
    </row>
    <row r="67" spans="1:56" ht="153" x14ac:dyDescent="0.2">
      <c r="A67" s="21" t="s">
        <v>244</v>
      </c>
      <c r="B67" s="21" t="s">
        <v>468</v>
      </c>
      <c r="C67" s="32" t="s">
        <v>11</v>
      </c>
      <c r="D67" s="4" t="s">
        <v>74</v>
      </c>
      <c r="E67" s="5">
        <v>125800000000</v>
      </c>
      <c r="F67" s="5" t="str">
        <f>IF(ISNUMBER(Table1[[#This Row],[2019 Scope 3 ]]),IF(Table1[[#This Row],[Net Earnings/Income (2019)]]-k_cost*Table1[[#This Row],[2019 Total Scope 1, 2 + 3]]&lt;0,"Y","N"),"NA")</f>
        <v>N</v>
      </c>
      <c r="G67" s="56" t="str">
        <f>IF(ISNUMBER(Table1[[#This Row],[2019 Scope 3 ]]),IF(k_cost*Table1[[#This Row],[2019 Total Scope 1, 2 + 3]]/Table1[[#This Row],[Size (2019 Revenue)]]&gt;k_rev_max,"Y","N"),"NA")</f>
        <v>N</v>
      </c>
      <c r="H67" s="56" t="str">
        <f>IF(OR(Table1[[#This Row],[Net earnings post carbon price @85/t]]="Y",Table1[[#This Row],[Carbon costs in % revenue]] = "Y"),"Y",IF(OR(Table1[[#This Row],[Net earnings post carbon price @85/t]]="NA",Table1[[#This Row],[Carbon costs in % revenue]]="NA"),"NA","N"))</f>
        <v>N</v>
      </c>
      <c r="I67" s="5">
        <v>39240000000</v>
      </c>
      <c r="J67" s="9">
        <v>1986</v>
      </c>
      <c r="K67" s="5" t="s">
        <v>1</v>
      </c>
      <c r="L67" t="s">
        <v>1</v>
      </c>
      <c r="M67" s="3" t="s">
        <v>1</v>
      </c>
      <c r="N67">
        <v>2030</v>
      </c>
      <c r="O67">
        <v>2020</v>
      </c>
      <c r="Q67" t="s">
        <v>1</v>
      </c>
      <c r="R67" t="s">
        <v>1</v>
      </c>
      <c r="S67">
        <v>2014</v>
      </c>
      <c r="T67" s="53">
        <f>IFERROR((Table1[[#This Row],[2019 Total Scope 1, 2 + 3]])/Table1[[#This Row],[2018 Total Scope 1, 2 + Scope 3]]-1,"NA")</f>
        <v>-3.1748656469615555E-2</v>
      </c>
      <c r="V67" s="12">
        <v>113412</v>
      </c>
      <c r="W67" s="12">
        <v>275375</v>
      </c>
      <c r="X67" s="12"/>
      <c r="Y67" s="12">
        <f t="shared" si="20"/>
        <v>388787</v>
      </c>
      <c r="Z67" s="12">
        <v>11322213</v>
      </c>
      <c r="AA67" s="12">
        <f t="shared" si="21"/>
        <v>11711000</v>
      </c>
      <c r="AB67" s="12">
        <v>90723</v>
      </c>
      <c r="AC67" s="12">
        <v>183329</v>
      </c>
      <c r="AD67" s="12"/>
      <c r="AE67" s="12">
        <f t="shared" si="22"/>
        <v>274052</v>
      </c>
      <c r="AF67" s="12">
        <v>11820948</v>
      </c>
      <c r="AG67" s="12">
        <f t="shared" si="23"/>
        <v>12095000</v>
      </c>
      <c r="AH67" s="12">
        <v>97639</v>
      </c>
      <c r="AI67" s="12">
        <v>139110</v>
      </c>
      <c r="AJ67" s="12"/>
      <c r="AK67" s="12">
        <f t="shared" si="24"/>
        <v>236749</v>
      </c>
      <c r="AL67" s="12">
        <v>10963251</v>
      </c>
      <c r="AM67" s="12">
        <f t="shared" si="25"/>
        <v>11200000</v>
      </c>
      <c r="AN67" s="12">
        <v>94651</v>
      </c>
      <c r="AO67" s="12">
        <v>37087</v>
      </c>
      <c r="AP67" s="12"/>
      <c r="AQ67" s="12">
        <f t="shared" si="18"/>
        <v>131738</v>
      </c>
      <c r="AR67" s="12">
        <v>11155883</v>
      </c>
      <c r="AS67" s="12">
        <f t="shared" si="26"/>
        <v>11287621</v>
      </c>
      <c r="AT67" s="12">
        <v>94548</v>
      </c>
      <c r="AU67" s="12">
        <v>1697297</v>
      </c>
      <c r="AV67" s="12"/>
      <c r="AW67" s="12">
        <f t="shared" si="19"/>
        <v>1791845</v>
      </c>
      <c r="AX67" s="12">
        <v>9050676</v>
      </c>
      <c r="AY67" s="12">
        <f t="shared" si="27"/>
        <v>10842521</v>
      </c>
      <c r="AZ67" s="30" t="s">
        <v>1</v>
      </c>
      <c r="BA67" s="14" t="s">
        <v>245</v>
      </c>
      <c r="BC67" s="3" t="s">
        <v>246</v>
      </c>
      <c r="BD67" s="44"/>
    </row>
    <row r="68" spans="1:56" ht="127.5" x14ac:dyDescent="0.2">
      <c r="A68" s="21" t="s">
        <v>247</v>
      </c>
      <c r="B68" s="21" t="s">
        <v>448</v>
      </c>
      <c r="C68" s="21" t="s">
        <v>4</v>
      </c>
      <c r="D68" s="4" t="s">
        <v>133</v>
      </c>
      <c r="E68" s="11">
        <v>25870000000</v>
      </c>
      <c r="F68" s="5" t="str">
        <f>IF(ISNUMBER(Table1[[#This Row],[2019 Scope 3 ]]),IF(Table1[[#This Row],[Net Earnings/Income (2019)]]-k_cost*Table1[[#This Row],[2019 Total Scope 1, 2 + 3]]&lt;0,"Y","N"),"NA")</f>
        <v>N</v>
      </c>
      <c r="G68" s="56" t="str">
        <f>IF(ISNUMBER(Table1[[#This Row],[2019 Scope 3 ]]),IF(k_cost*Table1[[#This Row],[2019 Total Scope 1, 2 + 3]]/Table1[[#This Row],[Size (2019 Revenue)]]&gt;k_rev_max,"Y","N"),"NA")</f>
        <v>Y</v>
      </c>
      <c r="H68" s="56" t="str">
        <f>IF(OR(Table1[[#This Row],[Net earnings post carbon price @85/t]]="Y",Table1[[#This Row],[Carbon costs in % revenue]] = "Y"),"Y",IF(OR(Table1[[#This Row],[Net earnings post carbon price @85/t]]="NA",Table1[[#This Row],[Carbon costs in % revenue]]="NA"),"NA","N"))</f>
        <v>Y</v>
      </c>
      <c r="I68" s="11">
        <v>3870000000</v>
      </c>
      <c r="J68" s="10">
        <v>2012</v>
      </c>
      <c r="K68" t="s">
        <v>1</v>
      </c>
      <c r="L68" t="s">
        <v>0</v>
      </c>
      <c r="M68" t="s">
        <v>1</v>
      </c>
      <c r="P68" s="3" t="s">
        <v>248</v>
      </c>
      <c r="R68" t="s">
        <v>0</v>
      </c>
      <c r="T68" s="53">
        <f>IFERROR((Table1[[#This Row],[2019 Total Scope 1, 2 + 3]])/Table1[[#This Row],[2018 Total Scope 1, 2 + Scope 3]]-1,"NA")</f>
        <v>-8.0539152980555473E-2</v>
      </c>
      <c r="V68" s="12">
        <v>856590</v>
      </c>
      <c r="W68" s="12">
        <v>906349</v>
      </c>
      <c r="X68" s="12"/>
      <c r="Y68" s="12">
        <f t="shared" si="20"/>
        <v>1762939</v>
      </c>
      <c r="Z68" s="12">
        <f>15034298+1164761+2311217+84072+41446+190306+89945+52986+883179</f>
        <v>19852210</v>
      </c>
      <c r="AA68" s="12">
        <f t="shared" si="21"/>
        <v>21615149</v>
      </c>
      <c r="AB68" s="12">
        <v>819933</v>
      </c>
      <c r="AC68" s="12">
        <v>958647</v>
      </c>
      <c r="AD68" s="12"/>
      <c r="AE68" s="12">
        <f t="shared" si="22"/>
        <v>1778580</v>
      </c>
      <c r="AF68" s="12">
        <f>16999803+1043010+1261233+124957+47729+208314+1047969+207837+789072</f>
        <v>21729924</v>
      </c>
      <c r="AG68" s="12">
        <f t="shared" si="23"/>
        <v>23508504</v>
      </c>
      <c r="AH68" s="12">
        <v>778304</v>
      </c>
      <c r="AI68" s="12">
        <v>907536</v>
      </c>
      <c r="AJ68" s="12"/>
      <c r="AK68" s="12">
        <f t="shared" si="24"/>
        <v>1685840</v>
      </c>
      <c r="AL68" s="12">
        <f>8964770+457311+1005369+74429+80431+210026+641840+90737+692102</f>
        <v>12217015</v>
      </c>
      <c r="AM68" s="12">
        <f t="shared" si="25"/>
        <v>13902855</v>
      </c>
      <c r="AN68" s="12">
        <v>812564</v>
      </c>
      <c r="AO68" s="12">
        <v>987618</v>
      </c>
      <c r="AP68" s="12"/>
      <c r="AQ68" s="12">
        <f t="shared" si="18"/>
        <v>1800182</v>
      </c>
      <c r="AR68" s="12">
        <f>9288253+462304+1049737+74019+74623+215465+629249+93432+691352</f>
        <v>12578434</v>
      </c>
      <c r="AS68" s="12">
        <f t="shared" si="26"/>
        <v>14378616</v>
      </c>
      <c r="AT68" s="12">
        <v>757010</v>
      </c>
      <c r="AU68" s="12">
        <v>772308</v>
      </c>
      <c r="AV68" s="12"/>
      <c r="AW68" s="12">
        <f t="shared" si="19"/>
        <v>1529318</v>
      </c>
      <c r="AX68" s="12">
        <f>11056117+352033+1062374+109729+122282+204317+1174506+773746+499727+101190</f>
        <v>15456021</v>
      </c>
      <c r="AY68" s="12">
        <f t="shared" si="27"/>
        <v>16985339</v>
      </c>
      <c r="BA68" s="18" t="s">
        <v>249</v>
      </c>
      <c r="BB68" s="3" t="s">
        <v>250</v>
      </c>
      <c r="BC68" s="3" t="s">
        <v>251</v>
      </c>
      <c r="BD68" s="44"/>
    </row>
    <row r="69" spans="1:56" ht="76.5" x14ac:dyDescent="0.2">
      <c r="A69" s="21" t="s">
        <v>252</v>
      </c>
      <c r="B69" s="21" t="s">
        <v>252</v>
      </c>
      <c r="C69" s="32" t="s">
        <v>6</v>
      </c>
      <c r="D69" s="4" t="s">
        <v>109</v>
      </c>
      <c r="E69" s="5">
        <v>41419000000</v>
      </c>
      <c r="F69" s="5" t="str">
        <f>IF(ISNUMBER(Table1[[#This Row],[2019 Scope 3 ]]),IF(Table1[[#This Row],[Net Earnings/Income (2019)]]-k_cost*Table1[[#This Row],[2019 Total Scope 1, 2 + 3]]&lt;0,"Y","N"),"NA")</f>
        <v>N</v>
      </c>
      <c r="G69" s="56" t="str">
        <f>IF(ISNUMBER(Table1[[#This Row],[2019 Scope 3 ]]),IF(k_cost*Table1[[#This Row],[2019 Total Scope 1, 2 + 3]]/Table1[[#This Row],[Size (2019 Revenue)]]&gt;k_rev_max,"Y","N"),"NA")</f>
        <v>N</v>
      </c>
      <c r="H69" s="56" t="str">
        <f>IF(OR(Table1[[#This Row],[Net earnings post carbon price @85/t]]="Y",Table1[[#This Row],[Carbon costs in % revenue]] = "Y"),"Y",IF(OR(Table1[[#This Row],[Net earnings post carbon price @85/t]]="NA",Table1[[#This Row],[Carbon costs in % revenue]]="NA"),"NA","N"))</f>
        <v>N</v>
      </c>
      <c r="I69" s="5">
        <v>8512000000</v>
      </c>
      <c r="J69" s="9">
        <v>1935</v>
      </c>
      <c r="K69" s="5" t="s">
        <v>1</v>
      </c>
      <c r="L69" t="s">
        <v>1</v>
      </c>
      <c r="M69" t="s">
        <v>0</v>
      </c>
      <c r="N69">
        <v>2022</v>
      </c>
      <c r="O69">
        <v>2017</v>
      </c>
      <c r="R69" t="s">
        <v>1</v>
      </c>
      <c r="S69">
        <v>2022</v>
      </c>
      <c r="T69" s="53">
        <f>IFERROR((Table1[[#This Row],[2019 Total Scope 1, 2 + 3]])/Table1[[#This Row],[2018 Total Scope 1, 2 + Scope 3]]-1,"NA")</f>
        <v>9.6022766710626817E-2</v>
      </c>
      <c r="V69" s="12">
        <v>28300</v>
      </c>
      <c r="W69" s="12">
        <v>176200</v>
      </c>
      <c r="X69" s="12"/>
      <c r="Y69" s="12">
        <f t="shared" si="20"/>
        <v>204500</v>
      </c>
      <c r="Z69" s="12">
        <f>911000+192000+46600+6490+99700+112550+6000+200</f>
        <v>1374540</v>
      </c>
      <c r="AA69" s="12">
        <f t="shared" si="21"/>
        <v>1579040</v>
      </c>
      <c r="AB69" s="12">
        <v>29800</v>
      </c>
      <c r="AC69" s="12">
        <v>183900</v>
      </c>
      <c r="AD69" s="12"/>
      <c r="AE69" s="12">
        <f t="shared" si="22"/>
        <v>213700</v>
      </c>
      <c r="AF69" s="12">
        <v>1227000</v>
      </c>
      <c r="AG69" s="12">
        <f t="shared" si="23"/>
        <v>1440700</v>
      </c>
      <c r="AH69" s="12">
        <v>29450</v>
      </c>
      <c r="AI69" s="12">
        <v>178350</v>
      </c>
      <c r="AJ69" s="12"/>
      <c r="AK69" s="12">
        <f t="shared" si="24"/>
        <v>207800</v>
      </c>
      <c r="AL69" s="12">
        <v>1357000</v>
      </c>
      <c r="AM69" s="12">
        <f t="shared" si="25"/>
        <v>1564800</v>
      </c>
      <c r="AN69" s="12">
        <v>27610</v>
      </c>
      <c r="AO69" s="12">
        <v>237080</v>
      </c>
      <c r="AP69" s="12"/>
      <c r="AQ69" s="12">
        <f t="shared" si="18"/>
        <v>264690</v>
      </c>
      <c r="AR69" s="12">
        <f>1600000+190000+54941+3110+93950+110000+6000+260</f>
        <v>2058261</v>
      </c>
      <c r="AS69" s="12">
        <f t="shared" si="26"/>
        <v>2322951</v>
      </c>
      <c r="AT69" s="12">
        <v>33870</v>
      </c>
      <c r="AU69" s="12">
        <v>272720</v>
      </c>
      <c r="AV69" s="12"/>
      <c r="AW69" s="12">
        <f t="shared" si="19"/>
        <v>306590</v>
      </c>
      <c r="AX69" s="12">
        <f>1100000+190000+59920+4480+118650+112000+6000+250</f>
        <v>1591300</v>
      </c>
      <c r="AY69" s="12">
        <f t="shared" si="27"/>
        <v>1897890</v>
      </c>
      <c r="BB69" t="s">
        <v>253</v>
      </c>
      <c r="BC69" s="3" t="s">
        <v>254</v>
      </c>
      <c r="BD69" s="44"/>
    </row>
    <row r="70" spans="1:56" ht="89.25" x14ac:dyDescent="0.2">
      <c r="A70" s="21" t="s">
        <v>255</v>
      </c>
      <c r="B70" s="21" t="s">
        <v>438</v>
      </c>
      <c r="C70" s="21" t="s">
        <v>2</v>
      </c>
      <c r="D70" s="4" t="s">
        <v>124</v>
      </c>
      <c r="E70" s="11">
        <v>20160000000</v>
      </c>
      <c r="F70" s="5" t="str">
        <f>IF(ISNUMBER(Table1[[#This Row],[2019 Scope 3 ]]),IF(Table1[[#This Row],[Net Earnings/Income (2019)]]-k_cost*Table1[[#This Row],[2019 Total Scope 1, 2 + 3]]&lt;0,"Y","N"),"NA")</f>
        <v>NA</v>
      </c>
      <c r="G70" s="56" t="str">
        <f>IF(ISNUMBER(Table1[[#This Row],[2019 Scope 3 ]]),IF(k_cost*Table1[[#This Row],[2019 Total Scope 1, 2 + 3]]/Table1[[#This Row],[Size (2019 Revenue)]]&gt;k_rev_max,"Y","N"),"NA")</f>
        <v>NA</v>
      </c>
      <c r="H70" s="56" t="str">
        <f>IF(OR(Table1[[#This Row],[Net earnings post carbon price @85/t]]="Y",Table1[[#This Row],[Carbon costs in % revenue]] = "Y"),"Y",IF(OR(Table1[[#This Row],[Net earnings post carbon price @85/t]]="NA",Table1[[#This Row],[Carbon costs in % revenue]]="NA"),"NA","N"))</f>
        <v>NA</v>
      </c>
      <c r="I70" s="11">
        <v>1866000000</v>
      </c>
      <c r="J70" s="10">
        <v>2002</v>
      </c>
      <c r="K70" t="s">
        <v>1</v>
      </c>
      <c r="L70" t="s">
        <v>0</v>
      </c>
      <c r="M70" t="s">
        <v>0</v>
      </c>
      <c r="P70" t="s">
        <v>0</v>
      </c>
      <c r="Q70" t="s">
        <v>1</v>
      </c>
      <c r="R70" t="s">
        <v>0</v>
      </c>
      <c r="S70" t="s">
        <v>0</v>
      </c>
      <c r="T70" s="53" t="str">
        <f>IFERROR((Table1[[#This Row],[2019 Total Scope 1, 2 + 3]])/Table1[[#This Row],[2018 Total Scope 1, 2 + Scope 3]]-1,"NA")</f>
        <v>NA</v>
      </c>
      <c r="V70" s="12" t="s">
        <v>401</v>
      </c>
      <c r="W70" s="12" t="s">
        <v>401</v>
      </c>
      <c r="X70" s="12"/>
      <c r="Y70" s="12" t="str">
        <f t="shared" si="20"/>
        <v/>
      </c>
      <c r="Z70" s="12" t="s">
        <v>401</v>
      </c>
      <c r="AA70" s="12" t="str">
        <f t="shared" si="21"/>
        <v/>
      </c>
      <c r="AB70" s="12" t="s">
        <v>401</v>
      </c>
      <c r="AC70" s="12" t="s">
        <v>401</v>
      </c>
      <c r="AD70" s="12"/>
      <c r="AE70" s="12" t="str">
        <f t="shared" si="22"/>
        <v/>
      </c>
      <c r="AF70" s="12" t="s">
        <v>401</v>
      </c>
      <c r="AG70" s="12" t="str">
        <f t="shared" si="23"/>
        <v/>
      </c>
      <c r="AH70" s="12" t="s">
        <v>401</v>
      </c>
      <c r="AI70" s="12" t="s">
        <v>401</v>
      </c>
      <c r="AJ70" s="12"/>
      <c r="AK70" s="12" t="str">
        <f t="shared" si="24"/>
        <v/>
      </c>
      <c r="AL70" s="12" t="s">
        <v>401</v>
      </c>
      <c r="AM70" s="12" t="str">
        <f t="shared" si="25"/>
        <v/>
      </c>
      <c r="AN70" s="12" t="s">
        <v>401</v>
      </c>
      <c r="AO70" s="12" t="s">
        <v>401</v>
      </c>
      <c r="AP70" s="12"/>
      <c r="AQ70" s="12" t="str">
        <f t="shared" si="18"/>
        <v/>
      </c>
      <c r="AR70" s="12" t="s">
        <v>401</v>
      </c>
      <c r="AS70" s="12" t="str">
        <f t="shared" si="26"/>
        <v/>
      </c>
      <c r="AT70" s="12" t="s">
        <v>401</v>
      </c>
      <c r="AU70" s="12" t="s">
        <v>401</v>
      </c>
      <c r="AV70" s="12"/>
      <c r="AW70" s="12" t="str">
        <f t="shared" si="19"/>
        <v/>
      </c>
      <c r="AX70" s="12" t="s">
        <v>401</v>
      </c>
      <c r="AY70" s="12" t="str">
        <f t="shared" si="27"/>
        <v/>
      </c>
      <c r="AZ70" t="s">
        <v>0</v>
      </c>
      <c r="BB70" s="3" t="s">
        <v>256</v>
      </c>
      <c r="BC70" s="3" t="s">
        <v>257</v>
      </c>
      <c r="BD70" s="44"/>
    </row>
    <row r="71" spans="1:56" ht="38.25" x14ac:dyDescent="0.2">
      <c r="A71" s="21" t="s">
        <v>258</v>
      </c>
      <c r="B71" s="21" t="s">
        <v>439</v>
      </c>
      <c r="C71" s="21" t="s">
        <v>12</v>
      </c>
      <c r="D71" t="s">
        <v>12</v>
      </c>
      <c r="E71" s="11">
        <v>19204000000</v>
      </c>
      <c r="F71" s="5" t="str">
        <f>IF(ISNUMBER(Table1[[#This Row],[2019 Scope 3 ]]),IF(Table1[[#This Row],[Net Earnings/Income (2019)]]-k_cost*Table1[[#This Row],[2019 Total Scope 1, 2 + 3]]&lt;0,"Y","N"),"NA")</f>
        <v>NA</v>
      </c>
      <c r="G71" s="56" t="str">
        <f>IF(ISNUMBER(Table1[[#This Row],[2019 Scope 3 ]]),IF(k_cost*Table1[[#This Row],[2019 Total Scope 1, 2 + 3]]/Table1[[#This Row],[Size (2019 Revenue)]]&gt;k_rev_max,"Y","N"),"NA")</f>
        <v>NA</v>
      </c>
      <c r="H71" s="56" t="str">
        <f>IF(OR(Table1[[#This Row],[Net earnings post carbon price @85/t]]="Y",Table1[[#This Row],[Carbon costs in % revenue]] = "Y"),"Y",IF(OR(Table1[[#This Row],[Net earnings post carbon price @85/t]]="NA",Table1[[#This Row],[Carbon costs in % revenue]]="NA"),"NA","N"))</f>
        <v>NA</v>
      </c>
      <c r="I71" s="11">
        <v>3769000000</v>
      </c>
      <c r="J71" s="10">
        <v>2014</v>
      </c>
      <c r="K71" t="s">
        <v>1</v>
      </c>
      <c r="L71" t="s">
        <v>0</v>
      </c>
      <c r="M71" t="s">
        <v>0</v>
      </c>
      <c r="P71" t="s">
        <v>0</v>
      </c>
      <c r="Q71" t="s">
        <v>0</v>
      </c>
      <c r="R71" t="s">
        <v>0</v>
      </c>
      <c r="S71" t="s">
        <v>0</v>
      </c>
      <c r="T71" s="53" t="str">
        <f>IFERROR((Table1[[#This Row],[2019 Total Scope 1, 2 + 3]])/Table1[[#This Row],[2018 Total Scope 1, 2 + Scope 3]]-1,"NA")</f>
        <v>NA</v>
      </c>
      <c r="V71" s="12" t="s">
        <v>401</v>
      </c>
      <c r="W71" s="12" t="s">
        <v>401</v>
      </c>
      <c r="X71" s="12"/>
      <c r="Y71" s="12">
        <v>107082396</v>
      </c>
      <c r="Z71" s="12" t="s">
        <v>401</v>
      </c>
      <c r="AA71" s="12" t="str">
        <f t="shared" si="21"/>
        <v/>
      </c>
      <c r="AB71" s="12" t="s">
        <v>401</v>
      </c>
      <c r="AC71" s="12" t="s">
        <v>401</v>
      </c>
      <c r="AD71" s="12"/>
      <c r="AE71" s="12">
        <v>90006931</v>
      </c>
      <c r="AF71" s="12" t="s">
        <v>401</v>
      </c>
      <c r="AG71" s="12" t="str">
        <f t="shared" si="23"/>
        <v/>
      </c>
      <c r="AH71" s="12" t="s">
        <v>401</v>
      </c>
      <c r="AI71" s="12" t="s">
        <v>401</v>
      </c>
      <c r="AJ71" s="12"/>
      <c r="AK71" s="12">
        <v>93387385</v>
      </c>
      <c r="AL71" s="12" t="s">
        <v>401</v>
      </c>
      <c r="AM71" s="12" t="str">
        <f t="shared" si="25"/>
        <v/>
      </c>
      <c r="AN71" s="12" t="s">
        <v>401</v>
      </c>
      <c r="AO71" s="12" t="s">
        <v>401</v>
      </c>
      <c r="AP71" s="12"/>
      <c r="AQ71" s="12">
        <v>100072736</v>
      </c>
      <c r="AR71" s="12" t="s">
        <v>401</v>
      </c>
      <c r="AS71" s="12" t="str">
        <f t="shared" si="26"/>
        <v/>
      </c>
      <c r="AT71" s="12" t="s">
        <v>401</v>
      </c>
      <c r="AU71" s="12" t="s">
        <v>401</v>
      </c>
      <c r="AV71" s="12"/>
      <c r="AW71" s="12" t="str">
        <f t="shared" si="19"/>
        <v/>
      </c>
      <c r="AX71" s="12" t="s">
        <v>401</v>
      </c>
      <c r="AY71" s="12" t="str">
        <f t="shared" si="27"/>
        <v/>
      </c>
      <c r="AZ71" t="s">
        <v>1</v>
      </c>
      <c r="BA71" s="18" t="s">
        <v>259</v>
      </c>
      <c r="BB71" s="30" t="s">
        <v>433</v>
      </c>
      <c r="BC71" s="14" t="s">
        <v>432</v>
      </c>
      <c r="BD71" s="44"/>
    </row>
    <row r="72" spans="1:56" ht="204" x14ac:dyDescent="0.2">
      <c r="A72" s="21" t="s">
        <v>260</v>
      </c>
      <c r="B72" s="21" t="s">
        <v>400</v>
      </c>
      <c r="C72" s="21" t="s">
        <v>3</v>
      </c>
      <c r="D72" s="4" t="s">
        <v>261</v>
      </c>
      <c r="E72" s="5">
        <v>39100000000</v>
      </c>
      <c r="F72" s="5" t="str">
        <f>IF(ISNUMBER(Table1[[#This Row],[2019 Scope 3 ]]),IF(Table1[[#This Row],[Net Earnings/Income (2019)]]-k_cost*Table1[[#This Row],[2019 Total Scope 1, 2 + 3]]&lt;0,"Y","N"),"NA")</f>
        <v>N</v>
      </c>
      <c r="G72" s="56" t="str">
        <f>IF(ISNUMBER(Table1[[#This Row],[2019 Scope 3 ]]),IF(k_cost*Table1[[#This Row],[2019 Total Scope 1, 2 + 3]]/Table1[[#This Row],[Size (2019 Revenue)]]&gt;k_rev_max,"Y","N"),"NA")</f>
        <v>N</v>
      </c>
      <c r="H72" s="56" t="str">
        <f>IF(OR(Table1[[#This Row],[Net earnings post carbon price @85/t]]="Y",Table1[[#This Row],[Carbon costs in % revenue]] = "Y"),"Y",IF(OR(Table1[[#This Row],[Net earnings post carbon price @85/t]]="NA",Table1[[#This Row],[Carbon costs in % revenue]]="NA"),"NA","N"))</f>
        <v>N</v>
      </c>
      <c r="I72" s="5">
        <v>4000000000</v>
      </c>
      <c r="J72" s="9">
        <v>1980</v>
      </c>
      <c r="K72" s="5" t="s">
        <v>1</v>
      </c>
      <c r="L72" t="s">
        <v>1</v>
      </c>
      <c r="M72" t="s">
        <v>1</v>
      </c>
      <c r="N72">
        <v>2050</v>
      </c>
      <c r="O72">
        <v>2020</v>
      </c>
      <c r="P72" s="3" t="s">
        <v>262</v>
      </c>
      <c r="Q72" t="s">
        <v>0</v>
      </c>
      <c r="R72" t="s">
        <v>1</v>
      </c>
      <c r="S72">
        <v>2025</v>
      </c>
      <c r="T72" s="53">
        <f>IFERROR((Table1[[#This Row],[2019 Total Scope 1, 2 + 3]])/Table1[[#This Row],[2018 Total Scope 1, 2 + Scope 3]]-1,"NA")</f>
        <v>0.15047595237228117</v>
      </c>
      <c r="V72" s="12">
        <v>46714</v>
      </c>
      <c r="W72" s="12">
        <v>209065</v>
      </c>
      <c r="X72" s="12"/>
      <c r="Y72" s="12">
        <f t="shared" ref="Y72:Y101" si="28">IFERROR(V72+W72-X72,"")</f>
        <v>255779</v>
      </c>
      <c r="Z72" s="12">
        <v>3250744</v>
      </c>
      <c r="AA72" s="12">
        <f t="shared" si="21"/>
        <v>3506523</v>
      </c>
      <c r="AB72" s="12">
        <v>41942</v>
      </c>
      <c r="AC72" s="12">
        <v>218240</v>
      </c>
      <c r="AD72" s="12"/>
      <c r="AE72" s="12">
        <f t="shared" ref="AE72:AE101" si="29">IFERROR(AB72+AC72-AD72,"")</f>
        <v>260182</v>
      </c>
      <c r="AF72" s="12">
        <v>2787707</v>
      </c>
      <c r="AG72" s="12">
        <f t="shared" si="23"/>
        <v>3047889</v>
      </c>
      <c r="AH72" s="12">
        <v>40139</v>
      </c>
      <c r="AI72" s="12">
        <v>224489</v>
      </c>
      <c r="AJ72" s="12"/>
      <c r="AK72" s="12">
        <f t="shared" ref="AK72:AK101" si="30">IFERROR(AH72+AI72-AJ72,"")</f>
        <v>264628</v>
      </c>
      <c r="AL72" s="12">
        <v>2751744</v>
      </c>
      <c r="AM72" s="12">
        <f t="shared" si="25"/>
        <v>3016372</v>
      </c>
      <c r="AN72" s="12">
        <v>37325</v>
      </c>
      <c r="AO72" s="12">
        <v>225772</v>
      </c>
      <c r="AP72" s="12"/>
      <c r="AQ72" s="12">
        <f t="shared" ref="AQ72:AQ101" si="31">IFERROR(AN72+AO72-AP72,"")</f>
        <v>263097</v>
      </c>
      <c r="AR72" s="12">
        <v>2468365</v>
      </c>
      <c r="AS72" s="12">
        <f t="shared" si="26"/>
        <v>2731462</v>
      </c>
      <c r="AT72" s="12">
        <v>35623</v>
      </c>
      <c r="AU72" s="12">
        <v>228680</v>
      </c>
      <c r="AV72" s="12"/>
      <c r="AW72" s="12">
        <f t="shared" si="19"/>
        <v>264303</v>
      </c>
      <c r="AX72" s="12">
        <v>2460556</v>
      </c>
      <c r="AY72" s="12">
        <f t="shared" si="27"/>
        <v>2724859</v>
      </c>
      <c r="AZ72" s="3" t="s">
        <v>263</v>
      </c>
      <c r="BA72" s="18" t="s">
        <v>264</v>
      </c>
      <c r="BC72" s="3" t="s">
        <v>265</v>
      </c>
      <c r="BD72" s="44"/>
    </row>
    <row r="73" spans="1:56" ht="153" x14ac:dyDescent="0.2">
      <c r="A73" s="21" t="s">
        <v>266</v>
      </c>
      <c r="B73" s="21" t="s">
        <v>266</v>
      </c>
      <c r="C73" s="32" t="s">
        <v>11</v>
      </c>
      <c r="D73" s="4" t="s">
        <v>96</v>
      </c>
      <c r="E73" s="5">
        <v>11720000000</v>
      </c>
      <c r="F73" s="5" t="str">
        <f>IF(ISNUMBER(Table1[[#This Row],[2019 Scope 3 ]]),IF(Table1[[#This Row],[Net Earnings/Income (2019)]]-k_cost*Table1[[#This Row],[2019 Total Scope 1, 2 + 3]]&lt;0,"Y","N"),"NA")</f>
        <v>N</v>
      </c>
      <c r="G73" s="56" t="str">
        <f>IF(ISNUMBER(Table1[[#This Row],[2019 Scope 3 ]]),IF(k_cost*Table1[[#This Row],[2019 Total Scope 1, 2 + 3]]/Table1[[#This Row],[Size (2019 Revenue)]]&gt;k_rev_max,"Y","N"),"NA")</f>
        <v>N</v>
      </c>
      <c r="H73" s="56" t="str">
        <f>IF(OR(Table1[[#This Row],[Net earnings post carbon price @85/t]]="Y",Table1[[#This Row],[Carbon costs in % revenue]] = "Y"),"Y",IF(OR(Table1[[#This Row],[Net earnings post carbon price @85/t]]="NA",Table1[[#This Row],[Carbon costs in % revenue]]="NA"),"NA","N"))</f>
        <v>N</v>
      </c>
      <c r="I73" s="5">
        <v>4141000000</v>
      </c>
      <c r="J73" s="9">
        <v>1999</v>
      </c>
      <c r="K73" s="5" t="s">
        <v>1</v>
      </c>
      <c r="L73" s="4" t="s">
        <v>0</v>
      </c>
      <c r="M73" t="s">
        <v>0</v>
      </c>
      <c r="P73" s="3" t="s">
        <v>267</v>
      </c>
      <c r="R73" s="51" t="s">
        <v>0</v>
      </c>
      <c r="S73" s="3" t="s">
        <v>268</v>
      </c>
      <c r="T73" s="55">
        <f>IFERROR((Table1[[#This Row],[2019 Total Scope 1, 2 + 3]])/Table1[[#This Row],[2018 Total Scope 1, 2 + Scope 3]]-1,"NA")</f>
        <v>0.27103215424918581</v>
      </c>
      <c r="U73" s="3"/>
      <c r="V73" s="12">
        <v>2695</v>
      </c>
      <c r="W73" s="12">
        <v>60093</v>
      </c>
      <c r="X73" s="12"/>
      <c r="Y73" s="12">
        <f t="shared" si="28"/>
        <v>62788</v>
      </c>
      <c r="Z73" s="12">
        <v>427730</v>
      </c>
      <c r="AA73" s="12">
        <f t="shared" si="21"/>
        <v>490518</v>
      </c>
      <c r="AB73" s="12">
        <v>2370</v>
      </c>
      <c r="AC73" s="12">
        <v>56903</v>
      </c>
      <c r="AD73" s="12"/>
      <c r="AE73" s="12">
        <f t="shared" si="29"/>
        <v>59273</v>
      </c>
      <c r="AF73" s="12">
        <v>326648</v>
      </c>
      <c r="AG73" s="12">
        <f t="shared" si="23"/>
        <v>385921</v>
      </c>
      <c r="AH73" s="12">
        <v>2571</v>
      </c>
      <c r="AI73" s="12">
        <v>47142</v>
      </c>
      <c r="AJ73" s="12"/>
      <c r="AK73" s="12">
        <f t="shared" si="30"/>
        <v>49713</v>
      </c>
      <c r="AL73" s="12">
        <v>277014</v>
      </c>
      <c r="AM73" s="12">
        <f t="shared" si="25"/>
        <v>326727</v>
      </c>
      <c r="AN73" s="12">
        <v>2419</v>
      </c>
      <c r="AO73" s="12">
        <v>43889</v>
      </c>
      <c r="AP73" s="12"/>
      <c r="AQ73" s="12">
        <f t="shared" si="31"/>
        <v>46308</v>
      </c>
      <c r="AR73" s="12">
        <v>237579</v>
      </c>
      <c r="AS73" s="12">
        <f t="shared" si="26"/>
        <v>283887</v>
      </c>
      <c r="AT73" s="12">
        <v>3339</v>
      </c>
      <c r="AU73" s="12">
        <v>51482</v>
      </c>
      <c r="AV73" s="12"/>
      <c r="AW73" s="12">
        <f t="shared" si="19"/>
        <v>54821</v>
      </c>
      <c r="AX73" s="12">
        <v>114259</v>
      </c>
      <c r="AY73" s="12">
        <f t="shared" si="27"/>
        <v>169080</v>
      </c>
      <c r="AZ73" s="3"/>
      <c r="BA73" s="18" t="s">
        <v>269</v>
      </c>
      <c r="BC73" s="3" t="s">
        <v>270</v>
      </c>
      <c r="BD73" s="44" t="s">
        <v>498</v>
      </c>
    </row>
    <row r="74" spans="1:56" ht="178.5" x14ac:dyDescent="0.2">
      <c r="A74" s="21" t="s">
        <v>271</v>
      </c>
      <c r="B74" s="21" t="s">
        <v>271</v>
      </c>
      <c r="C74" s="21" t="s">
        <v>5</v>
      </c>
      <c r="D74" s="4" t="s">
        <v>126</v>
      </c>
      <c r="E74" s="11">
        <v>21230000000</v>
      </c>
      <c r="F74" s="5" t="str">
        <f>IF(ISNUMBER(Table1[[#This Row],[2019 Scope 3 ]]),IF(Table1[[#This Row],[Net Earnings/Income (2019)]]-k_cost*Table1[[#This Row],[2019 Total Scope 1, 2 + 3]]&lt;0,"Y","N"),"NA")</f>
        <v>Y</v>
      </c>
      <c r="G74" s="56" t="str">
        <f>IF(ISNUMBER(Table1[[#This Row],[2019 Scope 3 ]]),IF(k_cost*Table1[[#This Row],[2019 Total Scope 1, 2 + 3]]/Table1[[#This Row],[Size (2019 Revenue)]]&gt;k_rev_max,"Y","N"),"NA")</f>
        <v>Y</v>
      </c>
      <c r="H74" s="56" t="str">
        <f>IF(OR(Table1[[#This Row],[Net earnings post carbon price @85/t]]="Y",Table1[[#This Row],[Carbon costs in % revenue]] = "Y"),"Y",IF(OR(Table1[[#This Row],[Net earnings post carbon price @85/t]]="NA",Table1[[#This Row],[Carbon costs in % revenue]]="NA"),"NA","N"))</f>
        <v>Y</v>
      </c>
      <c r="I74" s="11">
        <v>-652000000</v>
      </c>
      <c r="J74" s="10">
        <v>1986</v>
      </c>
      <c r="K74" t="s">
        <v>1</v>
      </c>
      <c r="L74" t="s">
        <v>0</v>
      </c>
      <c r="M74" t="s">
        <v>0</v>
      </c>
      <c r="P74" s="3" t="s">
        <v>272</v>
      </c>
      <c r="Q74" s="3" t="s">
        <v>273</v>
      </c>
      <c r="R74" t="s">
        <v>0</v>
      </c>
      <c r="T74" s="53">
        <f>IFERROR((Table1[[#This Row],[2019 Total Scope 1, 2 + 3]])/Table1[[#This Row],[2018 Total Scope 1, 2 + Scope 3]]-1,"NA")</f>
        <v>0.54264884754884757</v>
      </c>
      <c r="V74" s="12">
        <v>22430197</v>
      </c>
      <c r="W74" s="12">
        <v>6420000</v>
      </c>
      <c r="X74" s="12"/>
      <c r="Y74" s="12">
        <f t="shared" si="28"/>
        <v>28850197</v>
      </c>
      <c r="Z74" s="12">
        <f>103000000</f>
        <v>103000000</v>
      </c>
      <c r="AA74" s="12">
        <f t="shared" si="21"/>
        <v>131850197</v>
      </c>
      <c r="AB74" s="12">
        <v>10370000</v>
      </c>
      <c r="AC74" s="12">
        <v>4100000</v>
      </c>
      <c r="AD74" s="12"/>
      <c r="AE74" s="12">
        <f t="shared" si="29"/>
        <v>14470000</v>
      </c>
      <c r="AF74" s="12">
        <v>71000000</v>
      </c>
      <c r="AG74" s="12">
        <f t="shared" si="23"/>
        <v>85470000</v>
      </c>
      <c r="AH74" s="12">
        <v>11300000</v>
      </c>
      <c r="AI74" s="12">
        <v>4200000</v>
      </c>
      <c r="AJ74" s="12"/>
      <c r="AK74" s="12">
        <f t="shared" si="30"/>
        <v>15500000</v>
      </c>
      <c r="AL74" s="12">
        <v>63000000</v>
      </c>
      <c r="AM74" s="12">
        <f t="shared" si="25"/>
        <v>78500000</v>
      </c>
      <c r="AN74" s="12">
        <v>10490000</v>
      </c>
      <c r="AO74" s="12">
        <v>5380000</v>
      </c>
      <c r="AP74" s="12"/>
      <c r="AQ74" s="12">
        <f t="shared" si="31"/>
        <v>15870000</v>
      </c>
      <c r="AR74" s="12"/>
      <c r="AS74" s="12">
        <f t="shared" si="26"/>
        <v>15870000</v>
      </c>
      <c r="AT74" s="12">
        <v>9300000</v>
      </c>
      <c r="AU74" s="12">
        <v>4800000</v>
      </c>
      <c r="AV74" s="12"/>
      <c r="AW74" s="12">
        <f t="shared" si="19"/>
        <v>14100000</v>
      </c>
      <c r="AX74" s="12"/>
      <c r="AY74" s="12">
        <f t="shared" si="27"/>
        <v>14100000</v>
      </c>
      <c r="BA74" s="18" t="s">
        <v>274</v>
      </c>
      <c r="BC74" s="3" t="s">
        <v>275</v>
      </c>
      <c r="BD74" s="44"/>
    </row>
    <row r="75" spans="1:56" ht="165.75" x14ac:dyDescent="0.2">
      <c r="A75" s="21" t="s">
        <v>276</v>
      </c>
      <c r="B75" s="21" t="s">
        <v>276</v>
      </c>
      <c r="C75" s="32" t="s">
        <v>11</v>
      </c>
      <c r="D75" s="4" t="s">
        <v>74</v>
      </c>
      <c r="E75" s="11">
        <v>39500000000</v>
      </c>
      <c r="F75" s="5" t="str">
        <f>IF(ISNUMBER(Table1[[#This Row],[2019 Scope 3 ]]),IF(Table1[[#This Row],[Net Earnings/Income (2019)]]-k_cost*Table1[[#This Row],[2019 Total Scope 1, 2 + 3]]&lt;0,"Y","N"),"NA")</f>
        <v>N</v>
      </c>
      <c r="G75" s="56" t="str">
        <f>IF(ISNUMBER(Table1[[#This Row],[2019 Scope 3 ]]),IF(k_cost*Table1[[#This Row],[2019 Total Scope 1, 2 + 3]]/Table1[[#This Row],[Size (2019 Revenue)]]&gt;k_rev_max,"Y","N"),"NA")</f>
        <v>N</v>
      </c>
      <c r="H75" s="56" t="str">
        <f>IF(OR(Table1[[#This Row],[Net earnings post carbon price @85/t]]="Y",Table1[[#This Row],[Carbon costs in % revenue]] = "Y"),"Y",IF(OR(Table1[[#This Row],[Net earnings post carbon price @85/t]]="NA",Table1[[#This Row],[Carbon costs in % revenue]]="NA"),"NA","N"))</f>
        <v>N</v>
      </c>
      <c r="I75" s="11">
        <v>11080000000</v>
      </c>
      <c r="J75" s="10">
        <v>1986</v>
      </c>
      <c r="K75" t="s">
        <v>1</v>
      </c>
      <c r="L75" s="4" t="s">
        <v>0</v>
      </c>
      <c r="M75" t="s">
        <v>0</v>
      </c>
      <c r="P75" s="3" t="s">
        <v>277</v>
      </c>
      <c r="R75" t="s">
        <v>0</v>
      </c>
      <c r="T75" s="53">
        <f>IFERROR((Table1[[#This Row],[2019 Total Scope 1, 2 + 3]])/Table1[[#This Row],[2018 Total Scope 1, 2 + Scope 3]]-1,"NA")</f>
        <v>-0.11022567324453059</v>
      </c>
      <c r="V75" s="12">
        <v>16520</v>
      </c>
      <c r="W75" s="12">
        <v>349022</v>
      </c>
      <c r="X75" s="12"/>
      <c r="Y75" s="12">
        <f t="shared" si="28"/>
        <v>365542</v>
      </c>
      <c r="Z75" s="12">
        <f>1139792+151888+21233+8956+1055+173807+70+35824+10915</f>
        <v>1543540</v>
      </c>
      <c r="AA75" s="12">
        <f t="shared" si="21"/>
        <v>1909082</v>
      </c>
      <c r="AB75" s="12">
        <v>17084</v>
      </c>
      <c r="AC75" s="12">
        <v>362448</v>
      </c>
      <c r="AD75" s="12"/>
      <c r="AE75" s="12">
        <f t="shared" si="29"/>
        <v>379532</v>
      </c>
      <c r="AF75" s="12">
        <f>1355224+136405+21747+9468+762+192845+70+37874+11653</f>
        <v>1766048</v>
      </c>
      <c r="AG75" s="12">
        <f t="shared" si="23"/>
        <v>2145580</v>
      </c>
      <c r="AH75" s="12">
        <v>14763</v>
      </c>
      <c r="AI75" s="12">
        <v>403160</v>
      </c>
      <c r="AJ75" s="12"/>
      <c r="AK75" s="12">
        <f t="shared" si="30"/>
        <v>417923</v>
      </c>
      <c r="AL75" s="12">
        <f>77507+588157+24190+33270+769+184168+82.95+33270+40576+9716.17</f>
        <v>991706.12</v>
      </c>
      <c r="AM75" s="12">
        <f t="shared" si="25"/>
        <v>1409629.12</v>
      </c>
      <c r="AN75" s="12">
        <v>11293</v>
      </c>
      <c r="AO75" s="12">
        <v>354428</v>
      </c>
      <c r="AP75" s="12"/>
      <c r="AQ75" s="12">
        <f t="shared" si="31"/>
        <v>365721</v>
      </c>
      <c r="AR75" s="12">
        <f>40644+296193+23999+35103+812+188451+81.85+35103+17552+11604</f>
        <v>649542.85</v>
      </c>
      <c r="AS75" s="12">
        <f t="shared" si="26"/>
        <v>1015263.85</v>
      </c>
      <c r="AT75" s="12">
        <v>11741</v>
      </c>
      <c r="AU75" s="12">
        <v>358673</v>
      </c>
      <c r="AV75" s="12"/>
      <c r="AW75" s="12">
        <f t="shared" si="19"/>
        <v>370414</v>
      </c>
      <c r="AX75" s="12"/>
      <c r="AY75" s="12">
        <f t="shared" si="27"/>
        <v>370414</v>
      </c>
      <c r="BA75" s="18" t="s">
        <v>278</v>
      </c>
      <c r="BC75" s="3" t="s">
        <v>279</v>
      </c>
      <c r="BD75" s="44"/>
    </row>
    <row r="76" spans="1:56" ht="102" x14ac:dyDescent="0.2">
      <c r="A76" s="21" t="s">
        <v>280</v>
      </c>
      <c r="B76" s="21" t="s">
        <v>280</v>
      </c>
      <c r="C76" s="32" t="s">
        <v>6</v>
      </c>
      <c r="D76" s="4" t="s">
        <v>89</v>
      </c>
      <c r="E76" s="11">
        <v>17770000000</v>
      </c>
      <c r="F76" s="5" t="str">
        <f>IF(ISNUMBER(Table1[[#This Row],[2019 Scope 3 ]]),IF(Table1[[#This Row],[Net Earnings/Income (2019)]]-k_cost*Table1[[#This Row],[2019 Total Scope 1, 2 + 3]]&lt;0,"Y","N"),"NA")</f>
        <v>N</v>
      </c>
      <c r="G76" s="56" t="str">
        <f>IF(ISNUMBER(Table1[[#This Row],[2019 Scope 3 ]]),IF(k_cost*Table1[[#This Row],[2019 Total Scope 1, 2 + 3]]/Table1[[#This Row],[Size (2019 Revenue)]]&gt;k_rev_max,"Y","N"),"NA")</f>
        <v>N</v>
      </c>
      <c r="H76" s="56" t="str">
        <f>IF(OR(Table1[[#This Row],[Net earnings post carbon price @85/t]]="Y",Table1[[#This Row],[Carbon costs in % revenue]] = "Y"),"Y",IF(OR(Table1[[#This Row],[Net earnings post carbon price @85/t]]="NA",Table1[[#This Row],[Carbon costs in % revenue]]="NA"),"NA","N"))</f>
        <v>N</v>
      </c>
      <c r="I76" s="11">
        <v>2459000000</v>
      </c>
      <c r="J76" s="10">
        <v>2002</v>
      </c>
      <c r="K76" t="s">
        <v>1</v>
      </c>
      <c r="L76" t="s">
        <v>0</v>
      </c>
      <c r="M76" s="3" t="s">
        <v>1</v>
      </c>
      <c r="P76" s="3"/>
      <c r="R76" t="s">
        <v>0</v>
      </c>
      <c r="T76" s="53">
        <f>IFERROR((Table1[[#This Row],[2019 Total Scope 1, 2 + 3]])/Table1[[#This Row],[2018 Total Scope 1, 2 + Scope 3]]-1,"NA")</f>
        <v>-0.10642570281124497</v>
      </c>
      <c r="V76" s="12">
        <v>9900</v>
      </c>
      <c r="W76" s="12">
        <v>47000</v>
      </c>
      <c r="X76" s="12"/>
      <c r="Y76" s="12">
        <f t="shared" si="28"/>
        <v>56900</v>
      </c>
      <c r="Z76" s="12">
        <v>32100</v>
      </c>
      <c r="AA76" s="12">
        <f t="shared" si="21"/>
        <v>89000</v>
      </c>
      <c r="AB76" s="12">
        <v>10600</v>
      </c>
      <c r="AC76" s="12">
        <v>57900</v>
      </c>
      <c r="AD76" s="12"/>
      <c r="AE76" s="12">
        <f t="shared" si="29"/>
        <v>68500</v>
      </c>
      <c r="AF76" s="12">
        <v>31100</v>
      </c>
      <c r="AG76" s="12">
        <f t="shared" si="23"/>
        <v>99600</v>
      </c>
      <c r="AH76" s="12">
        <v>9600</v>
      </c>
      <c r="AI76" s="12">
        <v>57800</v>
      </c>
      <c r="AJ76" s="12"/>
      <c r="AK76" s="12">
        <f t="shared" si="30"/>
        <v>67400</v>
      </c>
      <c r="AL76" s="12">
        <v>24500</v>
      </c>
      <c r="AM76" s="12">
        <f t="shared" si="25"/>
        <v>91900</v>
      </c>
      <c r="AN76" s="12" t="s">
        <v>401</v>
      </c>
      <c r="AO76" s="12" t="s">
        <v>401</v>
      </c>
      <c r="AP76" s="12"/>
      <c r="AQ76" s="12" t="str">
        <f t="shared" si="31"/>
        <v/>
      </c>
      <c r="AR76" s="12" t="s">
        <v>401</v>
      </c>
      <c r="AS76" s="12" t="str">
        <f t="shared" si="26"/>
        <v/>
      </c>
      <c r="AT76" s="12" t="s">
        <v>401</v>
      </c>
      <c r="AU76" s="12" t="s">
        <v>401</v>
      </c>
      <c r="AV76" s="12"/>
      <c r="AW76" s="12" t="str">
        <f t="shared" ref="AW76:AW101" si="32">IFERROR(AT76+AU76-AV76,"")</f>
        <v/>
      </c>
      <c r="AX76" s="12" t="s">
        <v>401</v>
      </c>
      <c r="AY76" s="12" t="str">
        <f t="shared" si="27"/>
        <v/>
      </c>
      <c r="AZ76" t="s">
        <v>281</v>
      </c>
      <c r="BA76" s="18" t="s">
        <v>282</v>
      </c>
      <c r="BB76" s="3" t="s">
        <v>283</v>
      </c>
      <c r="BC76" s="3" t="s">
        <v>284</v>
      </c>
      <c r="BD76" s="44"/>
    </row>
    <row r="77" spans="1:56" ht="127.5" x14ac:dyDescent="0.2">
      <c r="A77" s="21" t="s">
        <v>285</v>
      </c>
      <c r="B77" s="21" t="s">
        <v>405</v>
      </c>
      <c r="C77" s="21" t="s">
        <v>4</v>
      </c>
      <c r="D77" s="4" t="s">
        <v>133</v>
      </c>
      <c r="E77" s="5">
        <v>67160000000</v>
      </c>
      <c r="F77" s="5" t="str">
        <f>IF(ISNUMBER(Table1[[#This Row],[2019 Scope 3 ]]),IF(Table1[[#This Row],[Net Earnings/Income (2019)]]-k_cost*Table1[[#This Row],[2019 Total Scope 1, 2 + 3]]&lt;0,"Y","N"),"NA")</f>
        <v>N</v>
      </c>
      <c r="G77" s="56" t="str">
        <f>IF(ISNUMBER(Table1[[#This Row],[2019 Scope 3 ]]),IF(k_cost*Table1[[#This Row],[2019 Total Scope 1, 2 + 3]]/Table1[[#This Row],[Size (2019 Revenue)]]&gt;k_rev_max,"Y","N"),"NA")</f>
        <v>Y</v>
      </c>
      <c r="H77" s="56" t="str">
        <f>IF(OR(Table1[[#This Row],[Net earnings post carbon price @85/t]]="Y",Table1[[#This Row],[Carbon costs in % revenue]] = "Y"),"Y",IF(OR(Table1[[#This Row],[Net earnings post carbon price @85/t]]="NA",Table1[[#This Row],[Carbon costs in % revenue]]="NA"),"NA","N"))</f>
        <v>Y</v>
      </c>
      <c r="I77" s="5">
        <v>7353000000</v>
      </c>
      <c r="J77" s="9">
        <v>1999</v>
      </c>
      <c r="K77" s="5" t="s">
        <v>1</v>
      </c>
      <c r="L77" s="4" t="s">
        <v>0</v>
      </c>
      <c r="M77" t="s">
        <v>1</v>
      </c>
      <c r="P77" s="3" t="s">
        <v>286</v>
      </c>
      <c r="R77" t="s">
        <v>0</v>
      </c>
      <c r="S77">
        <v>2020</v>
      </c>
      <c r="T77" s="53">
        <f>IFERROR((Table1[[#This Row],[2019 Total Scope 1, 2 + 3]])/Table1[[#This Row],[2018 Total Scope 1, 2 + Scope 3]]-1,"NA")</f>
        <v>-0.18410667614296283</v>
      </c>
      <c r="V77" s="12">
        <v>3552415</v>
      </c>
      <c r="W77" s="12">
        <v>1425255</v>
      </c>
      <c r="X77" s="12"/>
      <c r="Y77" s="12">
        <f t="shared" si="28"/>
        <v>4977670</v>
      </c>
      <c r="Z77" s="12">
        <f>33599797+600278+946616+720951+25353+140452+201663+11088559+231426+811130+1843424+255417</f>
        <v>50465066</v>
      </c>
      <c r="AA77" s="12">
        <f t="shared" si="21"/>
        <v>55442736</v>
      </c>
      <c r="AB77" s="12">
        <v>3577266</v>
      </c>
      <c r="AC77" s="12">
        <v>1558167</v>
      </c>
      <c r="AD77" s="12"/>
      <c r="AE77" s="12">
        <f t="shared" si="29"/>
        <v>5135433</v>
      </c>
      <c r="AF77" s="12">
        <f>39026490+1698930+603560+1161810+60360+121070+506710+9964010+3046900+1195840+1418720+2730730+1282850</f>
        <v>62817980</v>
      </c>
      <c r="AG77" s="12">
        <f t="shared" si="23"/>
        <v>67953413</v>
      </c>
      <c r="AH77" s="12">
        <v>3734520</v>
      </c>
      <c r="AI77" s="12">
        <v>1713950</v>
      </c>
      <c r="AJ77" s="12"/>
      <c r="AK77" s="12">
        <f t="shared" si="30"/>
        <v>5448470</v>
      </c>
      <c r="AL77" s="12">
        <f>39026490+1698930+603560+1161810+60360+121070+506710+9964010+3046900+1195840+1418720+2730730+1282850</f>
        <v>62817980</v>
      </c>
      <c r="AM77" s="12">
        <f t="shared" si="25"/>
        <v>68266450</v>
      </c>
      <c r="AN77" s="12">
        <v>3798343</v>
      </c>
      <c r="AO77" s="12">
        <v>1912298</v>
      </c>
      <c r="AP77" s="12"/>
      <c r="AQ77" s="12">
        <f t="shared" si="31"/>
        <v>5710641</v>
      </c>
      <c r="AR77" s="12">
        <f>39026487+1698928+603559+1161808+60356+121072+506714+9964009+3046899+1195843+1418715+2730728+1282853</f>
        <v>62817971</v>
      </c>
      <c r="AS77" s="12">
        <f t="shared" si="26"/>
        <v>68528612</v>
      </c>
      <c r="AT77" s="12">
        <v>3766456</v>
      </c>
      <c r="AU77" s="12">
        <v>1985249</v>
      </c>
      <c r="AV77" s="12"/>
      <c r="AW77" s="12">
        <f t="shared" si="32"/>
        <v>5751705</v>
      </c>
      <c r="AX77" s="12">
        <v>63000000</v>
      </c>
      <c r="AY77" s="12">
        <f t="shared" si="27"/>
        <v>68751705</v>
      </c>
      <c r="BA77" s="3" t="s">
        <v>287</v>
      </c>
      <c r="BC77" s="3" t="s">
        <v>288</v>
      </c>
      <c r="BD77" s="44"/>
    </row>
    <row r="78" spans="1:56" ht="229.5" x14ac:dyDescent="0.2">
      <c r="A78" s="21" t="s">
        <v>289</v>
      </c>
      <c r="B78" s="21" t="s">
        <v>451</v>
      </c>
      <c r="C78" s="32" t="s">
        <v>7</v>
      </c>
      <c r="D78" s="4" t="s">
        <v>69</v>
      </c>
      <c r="E78" s="5">
        <v>51750000000</v>
      </c>
      <c r="F78" s="5" t="str">
        <f>IF(ISNUMBER(Table1[[#This Row],[2019 Scope 3 ]]),IF(Table1[[#This Row],[Net Earnings/Income (2019)]]-k_cost*Table1[[#This Row],[2019 Total Scope 1, 2 + 3]]&lt;0,"Y","N"),"NA")</f>
        <v>N</v>
      </c>
      <c r="G78" s="56" t="str">
        <f>IF(ISNUMBER(Table1[[#This Row],[2019 Scope 3 ]]),IF(k_cost*Table1[[#This Row],[2019 Total Scope 1, 2 + 3]]/Table1[[#This Row],[Size (2019 Revenue)]]&gt;k_rev_max,"Y","N"),"NA")</f>
        <v>N</v>
      </c>
      <c r="H78" s="56" t="str">
        <f>IF(OR(Table1[[#This Row],[Net earnings post carbon price @85/t]]="Y",Table1[[#This Row],[Carbon costs in % revenue]] = "Y"),"Y",IF(OR(Table1[[#This Row],[Net earnings post carbon price @85/t]]="NA",Table1[[#This Row],[Carbon costs in % revenue]]="NA"),"NA","N"))</f>
        <v>N</v>
      </c>
      <c r="I78" s="5">
        <v>16270000000</v>
      </c>
      <c r="J78" s="9">
        <v>1942</v>
      </c>
      <c r="K78" s="5" t="s">
        <v>1</v>
      </c>
      <c r="L78" t="s">
        <v>0</v>
      </c>
      <c r="M78" t="s">
        <v>1</v>
      </c>
      <c r="P78" s="3" t="s">
        <v>290</v>
      </c>
      <c r="R78" t="s">
        <v>0</v>
      </c>
      <c r="T78" s="53">
        <f>IFERROR((Table1[[#This Row],[2019 Total Scope 1, 2 + 3]])/Table1[[#This Row],[2018 Total Scope 1, 2 + Scope 3]]-1,"NA")</f>
        <v>0.31837759739269167</v>
      </c>
      <c r="V78" s="12">
        <v>734638</v>
      </c>
      <c r="W78" s="12">
        <v>634205</v>
      </c>
      <c r="X78" s="12"/>
      <c r="Y78" s="12">
        <f t="shared" si="28"/>
        <v>1368843</v>
      </c>
      <c r="Z78" s="12">
        <f>3794093+345953+252909+873030+16420+195718+60645+36273+99576</f>
        <v>5674617</v>
      </c>
      <c r="AA78" s="12">
        <f t="shared" si="21"/>
        <v>7043460</v>
      </c>
      <c r="AB78" s="12">
        <v>756964</v>
      </c>
      <c r="AC78" s="12">
        <v>905002</v>
      </c>
      <c r="AD78" s="12"/>
      <c r="AE78" s="12">
        <f t="shared" si="29"/>
        <v>1661966</v>
      </c>
      <c r="AF78" s="12">
        <f>1562024+855794+265780+416416+11667+347533+92869+35444+85059+7969</f>
        <v>3680555</v>
      </c>
      <c r="AG78" s="12">
        <f t="shared" si="23"/>
        <v>5342521</v>
      </c>
      <c r="AH78" s="12">
        <v>788838</v>
      </c>
      <c r="AI78" s="12">
        <v>812923</v>
      </c>
      <c r="AJ78" s="12"/>
      <c r="AK78" s="12">
        <f t="shared" si="30"/>
        <v>1601761</v>
      </c>
      <c r="AL78" s="12" t="s">
        <v>401</v>
      </c>
      <c r="AM78" s="12" t="str">
        <f t="shared" si="25"/>
        <v/>
      </c>
      <c r="AN78" s="12">
        <v>940953</v>
      </c>
      <c r="AO78" s="12">
        <v>1106924</v>
      </c>
      <c r="AP78" s="12"/>
      <c r="AQ78" s="12">
        <f t="shared" si="31"/>
        <v>2047877</v>
      </c>
      <c r="AR78" s="12">
        <f>1239543+1316763+456623+200983+7363+439313+123060+36243</f>
        <v>3819891</v>
      </c>
      <c r="AS78" s="12">
        <f t="shared" si="26"/>
        <v>5867768</v>
      </c>
      <c r="AT78" s="12">
        <v>875274</v>
      </c>
      <c r="AU78" s="12">
        <v>625591</v>
      </c>
      <c r="AV78" s="12"/>
      <c r="AW78" s="12">
        <f t="shared" si="32"/>
        <v>1500865</v>
      </c>
      <c r="AX78" s="12">
        <f>2135509+956001+342259+126424+6508+147598+134086+89710</f>
        <v>3938095</v>
      </c>
      <c r="AY78" s="12">
        <f t="shared" si="27"/>
        <v>5438960</v>
      </c>
      <c r="AZ78" s="6" t="s">
        <v>0</v>
      </c>
      <c r="BA78" s="3" t="s">
        <v>291</v>
      </c>
      <c r="BC78" s="3" t="s">
        <v>292</v>
      </c>
      <c r="BD78" s="44"/>
    </row>
    <row r="79" spans="1:56" ht="357" x14ac:dyDescent="0.2">
      <c r="A79" s="21" t="s">
        <v>293</v>
      </c>
      <c r="B79" s="21" t="s">
        <v>455</v>
      </c>
      <c r="C79" s="21" t="s">
        <v>4</v>
      </c>
      <c r="D79" s="4" t="s">
        <v>82</v>
      </c>
      <c r="E79" s="5">
        <v>79820000000</v>
      </c>
      <c r="F79" s="5" t="str">
        <f>IF(ISNUMBER(Table1[[#This Row],[2019 Scope 3 ]]),IF(Table1[[#This Row],[Net Earnings/Income (2019)]]-k_cost*Table1[[#This Row],[2019 Total Scope 1, 2 + 3]]&lt;0,"Y","N"),"NA")</f>
        <v>N</v>
      </c>
      <c r="G79" s="56" t="str">
        <f>IF(ISNUMBER(Table1[[#This Row],[2019 Scope 3 ]]),IF(k_cost*Table1[[#This Row],[2019 Total Scope 1, 2 + 3]]/Table1[[#This Row],[Size (2019 Revenue)]]&gt;k_rev_max,"Y","N"),"NA")</f>
        <v>N</v>
      </c>
      <c r="H79" s="56" t="str">
        <f>IF(OR(Table1[[#This Row],[Net earnings post carbon price @85/t]]="Y",Table1[[#This Row],[Carbon costs in % revenue]] = "Y"),"Y",IF(OR(Table1[[#This Row],[Net earnings post carbon price @85/t]]="NA",Table1[[#This Row],[Carbon costs in % revenue]]="NA"),"NA","N"))</f>
        <v>N</v>
      </c>
      <c r="I79" s="5">
        <v>7910000000</v>
      </c>
      <c r="J79" s="9">
        <v>2008</v>
      </c>
      <c r="K79" s="5" t="s">
        <v>1</v>
      </c>
      <c r="L79" t="s">
        <v>1</v>
      </c>
      <c r="M79" t="s">
        <v>1</v>
      </c>
      <c r="N79">
        <v>2030</v>
      </c>
      <c r="O79">
        <v>2019</v>
      </c>
      <c r="P79" s="3" t="s">
        <v>294</v>
      </c>
      <c r="Q79" t="s">
        <v>1</v>
      </c>
      <c r="R79" t="s">
        <v>0</v>
      </c>
      <c r="S79">
        <v>2030</v>
      </c>
      <c r="T79" s="53">
        <f>IFERROR((Table1[[#This Row],[2019 Total Scope 1, 2 + 3]])/Table1[[#This Row],[2018 Total Scope 1, 2 + Scope 3]]-1,"NA")</f>
        <v>-0.14933773889901192</v>
      </c>
      <c r="V79" s="12">
        <f>4682000*0.085</f>
        <v>397970</v>
      </c>
      <c r="W79" s="12">
        <f>4682000*0.034</f>
        <v>159188</v>
      </c>
      <c r="X79" s="12"/>
      <c r="Y79" s="12">
        <f t="shared" si="28"/>
        <v>557158</v>
      </c>
      <c r="Z79" s="12">
        <f>4682000*0.881</f>
        <v>4124842</v>
      </c>
      <c r="AA79" s="12">
        <f t="shared" si="21"/>
        <v>4682000</v>
      </c>
      <c r="AB79" s="12">
        <v>408162</v>
      </c>
      <c r="AC79" s="12">
        <v>175785</v>
      </c>
      <c r="AD79" s="12"/>
      <c r="AE79" s="12">
        <f t="shared" si="29"/>
        <v>583947</v>
      </c>
      <c r="AF79" s="12">
        <v>4920000</v>
      </c>
      <c r="AG79" s="12">
        <f t="shared" si="23"/>
        <v>5503947</v>
      </c>
      <c r="AH79" s="12">
        <v>388384</v>
      </c>
      <c r="AI79" s="12">
        <v>241355</v>
      </c>
      <c r="AJ79" s="12"/>
      <c r="AK79" s="12">
        <f t="shared" si="30"/>
        <v>629739</v>
      </c>
      <c r="AL79" s="12">
        <v>5137000</v>
      </c>
      <c r="AM79" s="12">
        <f t="shared" si="25"/>
        <v>5766739</v>
      </c>
      <c r="AN79" s="12">
        <v>351990</v>
      </c>
      <c r="AO79" s="12">
        <v>314049</v>
      </c>
      <c r="AP79" s="12"/>
      <c r="AQ79" s="12">
        <f t="shared" si="31"/>
        <v>666039</v>
      </c>
      <c r="AR79" s="12">
        <v>5649000</v>
      </c>
      <c r="AS79" s="12">
        <f t="shared" si="26"/>
        <v>6315039</v>
      </c>
      <c r="AT79" s="12">
        <v>361720</v>
      </c>
      <c r="AU79" s="12">
        <v>329323</v>
      </c>
      <c r="AV79" s="12"/>
      <c r="AW79" s="12">
        <f t="shared" si="32"/>
        <v>691043</v>
      </c>
      <c r="AX79" s="12">
        <v>5690000</v>
      </c>
      <c r="AY79" s="12">
        <f t="shared" si="27"/>
        <v>6381043</v>
      </c>
      <c r="BA79" s="3" t="s">
        <v>295</v>
      </c>
      <c r="BC79" s="3" t="s">
        <v>296</v>
      </c>
      <c r="BD79" s="44"/>
    </row>
    <row r="80" spans="1:56" ht="306" x14ac:dyDescent="0.2">
      <c r="A80" s="21" t="s">
        <v>297</v>
      </c>
      <c r="B80" s="21" t="s">
        <v>478</v>
      </c>
      <c r="C80" s="21" t="s">
        <v>4</v>
      </c>
      <c r="D80" s="4" t="s">
        <v>136</v>
      </c>
      <c r="E80" s="5">
        <v>67680000000</v>
      </c>
      <c r="F80" s="5" t="str">
        <f>IF(ISNUMBER(Table1[[#This Row],[2019 Scope 3 ]]),IF(Table1[[#This Row],[Net Earnings/Income (2019)]]-k_cost*Table1[[#This Row],[2019 Total Scope 1, 2 + 3]]&lt;0,"Y","N"),"NA")</f>
        <v>Y</v>
      </c>
      <c r="G80" s="56" t="str">
        <f>IF(ISNUMBER(Table1[[#This Row],[2019 Scope 3 ]]),IF(k_cost*Table1[[#This Row],[2019 Total Scope 1, 2 + 3]]/Table1[[#This Row],[Size (2019 Revenue)]]&gt;k_rev_max,"Y","N"),"NA")</f>
        <v>Y</v>
      </c>
      <c r="H80" s="56" t="str">
        <f>IF(OR(Table1[[#This Row],[Net earnings post carbon price @85/t]]="Y",Table1[[#This Row],[Carbon costs in % revenue]] = "Y"),"Y",IF(OR(Table1[[#This Row],[Net earnings post carbon price @85/t]]="NA",Table1[[#This Row],[Carbon costs in % revenue]]="NA"),"NA","N"))</f>
        <v>Y</v>
      </c>
      <c r="I80" s="5">
        <v>3890000000</v>
      </c>
      <c r="J80" s="9">
        <v>1978</v>
      </c>
      <c r="K80" s="5" t="s">
        <v>1</v>
      </c>
      <c r="L80" s="4" t="s">
        <v>0</v>
      </c>
      <c r="M80" t="s">
        <v>1</v>
      </c>
      <c r="P80" s="3" t="s">
        <v>298</v>
      </c>
      <c r="Q80" t="s">
        <v>0</v>
      </c>
      <c r="R80" t="s">
        <v>0</v>
      </c>
      <c r="S80">
        <v>2030</v>
      </c>
      <c r="T80" s="53">
        <f>IFERROR((Table1[[#This Row],[2019 Total Scope 1, 2 + 3]])/Table1[[#This Row],[2018 Total Scope 1, 2 + Scope 3]]-1,"NA")</f>
        <v>0.61057117392417259</v>
      </c>
      <c r="V80" s="12">
        <v>2210000</v>
      </c>
      <c r="W80" s="12">
        <v>1840000</v>
      </c>
      <c r="X80" s="12"/>
      <c r="Y80" s="12">
        <f t="shared" si="28"/>
        <v>4050000</v>
      </c>
      <c r="Z80" s="12">
        <f>164210001+247000+495000+9000+151042+117000+3700000+199133000+13251000</f>
        <v>381313043</v>
      </c>
      <c r="AA80" s="12">
        <f t="shared" si="21"/>
        <v>385363043</v>
      </c>
      <c r="AB80" s="12">
        <v>2143000</v>
      </c>
      <c r="AC80" s="12">
        <v>1910000</v>
      </c>
      <c r="AD80" s="12"/>
      <c r="AE80" s="12">
        <f t="shared" si="29"/>
        <v>4053000</v>
      </c>
      <c r="AF80" s="12">
        <v>235218042</v>
      </c>
      <c r="AG80" s="12">
        <f t="shared" si="23"/>
        <v>239271042</v>
      </c>
      <c r="AH80" s="12">
        <v>2122000</v>
      </c>
      <c r="AI80" s="12">
        <v>2437000</v>
      </c>
      <c r="AJ80" s="12"/>
      <c r="AK80" s="12">
        <f t="shared" si="30"/>
        <v>4559000</v>
      </c>
      <c r="AL80" s="12">
        <v>235218042</v>
      </c>
      <c r="AM80" s="12">
        <f t="shared" si="25"/>
        <v>239777042</v>
      </c>
      <c r="AN80" s="12">
        <v>2099000</v>
      </c>
      <c r="AO80" s="12">
        <v>2742000</v>
      </c>
      <c r="AP80" s="12"/>
      <c r="AQ80" s="12">
        <f t="shared" si="31"/>
        <v>4841000</v>
      </c>
      <c r="AR80" s="12">
        <v>210173353</v>
      </c>
      <c r="AS80" s="12">
        <f t="shared" si="26"/>
        <v>215014353</v>
      </c>
      <c r="AT80" s="12">
        <v>2268000</v>
      </c>
      <c r="AU80" s="12">
        <v>2881000</v>
      </c>
      <c r="AV80" s="12"/>
      <c r="AW80" s="12">
        <f t="shared" si="32"/>
        <v>5149000</v>
      </c>
      <c r="AX80" s="12">
        <v>210173353</v>
      </c>
      <c r="AY80" s="12">
        <f t="shared" si="27"/>
        <v>215322353</v>
      </c>
      <c r="AZ80" s="3" t="s">
        <v>299</v>
      </c>
      <c r="BA80" s="3" t="s">
        <v>300</v>
      </c>
      <c r="BC80" s="3" t="s">
        <v>301</v>
      </c>
      <c r="BD80" s="44"/>
    </row>
    <row r="81" spans="1:56" ht="114.75" x14ac:dyDescent="0.2">
      <c r="A81" s="21" t="s">
        <v>302</v>
      </c>
      <c r="B81" s="21" t="s">
        <v>458</v>
      </c>
      <c r="C81" s="32" t="s">
        <v>11</v>
      </c>
      <c r="D81" s="4" t="s">
        <v>96</v>
      </c>
      <c r="E81" s="11">
        <v>24270000000</v>
      </c>
      <c r="F81" s="5" t="str">
        <f>IF(ISNUMBER(Table1[[#This Row],[2019 Scope 3 ]]),IF(Table1[[#This Row],[Net Earnings/Income (2019)]]-k_cost*Table1[[#This Row],[2019 Total Scope 1, 2 + 3]]&lt;0,"Y","N"),"NA")</f>
        <v>N</v>
      </c>
      <c r="G81" s="56" t="str">
        <f>IF(ISNUMBER(Table1[[#This Row],[2019 Scope 3 ]]),IF(k_cost*Table1[[#This Row],[2019 Total Scope 1, 2 + 3]]/Table1[[#This Row],[Size (2019 Revenue)]]&gt;k_rev_max,"Y","N"),"NA")</f>
        <v>N</v>
      </c>
      <c r="H81" s="56" t="str">
        <f>IF(OR(Table1[[#This Row],[Net earnings post carbon price @85/t]]="Y",Table1[[#This Row],[Carbon costs in % revenue]] = "Y"),"Y",IF(OR(Table1[[#This Row],[Net earnings post carbon price @85/t]]="NA",Table1[[#This Row],[Carbon costs in % revenue]]="NA"),"NA","N"))</f>
        <v>N</v>
      </c>
      <c r="I81" s="11">
        <v>4390000000</v>
      </c>
      <c r="J81" s="10">
        <v>1991</v>
      </c>
      <c r="K81" t="s">
        <v>1</v>
      </c>
      <c r="L81" t="s">
        <v>0</v>
      </c>
      <c r="M81" t="s">
        <v>0</v>
      </c>
      <c r="P81" s="3" t="s">
        <v>303</v>
      </c>
      <c r="Q81" t="s">
        <v>1</v>
      </c>
      <c r="R81" t="s">
        <v>0</v>
      </c>
      <c r="T81" s="53">
        <f>IFERROR((Table1[[#This Row],[2019 Total Scope 1, 2 + 3]])/Table1[[#This Row],[2018 Total Scope 1, 2 + Scope 3]]-1,"NA")</f>
        <v>-1.7118834628733426E-2</v>
      </c>
      <c r="V81" s="12">
        <v>75290</v>
      </c>
      <c r="W81" s="12">
        <v>114060</v>
      </c>
      <c r="X81" s="12"/>
      <c r="Y81" s="12">
        <f t="shared" si="28"/>
        <v>189350</v>
      </c>
      <c r="Z81" s="12">
        <v>112252</v>
      </c>
      <c r="AA81" s="12">
        <f t="shared" si="21"/>
        <v>301602</v>
      </c>
      <c r="AB81" s="12">
        <v>73832</v>
      </c>
      <c r="AC81" s="12">
        <v>120771</v>
      </c>
      <c r="AD81" s="12"/>
      <c r="AE81" s="12">
        <f t="shared" si="29"/>
        <v>194603</v>
      </c>
      <c r="AF81" s="12">
        <v>112252</v>
      </c>
      <c r="AG81" s="12">
        <f t="shared" si="23"/>
        <v>306855</v>
      </c>
      <c r="AH81" s="12">
        <v>80179</v>
      </c>
      <c r="AI81" s="12">
        <v>128298</v>
      </c>
      <c r="AJ81" s="12"/>
      <c r="AK81" s="12">
        <f t="shared" si="30"/>
        <v>208477</v>
      </c>
      <c r="AL81" s="12">
        <v>112252</v>
      </c>
      <c r="AM81" s="12">
        <f t="shared" si="25"/>
        <v>320729</v>
      </c>
      <c r="AN81" s="12">
        <v>75205</v>
      </c>
      <c r="AO81" s="12">
        <v>147681</v>
      </c>
      <c r="AP81" s="12"/>
      <c r="AQ81" s="12">
        <f t="shared" si="31"/>
        <v>222886</v>
      </c>
      <c r="AR81" s="12">
        <v>112252</v>
      </c>
      <c r="AS81" s="12">
        <f t="shared" si="26"/>
        <v>335138</v>
      </c>
      <c r="AT81" s="12">
        <v>75349</v>
      </c>
      <c r="AU81" s="12">
        <v>155288</v>
      </c>
      <c r="AV81" s="12"/>
      <c r="AW81" s="12">
        <f t="shared" si="32"/>
        <v>230637</v>
      </c>
      <c r="AX81" s="12">
        <v>38845</v>
      </c>
      <c r="AY81" s="12">
        <f t="shared" si="27"/>
        <v>269482</v>
      </c>
      <c r="BA81" s="14" t="s">
        <v>304</v>
      </c>
      <c r="BC81" s="3" t="s">
        <v>305</v>
      </c>
      <c r="BD81" s="44"/>
    </row>
    <row r="82" spans="1:56" ht="127.5" x14ac:dyDescent="0.2">
      <c r="A82" s="21" t="s">
        <v>306</v>
      </c>
      <c r="B82" s="21" t="s">
        <v>449</v>
      </c>
      <c r="C82" s="21" t="s">
        <v>8</v>
      </c>
      <c r="D82" s="4" t="s">
        <v>112</v>
      </c>
      <c r="E82" s="11">
        <v>29176000000</v>
      </c>
      <c r="F82" s="5" t="str">
        <f>IF(ISNUMBER(Table1[[#This Row],[2019 Scope 3 ]]),IF(Table1[[#This Row],[Net Earnings/Income (2019)]]-k_cost*Table1[[#This Row],[2019 Total Scope 1, 2 + 3]]&lt;0,"Y","N"),"NA")</f>
        <v>N</v>
      </c>
      <c r="G82" s="56" t="str">
        <f>IF(ISNUMBER(Table1[[#This Row],[2019 Scope 3 ]]),IF(k_cost*Table1[[#This Row],[2019 Total Scope 1, 2 + 3]]/Table1[[#This Row],[Size (2019 Revenue)]]&gt;k_rev_max,"Y","N"),"NA")</f>
        <v>N</v>
      </c>
      <c r="H82" s="56" t="str">
        <f>IF(OR(Table1[[#This Row],[Net earnings post carbon price @85/t]]="Y",Table1[[#This Row],[Carbon costs in % revenue]] = "Y"),"Y",IF(OR(Table1[[#This Row],[Net earnings post carbon price @85/t]]="NA",Table1[[#This Row],[Carbon costs in % revenue]]="NA"),"NA","N"))</f>
        <v>N</v>
      </c>
      <c r="I82" s="11">
        <v>3343000000</v>
      </c>
      <c r="J82" s="10">
        <v>1952</v>
      </c>
      <c r="K82" t="s">
        <v>1</v>
      </c>
      <c r="L82" t="s">
        <v>0</v>
      </c>
      <c r="M82" t="s">
        <v>0</v>
      </c>
      <c r="P82" s="3" t="s">
        <v>307</v>
      </c>
      <c r="R82" t="s">
        <v>0</v>
      </c>
      <c r="T82" s="53" t="str">
        <f>IFERROR((Table1[[#This Row],[2019 Total Scope 1, 2 + 3]])/Table1[[#This Row],[2018 Total Scope 1, 2 + Scope 3]]-1,"NA")</f>
        <v>NA</v>
      </c>
      <c r="V82" s="12">
        <v>612307</v>
      </c>
      <c r="W82" s="12">
        <v>1114227</v>
      </c>
      <c r="X82" s="12"/>
      <c r="Y82" s="12">
        <f t="shared" si="28"/>
        <v>1726534</v>
      </c>
      <c r="Z82" s="12">
        <f>10865507+1263+194470</f>
        <v>11061240</v>
      </c>
      <c r="AA82" s="12">
        <f t="shared" si="21"/>
        <v>12787774</v>
      </c>
      <c r="AB82" s="12" t="s">
        <v>401</v>
      </c>
      <c r="AC82" s="12" t="s">
        <v>401</v>
      </c>
      <c r="AD82" s="12"/>
      <c r="AE82" s="12" t="str">
        <f t="shared" si="29"/>
        <v/>
      </c>
      <c r="AF82" s="12" t="s">
        <v>401</v>
      </c>
      <c r="AG82" s="12" t="str">
        <f t="shared" si="23"/>
        <v/>
      </c>
      <c r="AH82" s="12" t="s">
        <v>401</v>
      </c>
      <c r="AI82" s="12" t="s">
        <v>401</v>
      </c>
      <c r="AJ82" s="12"/>
      <c r="AK82" s="12" t="str">
        <f t="shared" si="30"/>
        <v/>
      </c>
      <c r="AL82" s="12" t="s">
        <v>401</v>
      </c>
      <c r="AM82" s="12" t="str">
        <f t="shared" si="25"/>
        <v/>
      </c>
      <c r="AN82" s="12" t="s">
        <v>401</v>
      </c>
      <c r="AO82" s="12" t="s">
        <v>401</v>
      </c>
      <c r="AP82" s="12"/>
      <c r="AQ82" s="12" t="str">
        <f t="shared" si="31"/>
        <v/>
      </c>
      <c r="AR82" s="12" t="s">
        <v>401</v>
      </c>
      <c r="AS82" s="12" t="str">
        <f t="shared" si="26"/>
        <v/>
      </c>
      <c r="AT82" s="12" t="s">
        <v>401</v>
      </c>
      <c r="AU82" s="12" t="s">
        <v>401</v>
      </c>
      <c r="AV82" s="12"/>
      <c r="AW82" s="12" t="str">
        <f t="shared" si="32"/>
        <v/>
      </c>
      <c r="AX82" s="12" t="s">
        <v>401</v>
      </c>
      <c r="AY82" s="12" t="str">
        <f t="shared" si="27"/>
        <v/>
      </c>
      <c r="BA82" s="18" t="s">
        <v>308</v>
      </c>
      <c r="BB82" s="3" t="s">
        <v>309</v>
      </c>
      <c r="BC82" s="3" t="s">
        <v>310</v>
      </c>
      <c r="BD82" s="44"/>
    </row>
    <row r="83" spans="1:56" ht="242.25" x14ac:dyDescent="0.2">
      <c r="A83" s="21" t="s">
        <v>311</v>
      </c>
      <c r="B83" s="21" t="s">
        <v>311</v>
      </c>
      <c r="C83" s="32" t="s">
        <v>11</v>
      </c>
      <c r="D83" s="4" t="s">
        <v>74</v>
      </c>
      <c r="E83" s="5">
        <v>13280000000</v>
      </c>
      <c r="F83" s="5" t="str">
        <f>IF(ISNUMBER(Table1[[#This Row],[2019 Scope 3 ]]),IF(Table1[[#This Row],[Net Earnings/Income (2019)]]-k_cost*Table1[[#This Row],[2019 Total Scope 1, 2 + 3]]&lt;0,"Y","N"),"NA")</f>
        <v>N</v>
      </c>
      <c r="G83" s="56" t="str">
        <f>IF(ISNUMBER(Table1[[#This Row],[2019 Scope 3 ]]),IF(k_cost*Table1[[#This Row],[2019 Total Scope 1, 2 + 3]]/Table1[[#This Row],[Size (2019 Revenue)]]&gt;k_rev_max,"Y","N"),"NA")</f>
        <v>N</v>
      </c>
      <c r="H83" s="56" t="str">
        <f>IF(OR(Table1[[#This Row],[Net earnings post carbon price @85/t]]="Y",Table1[[#This Row],[Carbon costs in % revenue]] = "Y"),"Y",IF(OR(Table1[[#This Row],[Net earnings post carbon price @85/t]]="NA",Table1[[#This Row],[Carbon costs in % revenue]]="NA"),"NA","N"))</f>
        <v>N</v>
      </c>
      <c r="I83" s="5">
        <v>1110000000</v>
      </c>
      <c r="J83" s="9">
        <v>2004</v>
      </c>
      <c r="K83" s="5" t="s">
        <v>1</v>
      </c>
      <c r="L83" s="4" t="s">
        <v>1</v>
      </c>
      <c r="M83" s="3" t="s">
        <v>1</v>
      </c>
      <c r="N83">
        <v>2017</v>
      </c>
      <c r="P83" s="3" t="s">
        <v>312</v>
      </c>
      <c r="Q83" t="s">
        <v>1</v>
      </c>
      <c r="R83" t="s">
        <v>1</v>
      </c>
      <c r="S83">
        <v>2022</v>
      </c>
      <c r="T83" s="53">
        <f>IFERROR((Table1[[#This Row],[2019 Total Scope 1, 2 + 3]])/Table1[[#This Row],[2018 Total Scope 1, 2 + Scope 3]]-1,"NA")</f>
        <v>0.35074626865671643</v>
      </c>
      <c r="V83" s="12">
        <v>5000</v>
      </c>
      <c r="W83" s="12">
        <v>291000</v>
      </c>
      <c r="X83" s="12">
        <f>V83+W83</f>
        <v>296000</v>
      </c>
      <c r="Y83" s="12">
        <f t="shared" si="28"/>
        <v>0</v>
      </c>
      <c r="Z83" s="12">
        <v>181000</v>
      </c>
      <c r="AA83" s="12">
        <f t="shared" si="21"/>
        <v>181000</v>
      </c>
      <c r="AB83" s="12">
        <v>4000</v>
      </c>
      <c r="AC83" s="12">
        <v>236000</v>
      </c>
      <c r="AD83" s="12">
        <f>AB83+AC83</f>
        <v>240000</v>
      </c>
      <c r="AE83" s="12">
        <f t="shared" si="29"/>
        <v>0</v>
      </c>
      <c r="AF83" s="12">
        <v>134000</v>
      </c>
      <c r="AG83" s="12">
        <f t="shared" si="23"/>
        <v>134000</v>
      </c>
      <c r="AH83" s="12">
        <v>4000</v>
      </c>
      <c r="AI83" s="12">
        <v>174000</v>
      </c>
      <c r="AJ83" s="12">
        <f>0.23*(AH83+AI83)</f>
        <v>40940</v>
      </c>
      <c r="AK83" s="12">
        <f t="shared" si="30"/>
        <v>137060</v>
      </c>
      <c r="AL83" s="12">
        <v>99000</v>
      </c>
      <c r="AM83" s="12">
        <f t="shared" si="25"/>
        <v>236060</v>
      </c>
      <c r="AN83" s="12">
        <v>3000</v>
      </c>
      <c r="AO83" s="12">
        <v>132000</v>
      </c>
      <c r="AP83" s="12">
        <f>0.23*(AN83+AO83)</f>
        <v>31050</v>
      </c>
      <c r="AQ83" s="12">
        <f t="shared" si="31"/>
        <v>103950</v>
      </c>
      <c r="AR83" s="12">
        <v>84000</v>
      </c>
      <c r="AS83" s="12">
        <f t="shared" si="26"/>
        <v>187950</v>
      </c>
      <c r="AT83" s="12">
        <v>5000</v>
      </c>
      <c r="AU83" s="12">
        <v>71000</v>
      </c>
      <c r="AV83" s="12"/>
      <c r="AW83" s="12">
        <f t="shared" si="32"/>
        <v>76000</v>
      </c>
      <c r="AX83" s="12">
        <v>56000</v>
      </c>
      <c r="AY83" s="12">
        <f t="shared" si="27"/>
        <v>132000</v>
      </c>
      <c r="BA83" s="14" t="s">
        <v>435</v>
      </c>
      <c r="BB83" s="30" t="s">
        <v>434</v>
      </c>
      <c r="BC83" s="3" t="s">
        <v>313</v>
      </c>
      <c r="BD83" s="44"/>
    </row>
    <row r="84" spans="1:56" ht="89.25" x14ac:dyDescent="0.2">
      <c r="A84" s="21" t="s">
        <v>314</v>
      </c>
      <c r="B84" s="21" t="s">
        <v>445</v>
      </c>
      <c r="C84" s="21" t="s">
        <v>5</v>
      </c>
      <c r="D84" s="4" t="s">
        <v>126</v>
      </c>
      <c r="E84" s="11">
        <v>32900000000</v>
      </c>
      <c r="F84" s="5" t="str">
        <f>IF(ISNUMBER(Table1[[#This Row],[2019 Scope 3 ]]),IF(Table1[[#This Row],[Net Earnings/Income (2019)]]-k_cost*Table1[[#This Row],[2019 Total Scope 1, 2 + 3]]&lt;0,"Y","N"),"NA")</f>
        <v>NA</v>
      </c>
      <c r="G84" s="56" t="str">
        <f>IF(ISNUMBER(Table1[[#This Row],[2019 Scope 3 ]]),IF(k_cost*Table1[[#This Row],[2019 Total Scope 1, 2 + 3]]/Table1[[#This Row],[Size (2019 Revenue)]]&gt;k_rev_max,"Y","N"),"NA")</f>
        <v>NA</v>
      </c>
      <c r="H84" s="56" t="str">
        <f>IF(OR(Table1[[#This Row],[Net earnings post carbon price @85/t]]="Y",Table1[[#This Row],[Carbon costs in % revenue]] = "Y"),"Y",IF(OR(Table1[[#This Row],[Net earnings post carbon price @85/t]]="NA",Table1[[#This Row],[Carbon costs in % revenue]]="NA"),"NA","N"))</f>
        <v>NA</v>
      </c>
      <c r="I84" s="11">
        <v>-10137000000</v>
      </c>
      <c r="J84" s="10">
        <v>1956</v>
      </c>
      <c r="K84" t="s">
        <v>1</v>
      </c>
      <c r="L84" t="s">
        <v>0</v>
      </c>
      <c r="M84" s="3" t="s">
        <v>1</v>
      </c>
      <c r="R84" t="s">
        <v>0</v>
      </c>
      <c r="T84" s="53" t="str">
        <f>IFERROR((Table1[[#This Row],[2019 Total Scope 1, 2 + 3]])/Table1[[#This Row],[2018 Total Scope 1, 2 + Scope 3]]-1,"NA")</f>
        <v>NA</v>
      </c>
      <c r="V84" s="12" t="s">
        <v>401</v>
      </c>
      <c r="W84" s="12" t="s">
        <v>401</v>
      </c>
      <c r="X84" s="12"/>
      <c r="Y84" s="12" t="str">
        <f t="shared" si="28"/>
        <v/>
      </c>
      <c r="Z84" s="12" t="s">
        <v>401</v>
      </c>
      <c r="AA84" s="12" t="str">
        <f t="shared" si="21"/>
        <v/>
      </c>
      <c r="AB84" s="12">
        <v>1423000</v>
      </c>
      <c r="AC84" s="12">
        <v>642000</v>
      </c>
      <c r="AD84" s="12"/>
      <c r="AE84" s="12">
        <f t="shared" si="29"/>
        <v>2065000</v>
      </c>
      <c r="AF84" s="12">
        <v>1185000</v>
      </c>
      <c r="AG84" s="12">
        <f t="shared" si="23"/>
        <v>3250000</v>
      </c>
      <c r="AH84" s="12">
        <v>1358000</v>
      </c>
      <c r="AI84" s="12">
        <v>561000</v>
      </c>
      <c r="AJ84" s="12"/>
      <c r="AK84" s="12">
        <f t="shared" si="30"/>
        <v>1919000</v>
      </c>
      <c r="AL84" s="12">
        <v>911000</v>
      </c>
      <c r="AM84" s="12">
        <f t="shared" si="25"/>
        <v>2830000</v>
      </c>
      <c r="AN84" s="12">
        <v>1136000</v>
      </c>
      <c r="AO84" s="12">
        <v>704000</v>
      </c>
      <c r="AP84" s="12"/>
      <c r="AQ84" s="12">
        <f t="shared" si="31"/>
        <v>1840000</v>
      </c>
      <c r="AR84" s="12">
        <v>876000</v>
      </c>
      <c r="AS84" s="12">
        <f t="shared" si="26"/>
        <v>2716000</v>
      </c>
      <c r="AT84" s="12">
        <v>1400000</v>
      </c>
      <c r="AU84" s="12">
        <v>577000</v>
      </c>
      <c r="AV84" s="12"/>
      <c r="AW84" s="12">
        <f t="shared" si="32"/>
        <v>1977000</v>
      </c>
      <c r="AX84" s="12">
        <v>1057000</v>
      </c>
      <c r="AY84" s="12">
        <f t="shared" si="27"/>
        <v>3034000</v>
      </c>
      <c r="AZ84" t="s">
        <v>0</v>
      </c>
      <c r="BA84" s="7" t="s">
        <v>315</v>
      </c>
      <c r="BC84" s="3" t="s">
        <v>316</v>
      </c>
      <c r="BD84" s="44"/>
    </row>
    <row r="85" spans="1:56" ht="140.25" x14ac:dyDescent="0.2">
      <c r="A85" s="21" t="s">
        <v>317</v>
      </c>
      <c r="B85" s="21" t="s">
        <v>457</v>
      </c>
      <c r="C85" s="21" t="s">
        <v>10</v>
      </c>
      <c r="D85" t="s">
        <v>10</v>
      </c>
      <c r="E85" s="11">
        <v>5755000000</v>
      </c>
      <c r="F85" s="5" t="str">
        <f>IF(ISNUMBER(Table1[[#This Row],[2019 Scope 3 ]]),IF(Table1[[#This Row],[Net Earnings/Income (2019)]]-k_cost*Table1[[#This Row],[2019 Total Scope 1, 2 + 3]]&lt;0,"Y","N"),"NA")</f>
        <v>N</v>
      </c>
      <c r="G85" s="56" t="str">
        <f>IF(ISNUMBER(Table1[[#This Row],[2019 Scope 3 ]]),IF(k_cost*Table1[[#This Row],[2019 Total Scope 1, 2 + 3]]/Table1[[#This Row],[Size (2019 Revenue)]]&gt;k_rev_max,"Y","N"),"NA")</f>
        <v>N</v>
      </c>
      <c r="H85" s="56" t="str">
        <f>IF(OR(Table1[[#This Row],[Net earnings post carbon price @85/t]]="Y",Table1[[#This Row],[Carbon costs in % revenue]] = "Y"),"Y",IF(OR(Table1[[#This Row],[Net earnings post carbon price @85/t]]="NA",Table1[[#This Row],[Carbon costs in % revenue]]="NA"),"NA","N"))</f>
        <v>N</v>
      </c>
      <c r="I85" s="11">
        <v>2098000000</v>
      </c>
      <c r="J85" s="10">
        <v>1993</v>
      </c>
      <c r="K85" t="s">
        <v>1</v>
      </c>
      <c r="L85" t="s">
        <v>0</v>
      </c>
      <c r="M85" s="3" t="s">
        <v>0</v>
      </c>
      <c r="P85" t="s">
        <v>318</v>
      </c>
      <c r="R85" t="s">
        <v>0</v>
      </c>
      <c r="T85" s="53">
        <f>IFERROR((Table1[[#This Row],[2019 Total Scope 1, 2 + 3]])/Table1[[#This Row],[2018 Total Scope 1, 2 + Scope 3]]-1,"NA")</f>
        <v>-6.1145592632659285E-2</v>
      </c>
      <c r="V85" s="12">
        <v>16863.186000000002</v>
      </c>
      <c r="W85" s="12">
        <v>249714.82</v>
      </c>
      <c r="X85" s="12"/>
      <c r="Y85" s="12">
        <f t="shared" si="28"/>
        <v>266578.00599999999</v>
      </c>
      <c r="Z85" s="12">
        <f>11746+136900+5154+100+6531+419157</f>
        <v>579588</v>
      </c>
      <c r="AA85" s="12">
        <f t="shared" si="21"/>
        <v>846166.00600000005</v>
      </c>
      <c r="AB85" s="12">
        <v>21923</v>
      </c>
      <c r="AC85" s="12">
        <v>287974</v>
      </c>
      <c r="AD85" s="12"/>
      <c r="AE85" s="12">
        <f t="shared" si="29"/>
        <v>309897</v>
      </c>
      <c r="AF85" s="12">
        <v>591378</v>
      </c>
      <c r="AG85" s="12">
        <f t="shared" si="23"/>
        <v>901275</v>
      </c>
      <c r="AH85" s="12">
        <v>19404</v>
      </c>
      <c r="AI85" s="12">
        <v>293618</v>
      </c>
      <c r="AJ85" s="12"/>
      <c r="AK85" s="12">
        <f t="shared" si="30"/>
        <v>313022</v>
      </c>
      <c r="AL85" s="12">
        <v>580998</v>
      </c>
      <c r="AM85" s="12">
        <f t="shared" si="25"/>
        <v>894020</v>
      </c>
      <c r="AN85" s="12">
        <v>20364</v>
      </c>
      <c r="AO85" s="12">
        <v>304405</v>
      </c>
      <c r="AP85" s="12"/>
      <c r="AQ85" s="12">
        <f t="shared" si="31"/>
        <v>324769</v>
      </c>
      <c r="AR85" s="12">
        <v>604001</v>
      </c>
      <c r="AS85" s="12">
        <f t="shared" si="26"/>
        <v>928770</v>
      </c>
      <c r="AT85" s="12">
        <v>23000</v>
      </c>
      <c r="AU85" s="12">
        <v>358862</v>
      </c>
      <c r="AV85" s="12"/>
      <c r="AW85" s="12">
        <f t="shared" si="32"/>
        <v>381862</v>
      </c>
      <c r="AX85" s="12">
        <v>618912</v>
      </c>
      <c r="AY85" s="12">
        <f t="shared" si="27"/>
        <v>1000774</v>
      </c>
      <c r="BA85" s="18" t="s">
        <v>319</v>
      </c>
      <c r="BC85" s="3" t="s">
        <v>320</v>
      </c>
      <c r="BD85" s="44"/>
    </row>
    <row r="86" spans="1:56" ht="242.25" x14ac:dyDescent="0.2">
      <c r="A86" s="21" t="s">
        <v>321</v>
      </c>
      <c r="B86" s="21" t="s">
        <v>321</v>
      </c>
      <c r="C86" s="21" t="s">
        <v>12</v>
      </c>
      <c r="D86" t="s">
        <v>12</v>
      </c>
      <c r="E86" s="11">
        <v>21419000000</v>
      </c>
      <c r="F86" s="5" t="str">
        <f>IF(ISNUMBER(Table1[[#This Row],[2019 Scope 3 ]]),IF(Table1[[#This Row],[Net Earnings/Income (2019)]]-k_cost*Table1[[#This Row],[2019 Total Scope 1, 2 + 3]]&lt;0,"Y","N"),"NA")</f>
        <v>Y</v>
      </c>
      <c r="G86" s="56" t="str">
        <f>IF(ISNUMBER(Table1[[#This Row],[2019 Scope 3 ]]),IF(k_cost*Table1[[#This Row],[2019 Total Scope 1, 2 + 3]]/Table1[[#This Row],[Size (2019 Revenue)]]&gt;k_rev_max,"Y","N"),"NA")</f>
        <v>Y</v>
      </c>
      <c r="H86" s="56" t="str">
        <f>IF(OR(Table1[[#This Row],[Net earnings post carbon price @85/t]]="Y",Table1[[#This Row],[Carbon costs in % revenue]] = "Y"),"Y",IF(OR(Table1[[#This Row],[Net earnings post carbon price @85/t]]="NA",Table1[[#This Row],[Carbon costs in % revenue]]="NA"),"NA","N"))</f>
        <v>Y</v>
      </c>
      <c r="I86" s="11">
        <v>3250000000</v>
      </c>
      <c r="J86" s="10">
        <v>1949</v>
      </c>
      <c r="K86" t="s">
        <v>1</v>
      </c>
      <c r="L86" t="s">
        <v>0</v>
      </c>
      <c r="M86" t="s">
        <v>0</v>
      </c>
      <c r="N86">
        <v>2050</v>
      </c>
      <c r="O86" s="22">
        <v>2020</v>
      </c>
      <c r="P86" s="3" t="s">
        <v>322</v>
      </c>
      <c r="R86" t="s">
        <v>0</v>
      </c>
      <c r="T86" s="53">
        <f>IFERROR((Table1[[#This Row],[2019 Total Scope 1, 2 + 3]])/Table1[[#This Row],[2018 Total Scope 1, 2 + Scope 3]]-1,"NA")</f>
        <v>-0.10341582335699895</v>
      </c>
      <c r="V86" s="12">
        <v>88213565</v>
      </c>
      <c r="W86" s="12">
        <v>35568</v>
      </c>
      <c r="X86" s="12"/>
      <c r="Y86" s="12">
        <f t="shared" si="28"/>
        <v>88249133</v>
      </c>
      <c r="Z86" s="12">
        <f>3423778+88879+35260791</f>
        <v>38773448</v>
      </c>
      <c r="AA86" s="12">
        <f t="shared" si="21"/>
        <v>127022581</v>
      </c>
      <c r="AB86" s="12">
        <v>102232275</v>
      </c>
      <c r="AC86" s="12">
        <v>2142130.48</v>
      </c>
      <c r="AD86" s="12"/>
      <c r="AE86" s="12">
        <f t="shared" si="29"/>
        <v>104374405.48</v>
      </c>
      <c r="AF86" s="12">
        <v>37299499</v>
      </c>
      <c r="AG86" s="12">
        <f t="shared" si="23"/>
        <v>141673904.48000002</v>
      </c>
      <c r="AH86" s="12">
        <v>97534302</v>
      </c>
      <c r="AI86" s="12">
        <v>2701183</v>
      </c>
      <c r="AJ86" s="12"/>
      <c r="AK86" s="12">
        <f t="shared" si="30"/>
        <v>100235485</v>
      </c>
      <c r="AL86" s="12">
        <v>34630131</v>
      </c>
      <c r="AM86" s="12">
        <f t="shared" si="25"/>
        <v>134865616</v>
      </c>
      <c r="AN86" s="12" t="s">
        <v>0</v>
      </c>
      <c r="AO86" s="12" t="s">
        <v>0</v>
      </c>
      <c r="AP86" s="12" t="s">
        <v>0</v>
      </c>
      <c r="AQ86" s="12" t="str">
        <f t="shared" si="31"/>
        <v/>
      </c>
      <c r="AR86" s="12" t="s">
        <v>0</v>
      </c>
      <c r="AS86" s="12" t="str">
        <f t="shared" si="26"/>
        <v/>
      </c>
      <c r="AT86" s="12" t="s">
        <v>0</v>
      </c>
      <c r="AU86" s="12" t="s">
        <v>0</v>
      </c>
      <c r="AV86" s="12" t="s">
        <v>0</v>
      </c>
      <c r="AW86" s="12" t="str">
        <f t="shared" si="32"/>
        <v/>
      </c>
      <c r="AX86" s="12" t="s">
        <v>0</v>
      </c>
      <c r="AY86" s="12" t="str">
        <f t="shared" si="27"/>
        <v/>
      </c>
      <c r="AZ86" s="3" t="s">
        <v>1</v>
      </c>
      <c r="BA86" s="18" t="s">
        <v>323</v>
      </c>
      <c r="BC86" s="14" t="s">
        <v>436</v>
      </c>
      <c r="BD86" s="44"/>
    </row>
    <row r="87" spans="1:56" ht="102" x14ac:dyDescent="0.2">
      <c r="A87" s="21" t="s">
        <v>324</v>
      </c>
      <c r="B87" s="21" t="s">
        <v>406</v>
      </c>
      <c r="C87" s="32" t="s">
        <v>3</v>
      </c>
      <c r="D87" s="4" t="s">
        <v>133</v>
      </c>
      <c r="E87" s="5">
        <v>26510000000</v>
      </c>
      <c r="F87" s="5" t="str">
        <f>IF(ISNUMBER(Table1[[#This Row],[2019 Scope 3 ]]),IF(Table1[[#This Row],[Net Earnings/Income (2019)]]-k_cost*Table1[[#This Row],[2019 Total Scope 1, 2 + 3]]&lt;0,"Y","N"),"NA")</f>
        <v>N</v>
      </c>
      <c r="G87" s="56" t="str">
        <f>IF(ISNUMBER(Table1[[#This Row],[2019 Scope 3 ]]),IF(k_cost*Table1[[#This Row],[2019 Total Scope 1, 2 + 3]]/Table1[[#This Row],[Size (2019 Revenue)]]&gt;k_rev_max,"Y","N"),"NA")</f>
        <v>Y</v>
      </c>
      <c r="H87" s="56" t="str">
        <f>IF(OR(Table1[[#This Row],[Net earnings post carbon price @85/t]]="Y",Table1[[#This Row],[Carbon costs in % revenue]] = "Y"),"Y",IF(OR(Table1[[#This Row],[Net earnings post carbon price @85/t]]="NA",Table1[[#This Row],[Carbon costs in % revenue]]="NA"),"NA","N"))</f>
        <v>Y</v>
      </c>
      <c r="I87" s="5">
        <v>3600000000</v>
      </c>
      <c r="J87" s="9">
        <v>1992</v>
      </c>
      <c r="K87" s="5" t="s">
        <v>1</v>
      </c>
      <c r="L87" t="s">
        <v>1</v>
      </c>
      <c r="M87" t="s">
        <v>1</v>
      </c>
      <c r="N87">
        <v>2050</v>
      </c>
      <c r="O87">
        <v>2020</v>
      </c>
      <c r="P87" s="3" t="s">
        <v>325</v>
      </c>
      <c r="R87" t="s">
        <v>1</v>
      </c>
      <c r="S87" t="s">
        <v>326</v>
      </c>
      <c r="T87" s="53">
        <f>IFERROR((Table1[[#This Row],[2019 Total Scope 1, 2 + 3]])/Table1[[#This Row],[2018 Total Scope 1, 2 + Scope 3]]-1,"NA")</f>
        <v>2.032199009951885E-3</v>
      </c>
      <c r="V87" s="12">
        <v>381198.61</v>
      </c>
      <c r="W87" s="12">
        <v>281700.89</v>
      </c>
      <c r="X87" s="12"/>
      <c r="Y87" s="12">
        <f t="shared" si="28"/>
        <v>662899.5</v>
      </c>
      <c r="Z87" s="12">
        <f>8844532.71+1549767.91+1339261.73+544171.31+1022025.11+19035.53+821116.5+62449.06+149443.2+612189.99</f>
        <v>14963993.050000001</v>
      </c>
      <c r="AA87" s="12">
        <f t="shared" si="21"/>
        <v>15626892.550000001</v>
      </c>
      <c r="AB87" s="12">
        <v>319600</v>
      </c>
      <c r="AC87" s="12">
        <v>285600</v>
      </c>
      <c r="AD87" s="12"/>
      <c r="AE87" s="12">
        <f t="shared" si="29"/>
        <v>605200</v>
      </c>
      <c r="AF87" s="12">
        <v>14990000</v>
      </c>
      <c r="AG87" s="12">
        <f t="shared" si="23"/>
        <v>15595200</v>
      </c>
      <c r="AH87" s="12">
        <v>291000</v>
      </c>
      <c r="AI87" s="12">
        <v>390000</v>
      </c>
      <c r="AJ87" s="12"/>
      <c r="AK87" s="12">
        <f t="shared" si="30"/>
        <v>681000</v>
      </c>
      <c r="AL87" s="12">
        <v>15900000</v>
      </c>
      <c r="AM87" s="12">
        <f t="shared" si="25"/>
        <v>16581000</v>
      </c>
      <c r="AN87" s="12">
        <v>321763</v>
      </c>
      <c r="AO87" s="12">
        <v>253819</v>
      </c>
      <c r="AP87" s="12"/>
      <c r="AQ87" s="12">
        <f t="shared" si="31"/>
        <v>575582</v>
      </c>
      <c r="AR87" s="12">
        <f>9923385+1047965+1395658+660216+1329459+20129+523015+3335+88216+196234</f>
        <v>15187612</v>
      </c>
      <c r="AS87" s="12">
        <f t="shared" si="26"/>
        <v>15763194</v>
      </c>
      <c r="AT87" s="12">
        <v>329002</v>
      </c>
      <c r="AU87" s="12">
        <v>513511</v>
      </c>
      <c r="AV87" s="12"/>
      <c r="AW87" s="12">
        <f t="shared" si="32"/>
        <v>842513</v>
      </c>
      <c r="AX87" s="12">
        <f>6734410+983792+708554+606066+822171+11525+559173+22523+92406+130145</f>
        <v>10670765</v>
      </c>
      <c r="AY87" s="12">
        <f t="shared" si="27"/>
        <v>11513278</v>
      </c>
      <c r="BA87" s="18" t="s">
        <v>327</v>
      </c>
      <c r="BC87" s="3" t="s">
        <v>328</v>
      </c>
      <c r="BD87" s="44"/>
    </row>
    <row r="88" spans="1:56" ht="140.25" x14ac:dyDescent="0.2">
      <c r="A88" s="21" t="s">
        <v>329</v>
      </c>
      <c r="B88" s="21" t="s">
        <v>444</v>
      </c>
      <c r="C88" s="32" t="s">
        <v>4</v>
      </c>
      <c r="D88" s="4" t="s">
        <v>85</v>
      </c>
      <c r="E88" s="5">
        <v>78100000000</v>
      </c>
      <c r="F88" s="5" t="str">
        <f>IF(ISNUMBER(Table1[[#This Row],[2019 Scope 3 ]]),IF(Table1[[#This Row],[Net Earnings/Income (2019)]]-k_cost*Table1[[#This Row],[2019 Total Scope 1, 2 + 3]]&lt;0,"Y","N"),"NA")</f>
        <v>Y</v>
      </c>
      <c r="G88" s="56" t="str">
        <f>IF(ISNUMBER(Table1[[#This Row],[2019 Scope 3 ]]),IF(k_cost*Table1[[#This Row],[2019 Total Scope 1, 2 + 3]]/Table1[[#This Row],[Size (2019 Revenue)]]&gt;k_rev_max,"Y","N"),"NA")</f>
        <v>Y</v>
      </c>
      <c r="H88" s="56" t="str">
        <f>IF(OR(Table1[[#This Row],[Net earnings post carbon price @85/t]]="Y",Table1[[#This Row],[Carbon costs in % revenue]] = "Y"),"Y",IF(OR(Table1[[#This Row],[Net earnings post carbon price @85/t]]="NA",Table1[[#This Row],[Carbon costs in % revenue]]="NA"),"NA","N"))</f>
        <v>Y</v>
      </c>
      <c r="I88" s="5">
        <v>3269000000</v>
      </c>
      <c r="J88" s="9">
        <v>1967</v>
      </c>
      <c r="K88" s="5" t="s">
        <v>1</v>
      </c>
      <c r="L88" s="4" t="s">
        <v>0</v>
      </c>
      <c r="M88" t="s">
        <v>1</v>
      </c>
      <c r="P88" s="3" t="s">
        <v>330</v>
      </c>
      <c r="R88" t="s">
        <v>1</v>
      </c>
      <c r="S88" s="3" t="s">
        <v>331</v>
      </c>
      <c r="T88" s="55">
        <f>IFERROR((Table1[[#This Row],[2019 Total Scope 1, 2 + 3]])/Table1[[#This Row],[2018 Total Scope 1, 2 + Scope 3]]-1,"NA")</f>
        <v>-0.33122664559404669</v>
      </c>
      <c r="U88" s="3"/>
      <c r="V88" s="12">
        <v>752552</v>
      </c>
      <c r="W88" s="12">
        <v>1545898</v>
      </c>
      <c r="X88" s="12"/>
      <c r="Y88" s="12">
        <f t="shared" si="28"/>
        <v>2298450</v>
      </c>
      <c r="Z88" s="12">
        <f>27389000+743000+509000+1655000+271000+22000+585000+5672000+12897000+2306000</f>
        <v>52049000</v>
      </c>
      <c r="AA88" s="12">
        <f t="shared" si="21"/>
        <v>54347450</v>
      </c>
      <c r="AB88" s="12">
        <v>755484</v>
      </c>
      <c r="AC88" s="12">
        <v>2108893</v>
      </c>
      <c r="AD88" s="12"/>
      <c r="AE88" s="12">
        <f t="shared" si="29"/>
        <v>2864377</v>
      </c>
      <c r="AF88" s="12">
        <f>43284000+1000000+905000+1356000+168000+21000+539000+6950000+23340000+809000+28000</f>
        <v>78400000</v>
      </c>
      <c r="AG88" s="12">
        <f t="shared" si="23"/>
        <v>81264377</v>
      </c>
      <c r="AH88" s="12">
        <v>706176</v>
      </c>
      <c r="AI88" s="12">
        <v>2111537</v>
      </c>
      <c r="AJ88" s="12"/>
      <c r="AK88" s="12">
        <f t="shared" si="30"/>
        <v>2817713</v>
      </c>
      <c r="AL88" s="12">
        <v>78400000</v>
      </c>
      <c r="AM88" s="12">
        <f t="shared" si="25"/>
        <v>81217713</v>
      </c>
      <c r="AN88" s="12">
        <v>730846</v>
      </c>
      <c r="AO88" s="12">
        <v>2155763</v>
      </c>
      <c r="AP88" s="12"/>
      <c r="AQ88" s="12">
        <f t="shared" si="31"/>
        <v>2886609</v>
      </c>
      <c r="AR88" s="12" t="s">
        <v>401</v>
      </c>
      <c r="AS88" s="12" t="str">
        <f t="shared" si="26"/>
        <v/>
      </c>
      <c r="AT88" s="12">
        <v>581568</v>
      </c>
      <c r="AU88" s="12">
        <v>2290938</v>
      </c>
      <c r="AV88" s="12"/>
      <c r="AW88" s="12">
        <f t="shared" si="32"/>
        <v>2872506</v>
      </c>
      <c r="AX88" s="12" t="s">
        <v>401</v>
      </c>
      <c r="AY88" s="12" t="str">
        <f t="shared" si="27"/>
        <v/>
      </c>
      <c r="BA88" s="3" t="s">
        <v>332</v>
      </c>
      <c r="BC88" s="3" t="s">
        <v>333</v>
      </c>
      <c r="BD88" s="44"/>
    </row>
    <row r="89" spans="1:56" ht="89.25" x14ac:dyDescent="0.2">
      <c r="A89" s="21" t="s">
        <v>334</v>
      </c>
      <c r="B89" s="21" t="s">
        <v>334</v>
      </c>
      <c r="C89" s="32" t="s">
        <v>11</v>
      </c>
      <c r="D89" s="4" t="s">
        <v>96</v>
      </c>
      <c r="E89" s="11">
        <v>14318000000</v>
      </c>
      <c r="F89" s="5" t="str">
        <f>IF(ISNUMBER(Table1[[#This Row],[2019 Scope 3 ]]),IF(Table1[[#This Row],[Net Earnings/Income (2019)]]-k_cost*Table1[[#This Row],[2019 Total Scope 1, 2 + 3]]&lt;0,"Y","N"),"NA")</f>
        <v>NA</v>
      </c>
      <c r="G89" s="56" t="str">
        <f>IF(ISNUMBER(Table1[[#This Row],[2019 Scope 3 ]]),IF(k_cost*Table1[[#This Row],[2019 Total Scope 1, 2 + 3]]/Table1[[#This Row],[Size (2019 Revenue)]]&gt;k_rev_max,"Y","N"),"NA")</f>
        <v>NA</v>
      </c>
      <c r="H89" s="56" t="str">
        <f>IF(OR(Table1[[#This Row],[Net earnings post carbon price @85/t]]="Y",Table1[[#This Row],[Carbon costs in % revenue]] = "Y"),"Y",IF(OR(Table1[[#This Row],[Net earnings post carbon price @85/t]]="NA",Table1[[#This Row],[Carbon costs in % revenue]]="NA"),"NA","N"))</f>
        <v>NA</v>
      </c>
      <c r="I89" s="11">
        <v>5020000000</v>
      </c>
      <c r="J89" s="10">
        <v>1953</v>
      </c>
      <c r="K89" t="s">
        <v>1</v>
      </c>
      <c r="L89" t="s">
        <v>0</v>
      </c>
      <c r="M89" t="s">
        <v>0</v>
      </c>
      <c r="P89" s="3" t="s">
        <v>335</v>
      </c>
      <c r="Q89" t="s">
        <v>1</v>
      </c>
      <c r="R89" t="s">
        <v>0</v>
      </c>
      <c r="T89" s="53" t="str">
        <f>IFERROR((Table1[[#This Row],[2019 Total Scope 1, 2 + 3]])/Table1[[#This Row],[2018 Total Scope 1, 2 + Scope 3]]-1,"NA")</f>
        <v>NA</v>
      </c>
      <c r="V89" s="12">
        <v>966579</v>
      </c>
      <c r="W89" s="12">
        <v>13430</v>
      </c>
      <c r="X89" s="12"/>
      <c r="Y89" s="12">
        <f t="shared" si="28"/>
        <v>980009</v>
      </c>
      <c r="Z89" s="12" t="s">
        <v>401</v>
      </c>
      <c r="AA89" s="12" t="str">
        <f t="shared" si="21"/>
        <v/>
      </c>
      <c r="AB89" s="12">
        <v>1157549</v>
      </c>
      <c r="AC89" s="12">
        <v>1110819</v>
      </c>
      <c r="AD89" s="12"/>
      <c r="AE89" s="12">
        <f t="shared" si="29"/>
        <v>2268368</v>
      </c>
      <c r="AF89" s="12" t="s">
        <v>401</v>
      </c>
      <c r="AG89" s="12" t="str">
        <f t="shared" si="23"/>
        <v/>
      </c>
      <c r="AH89" s="12">
        <v>1161654</v>
      </c>
      <c r="AI89" s="12">
        <v>1256755</v>
      </c>
      <c r="AJ89" s="12"/>
      <c r="AK89" s="12">
        <f t="shared" si="30"/>
        <v>2418409</v>
      </c>
      <c r="AL89" s="12" t="s">
        <v>401</v>
      </c>
      <c r="AM89" s="12" t="str">
        <f t="shared" si="25"/>
        <v/>
      </c>
      <c r="AN89" s="12">
        <v>1076947</v>
      </c>
      <c r="AO89" s="12">
        <v>1319215</v>
      </c>
      <c r="AP89" s="12"/>
      <c r="AQ89" s="12">
        <f t="shared" si="31"/>
        <v>2396162</v>
      </c>
      <c r="AR89" s="12" t="s">
        <v>401</v>
      </c>
      <c r="AS89" s="12" t="str">
        <f t="shared" si="26"/>
        <v/>
      </c>
      <c r="AT89" s="12">
        <v>1085622</v>
      </c>
      <c r="AU89" s="12">
        <v>1322813</v>
      </c>
      <c r="AV89" s="12"/>
      <c r="AW89" s="12">
        <f t="shared" si="32"/>
        <v>2408435</v>
      </c>
      <c r="AX89" s="12" t="s">
        <v>401</v>
      </c>
      <c r="AY89" s="12" t="str">
        <f t="shared" si="27"/>
        <v/>
      </c>
      <c r="AZ89" s="30" t="s">
        <v>1</v>
      </c>
      <c r="BA89" s="14" t="s">
        <v>336</v>
      </c>
      <c r="BC89" s="3" t="s">
        <v>337</v>
      </c>
      <c r="BD89" s="44"/>
    </row>
    <row r="90" spans="1:56" ht="51" x14ac:dyDescent="0.2">
      <c r="A90" s="21" t="s">
        <v>338</v>
      </c>
      <c r="B90" s="21" t="s">
        <v>483</v>
      </c>
      <c r="C90" s="32" t="s">
        <v>6</v>
      </c>
      <c r="D90" s="4" t="s">
        <v>109</v>
      </c>
      <c r="E90" s="11">
        <v>20820000000</v>
      </c>
      <c r="F90" s="5" t="str">
        <f>IF(ISNUMBER(Table1[[#This Row],[2019 Scope 3 ]]),IF(Table1[[#This Row],[Net Earnings/Income (2019)]]-k_cost*Table1[[#This Row],[2019 Total Scope 1, 2 + 3]]&lt;0,"Y","N"),"NA")</f>
        <v>N</v>
      </c>
      <c r="G90" s="56" t="str">
        <f>IF(ISNUMBER(Table1[[#This Row],[2019 Scope 3 ]]),IF(k_cost*Table1[[#This Row],[2019 Total Scope 1, 2 + 3]]/Table1[[#This Row],[Size (2019 Revenue)]]&gt;k_rev_max,"Y","N"),"NA")</f>
        <v>N</v>
      </c>
      <c r="H90" s="56" t="str">
        <f>IF(OR(Table1[[#This Row],[Net earnings post carbon price @85/t]]="Y",Table1[[#This Row],[Carbon costs in % revenue]] = "Y"),"Y",IF(OR(Table1[[#This Row],[Net earnings post carbon price @85/t]]="NA",Table1[[#This Row],[Carbon costs in % revenue]]="NA"),"NA","N"))</f>
        <v>N</v>
      </c>
      <c r="I90" s="11">
        <v>4250000000</v>
      </c>
      <c r="J90" s="10">
        <v>1784</v>
      </c>
      <c r="K90" s="4" t="s">
        <v>1</v>
      </c>
      <c r="L90" s="4" t="s">
        <v>1</v>
      </c>
      <c r="M90" t="s">
        <v>0</v>
      </c>
      <c r="N90">
        <v>2015</v>
      </c>
      <c r="O90">
        <v>2008</v>
      </c>
      <c r="P90" s="17" t="s">
        <v>0</v>
      </c>
      <c r="Q90" t="s">
        <v>1</v>
      </c>
      <c r="R90" s="4" t="s">
        <v>0</v>
      </c>
      <c r="S90" s="4" t="s">
        <v>0</v>
      </c>
      <c r="T90" s="54">
        <f>IFERROR((Table1[[#This Row],[2019 Total Scope 1, 2 + 3]])/Table1[[#This Row],[2018 Total Scope 1, 2 + Scope 3]]-1,"NA")</f>
        <v>0.24488372093023258</v>
      </c>
      <c r="U90" s="4"/>
      <c r="V90" s="12">
        <v>8102</v>
      </c>
      <c r="W90" s="12">
        <v>3397</v>
      </c>
      <c r="X90" s="12">
        <v>31457</v>
      </c>
      <c r="Y90" s="12">
        <f t="shared" si="28"/>
        <v>-19958</v>
      </c>
      <c r="Z90" s="12">
        <v>14605</v>
      </c>
      <c r="AA90" s="12">
        <f t="shared" si="21"/>
        <v>-5353</v>
      </c>
      <c r="AB90" s="12">
        <v>8000</v>
      </c>
      <c r="AC90" s="12">
        <v>2500</v>
      </c>
      <c r="AD90" s="12">
        <v>32000</v>
      </c>
      <c r="AE90" s="12">
        <f t="shared" si="29"/>
        <v>-21500</v>
      </c>
      <c r="AF90" s="12">
        <v>17200</v>
      </c>
      <c r="AG90" s="12">
        <f t="shared" si="23"/>
        <v>-4300</v>
      </c>
      <c r="AH90" s="12">
        <v>8265</v>
      </c>
      <c r="AI90" s="12">
        <v>2248</v>
      </c>
      <c r="AJ90" s="12">
        <v>38000</v>
      </c>
      <c r="AK90" s="12">
        <f t="shared" si="30"/>
        <v>-27487</v>
      </c>
      <c r="AL90" s="12">
        <v>17944</v>
      </c>
      <c r="AM90" s="12">
        <f t="shared" si="25"/>
        <v>-9543</v>
      </c>
      <c r="AN90" s="12">
        <v>9000</v>
      </c>
      <c r="AO90" s="12">
        <v>3350</v>
      </c>
      <c r="AP90" s="12">
        <v>32000</v>
      </c>
      <c r="AQ90" s="12">
        <f t="shared" si="31"/>
        <v>-19650</v>
      </c>
      <c r="AR90" s="12">
        <v>19700</v>
      </c>
      <c r="AS90" s="12">
        <f t="shared" si="26"/>
        <v>50</v>
      </c>
      <c r="AT90" s="12"/>
      <c r="AU90" s="12"/>
      <c r="AV90" s="12"/>
      <c r="AW90" s="12">
        <f t="shared" si="32"/>
        <v>0</v>
      </c>
      <c r="AX90" s="12"/>
      <c r="AY90" s="12">
        <f t="shared" si="27"/>
        <v>0</v>
      </c>
      <c r="BA90" s="18" t="s">
        <v>339</v>
      </c>
      <c r="BD90" s="44"/>
    </row>
    <row r="91" spans="1:56" ht="140.25" x14ac:dyDescent="0.2">
      <c r="A91" s="21" t="s">
        <v>340</v>
      </c>
      <c r="B91" s="21" t="s">
        <v>480</v>
      </c>
      <c r="C91" s="21" t="s">
        <v>2</v>
      </c>
      <c r="D91" s="4" t="s">
        <v>124</v>
      </c>
      <c r="E91" s="11">
        <v>69570000000</v>
      </c>
      <c r="F91" s="5" t="str">
        <f>IF(ISNUMBER(Table1[[#This Row],[2019 Scope 3 ]]),IF(Table1[[#This Row],[Net Earnings/Income (2019)]]-k_cost*Table1[[#This Row],[2019 Total Scope 1, 2 + 3]]&lt;0,"Y","N"),"NA")</f>
        <v>NA</v>
      </c>
      <c r="G91" s="56" t="str">
        <f>IF(ISNUMBER(Table1[[#This Row],[2019 Scope 3 ]]),IF(k_cost*Table1[[#This Row],[2019 Total Scope 1, 2 + 3]]/Table1[[#This Row],[Size (2019 Revenue)]]&gt;k_rev_max,"Y","N"),"NA")</f>
        <v>NA</v>
      </c>
      <c r="H91" s="56" t="str">
        <f>IF(OR(Table1[[#This Row],[Net earnings post carbon price @85/t]]="Y",Table1[[#This Row],[Carbon costs in % revenue]] = "Y"),"Y",IF(OR(Table1[[#This Row],[Net earnings post carbon price @85/t]]="NA",Table1[[#This Row],[Carbon costs in % revenue]]="NA"),"NA","N"))</f>
        <v>NA</v>
      </c>
      <c r="I91" s="11">
        <v>11050000000</v>
      </c>
      <c r="J91" s="10">
        <v>1957</v>
      </c>
      <c r="K91" t="s">
        <v>1</v>
      </c>
      <c r="L91" t="s">
        <v>0</v>
      </c>
      <c r="M91" t="s">
        <v>0</v>
      </c>
      <c r="P91" s="3" t="s">
        <v>341</v>
      </c>
      <c r="R91" t="s">
        <v>0</v>
      </c>
      <c r="T91" s="53" t="str">
        <f>IFERROR((Table1[[#This Row],[2019 Total Scope 1, 2 + 3]])/Table1[[#This Row],[2018 Total Scope 1, 2 + Scope 3]]-1,"NA")</f>
        <v>NA</v>
      </c>
      <c r="V91" s="12">
        <v>855073</v>
      </c>
      <c r="W91" s="12">
        <v>931544</v>
      </c>
      <c r="X91" s="12"/>
      <c r="Y91" s="12">
        <f t="shared" si="28"/>
        <v>1786617</v>
      </c>
      <c r="Z91" s="12" t="s">
        <v>401</v>
      </c>
      <c r="AA91" s="12" t="str">
        <f t="shared" si="21"/>
        <v/>
      </c>
      <c r="AB91" s="12">
        <v>897523</v>
      </c>
      <c r="AC91" s="12">
        <v>975778</v>
      </c>
      <c r="AD91" s="12"/>
      <c r="AE91" s="12">
        <f t="shared" si="29"/>
        <v>1873301</v>
      </c>
      <c r="AF91" s="12" t="s">
        <v>401</v>
      </c>
      <c r="AG91" s="12" t="str">
        <f t="shared" si="23"/>
        <v/>
      </c>
      <c r="AH91" s="12">
        <v>843275</v>
      </c>
      <c r="AI91" s="12">
        <v>1002150</v>
      </c>
      <c r="AJ91" s="12"/>
      <c r="AK91" s="12">
        <f t="shared" si="30"/>
        <v>1845425</v>
      </c>
      <c r="AL91" s="12" t="s">
        <v>401</v>
      </c>
      <c r="AM91" s="12" t="str">
        <f t="shared" si="25"/>
        <v/>
      </c>
      <c r="AN91" s="12">
        <v>865577</v>
      </c>
      <c r="AO91" s="12">
        <v>909738</v>
      </c>
      <c r="AP91" s="12"/>
      <c r="AQ91" s="12">
        <f t="shared" si="31"/>
        <v>1775315</v>
      </c>
      <c r="AR91" s="12" t="s">
        <v>401</v>
      </c>
      <c r="AS91" s="12" t="str">
        <f t="shared" si="26"/>
        <v/>
      </c>
      <c r="AT91" s="12">
        <v>851038</v>
      </c>
      <c r="AU91" s="12">
        <v>917030</v>
      </c>
      <c r="AV91" s="12"/>
      <c r="AW91" s="12">
        <f t="shared" si="32"/>
        <v>1768068</v>
      </c>
      <c r="AX91" s="12" t="s">
        <v>401</v>
      </c>
      <c r="AY91" s="12" t="str">
        <f t="shared" si="27"/>
        <v/>
      </c>
      <c r="BA91" s="3" t="s">
        <v>342</v>
      </c>
      <c r="BC91" s="3" t="s">
        <v>343</v>
      </c>
      <c r="BD91" s="44"/>
    </row>
    <row r="92" spans="1:56" ht="102" x14ac:dyDescent="0.2">
      <c r="A92" s="21" t="s">
        <v>344</v>
      </c>
      <c r="B92" s="21" t="s">
        <v>452</v>
      </c>
      <c r="C92" s="32" t="s">
        <v>7</v>
      </c>
      <c r="D92" s="4" t="s">
        <v>146</v>
      </c>
      <c r="E92" s="11">
        <v>25540000000</v>
      </c>
      <c r="F92" s="5" t="str">
        <f>IF(ISNUMBER(Table1[[#This Row],[2019 Scope 3 ]]),IF(Table1[[#This Row],[Net Earnings/Income (2019)]]-k_cost*Table1[[#This Row],[2019 Total Scope 1, 2 + 3]]&lt;0,"Y","N"),"NA")</f>
        <v>NA</v>
      </c>
      <c r="G92" s="56" t="str">
        <f>IF(ISNUMBER(Table1[[#This Row],[2019 Scope 3 ]]),IF(k_cost*Table1[[#This Row],[2019 Total Scope 1, 2 + 3]]/Table1[[#This Row],[Size (2019 Revenue)]]&gt;k_rev_max,"Y","N"),"NA")</f>
        <v>NA</v>
      </c>
      <c r="H92" s="56" t="str">
        <f>IF(OR(Table1[[#This Row],[Net earnings post carbon price @85/t]]="Y",Table1[[#This Row],[Carbon costs in % revenue]] = "Y"),"Y",IF(OR(Table1[[#This Row],[Net earnings post carbon price @85/t]]="NA",Table1[[#This Row],[Carbon costs in % revenue]]="NA"),"NA","N"))</f>
        <v>NA</v>
      </c>
      <c r="I92" s="11">
        <v>3696000000</v>
      </c>
      <c r="J92" s="10">
        <v>1965</v>
      </c>
      <c r="K92" t="s">
        <v>1</v>
      </c>
      <c r="L92" t="s">
        <v>0</v>
      </c>
      <c r="M92" t="s">
        <v>0</v>
      </c>
      <c r="R92" t="s">
        <v>0</v>
      </c>
      <c r="T92" s="53" t="str">
        <f>IFERROR((Table1[[#This Row],[2019 Total Scope 1, 2 + 3]])/Table1[[#This Row],[2018 Total Scope 1, 2 + Scope 3]]-1,"NA")</f>
        <v>NA</v>
      </c>
      <c r="V92" s="12" t="s">
        <v>401</v>
      </c>
      <c r="W92" s="12" t="s">
        <v>401</v>
      </c>
      <c r="X92" s="12"/>
      <c r="Y92" s="12" t="str">
        <f t="shared" si="28"/>
        <v/>
      </c>
      <c r="Z92" s="12" t="s">
        <v>401</v>
      </c>
      <c r="AA92" s="12" t="str">
        <f t="shared" si="21"/>
        <v/>
      </c>
      <c r="AB92" s="12">
        <v>147521.62</v>
      </c>
      <c r="AC92" s="12">
        <v>690767.33</v>
      </c>
      <c r="AD92" s="12"/>
      <c r="AE92" s="12">
        <f t="shared" si="29"/>
        <v>838288.95</v>
      </c>
      <c r="AF92" s="12" t="s">
        <v>401</v>
      </c>
      <c r="AG92" s="12" t="str">
        <f t="shared" si="23"/>
        <v/>
      </c>
      <c r="AH92" s="12">
        <v>70255</v>
      </c>
      <c r="AI92" s="12">
        <v>408244</v>
      </c>
      <c r="AJ92" s="12"/>
      <c r="AK92" s="12">
        <f t="shared" si="30"/>
        <v>478499</v>
      </c>
      <c r="AL92" s="12">
        <v>206994</v>
      </c>
      <c r="AM92" s="12">
        <f t="shared" si="25"/>
        <v>685493</v>
      </c>
      <c r="AN92" s="12">
        <v>83529</v>
      </c>
      <c r="AO92" s="12">
        <v>305579</v>
      </c>
      <c r="AP92" s="12"/>
      <c r="AQ92" s="12">
        <f t="shared" si="31"/>
        <v>389108</v>
      </c>
      <c r="AR92" s="12"/>
      <c r="AS92" s="12">
        <f t="shared" si="26"/>
        <v>389108</v>
      </c>
      <c r="AT92" s="12">
        <v>92458</v>
      </c>
      <c r="AU92" s="12">
        <v>301234</v>
      </c>
      <c r="AV92" s="12"/>
      <c r="AW92" s="12">
        <f t="shared" si="32"/>
        <v>393692</v>
      </c>
      <c r="AX92" s="12"/>
      <c r="AY92" s="12">
        <f t="shared" si="27"/>
        <v>393692</v>
      </c>
      <c r="BA92" s="18" t="s">
        <v>345</v>
      </c>
      <c r="BC92" s="3" t="s">
        <v>346</v>
      </c>
      <c r="BD92" s="44"/>
    </row>
    <row r="93" spans="1:56" ht="127.5" x14ac:dyDescent="0.2">
      <c r="A93" s="21" t="s">
        <v>347</v>
      </c>
      <c r="B93" s="21" t="s">
        <v>441</v>
      </c>
      <c r="C93" s="21" t="s">
        <v>8</v>
      </c>
      <c r="D93" s="4" t="s">
        <v>165</v>
      </c>
      <c r="E93" s="11">
        <v>21700000000</v>
      </c>
      <c r="F93" s="5" t="str">
        <f>IF(ISNUMBER(Table1[[#This Row],[2019 Scope 3 ]]),IF(Table1[[#This Row],[Net Earnings/Income (2019)]]-k_cost*Table1[[#This Row],[2019 Total Scope 1, 2 + 3]]&lt;0,"Y","N"),"NA")</f>
        <v>N</v>
      </c>
      <c r="G93" s="56" t="str">
        <f>IF(ISNUMBER(Table1[[#This Row],[2019 Scope 3 ]]),IF(k_cost*Table1[[#This Row],[2019 Total Scope 1, 2 + 3]]/Table1[[#This Row],[Size (2019 Revenue)]]&gt;k_rev_max,"Y","N"),"NA")</f>
        <v>N</v>
      </c>
      <c r="H93" s="56" t="str">
        <f>IF(OR(Table1[[#This Row],[Net earnings post carbon price @85/t]]="Y",Table1[[#This Row],[Carbon costs in % revenue]] = "Y"),"Y",IF(OR(Table1[[#This Row],[Net earnings post carbon price @85/t]]="NA",Table1[[#This Row],[Carbon costs in % revenue]]="NA"),"NA","N"))</f>
        <v>N</v>
      </c>
      <c r="I93" s="11">
        <v>5900000000</v>
      </c>
      <c r="K93" t="s">
        <v>1</v>
      </c>
      <c r="L93" t="s">
        <v>0</v>
      </c>
      <c r="M93" s="3" t="s">
        <v>1</v>
      </c>
      <c r="R93" t="s">
        <v>0</v>
      </c>
      <c r="T93" s="53">
        <f>IFERROR((Table1[[#This Row],[2019 Total Scope 1, 2 + 3]])/Table1[[#This Row],[2018 Total Scope 1, 2 + Scope 3]]-1,"NA")</f>
        <v>-0.1143315255931987</v>
      </c>
      <c r="V93" s="12">
        <v>9688964</v>
      </c>
      <c r="W93" s="12">
        <f>10415469-V93</f>
        <v>726505</v>
      </c>
      <c r="X93" s="12"/>
      <c r="Y93" s="12">
        <f t="shared" si="28"/>
        <v>10415469</v>
      </c>
      <c r="Z93" s="12">
        <v>15495</v>
      </c>
      <c r="AA93" s="12">
        <f t="shared" si="21"/>
        <v>10430964</v>
      </c>
      <c r="AB93" s="12">
        <v>10874731</v>
      </c>
      <c r="AC93" s="12">
        <f>11760366-AB93</f>
        <v>885635</v>
      </c>
      <c r="AD93" s="12"/>
      <c r="AE93" s="12">
        <f t="shared" si="29"/>
        <v>11760366</v>
      </c>
      <c r="AF93" s="12">
        <v>17138</v>
      </c>
      <c r="AG93" s="12">
        <f t="shared" si="23"/>
        <v>11777504</v>
      </c>
      <c r="AH93" s="12">
        <v>10216978</v>
      </c>
      <c r="AI93" s="12">
        <f>10989985-AH93</f>
        <v>773007</v>
      </c>
      <c r="AJ93" s="12"/>
      <c r="AK93" s="12">
        <f t="shared" si="30"/>
        <v>10989985</v>
      </c>
      <c r="AL93" s="12">
        <v>18466</v>
      </c>
      <c r="AM93" s="12">
        <f t="shared" si="25"/>
        <v>11008451</v>
      </c>
      <c r="AN93" s="12">
        <v>9913870</v>
      </c>
      <c r="AO93" s="12">
        <f>10685250-AN93</f>
        <v>771380</v>
      </c>
      <c r="AP93" s="12"/>
      <c r="AQ93" s="12">
        <f t="shared" si="31"/>
        <v>10685250</v>
      </c>
      <c r="AR93" s="12">
        <v>18603</v>
      </c>
      <c r="AS93" s="12">
        <f t="shared" si="26"/>
        <v>10703853</v>
      </c>
      <c r="AT93" s="12">
        <v>10834984</v>
      </c>
      <c r="AU93" s="12">
        <f>11683549 -AT93</f>
        <v>848565</v>
      </c>
      <c r="AV93" s="12"/>
      <c r="AW93" s="12">
        <f t="shared" si="32"/>
        <v>11683549</v>
      </c>
      <c r="AX93" s="12">
        <v>19803</v>
      </c>
      <c r="AY93" s="12">
        <f t="shared" si="27"/>
        <v>11703352</v>
      </c>
      <c r="AZ93" s="3" t="s">
        <v>348</v>
      </c>
      <c r="BA93" s="14" t="s">
        <v>349</v>
      </c>
      <c r="BC93" s="3" t="s">
        <v>350</v>
      </c>
      <c r="BD93" s="44"/>
    </row>
    <row r="94" spans="1:56" ht="76.5" x14ac:dyDescent="0.2">
      <c r="A94" s="21" t="s">
        <v>351</v>
      </c>
      <c r="B94" s="21" t="s">
        <v>351</v>
      </c>
      <c r="C94" s="32" t="s">
        <v>7</v>
      </c>
      <c r="D94" s="4" t="s">
        <v>352</v>
      </c>
      <c r="E94" s="11">
        <v>242200000000</v>
      </c>
      <c r="F94" s="5" t="str">
        <f>IF(ISNUMBER(Table1[[#This Row],[2019 Scope 3 ]]),IF(Table1[[#This Row],[Net Earnings/Income (2019)]]-k_cost*Table1[[#This Row],[2019 Total Scope 1, 2 + 3]]&lt;0,"Y","N"),"NA")</f>
        <v>N</v>
      </c>
      <c r="G94" s="56" t="str">
        <f>IF(ISNUMBER(Table1[[#This Row],[2019 Scope 3 ]]),IF(k_cost*Table1[[#This Row],[2019 Total Scope 1, 2 + 3]]/Table1[[#This Row],[Size (2019 Revenue)]]&gt;k_rev_max,"Y","N"),"NA")</f>
        <v>N</v>
      </c>
      <c r="H94" s="56" t="str">
        <f>IF(OR(Table1[[#This Row],[Net earnings post carbon price @85/t]]="Y",Table1[[#This Row],[Carbon costs in % revenue]] = "Y"),"Y",IF(OR(Table1[[#This Row],[Net earnings post carbon price @85/t]]="NA",Table1[[#This Row],[Carbon costs in % revenue]]="NA"),"NA","N"))</f>
        <v>N</v>
      </c>
      <c r="I94" s="11">
        <v>14240000000</v>
      </c>
      <c r="J94" s="10">
        <v>1984</v>
      </c>
      <c r="K94" t="s">
        <v>1</v>
      </c>
      <c r="L94" t="s">
        <v>0</v>
      </c>
      <c r="M94" t="s">
        <v>0</v>
      </c>
      <c r="P94" s="3" t="s">
        <v>353</v>
      </c>
      <c r="R94" t="s">
        <v>0</v>
      </c>
      <c r="T94" s="53">
        <f>IFERROR((Table1[[#This Row],[2019 Total Scope 1, 2 + 3]])/Table1[[#This Row],[2018 Total Scope 1, 2 + Scope 3]]-1,"NA")</f>
        <v>0.26102295004393961</v>
      </c>
      <c r="V94" s="12">
        <v>17709</v>
      </c>
      <c r="W94" s="12">
        <v>149418</v>
      </c>
      <c r="X94" s="12"/>
      <c r="Y94" s="12">
        <f t="shared" si="28"/>
        <v>167127</v>
      </c>
      <c r="Z94" s="12">
        <f>25934+63005+252683+88189</f>
        <v>429811</v>
      </c>
      <c r="AA94" s="12">
        <f t="shared" si="21"/>
        <v>596938</v>
      </c>
      <c r="AB94" s="12">
        <v>13924</v>
      </c>
      <c r="AC94" s="12">
        <v>158042</v>
      </c>
      <c r="AD94" s="12"/>
      <c r="AE94" s="12">
        <f t="shared" si="29"/>
        <v>171966</v>
      </c>
      <c r="AF94" s="12">
        <v>301410</v>
      </c>
      <c r="AG94" s="12">
        <f t="shared" si="23"/>
        <v>473376</v>
      </c>
      <c r="AH94" s="12">
        <v>16570</v>
      </c>
      <c r="AI94" s="12">
        <v>156719</v>
      </c>
      <c r="AJ94" s="12"/>
      <c r="AK94" s="12">
        <f t="shared" si="30"/>
        <v>173289</v>
      </c>
      <c r="AL94" s="12">
        <v>127671</v>
      </c>
      <c r="AM94" s="12">
        <f t="shared" si="25"/>
        <v>300960</v>
      </c>
      <c r="AN94" s="12">
        <v>15838</v>
      </c>
      <c r="AO94" s="12">
        <v>161303</v>
      </c>
      <c r="AP94" s="12"/>
      <c r="AQ94" s="12">
        <f t="shared" si="31"/>
        <v>177141</v>
      </c>
      <c r="AR94" s="12">
        <v>146373</v>
      </c>
      <c r="AS94" s="12">
        <f t="shared" si="26"/>
        <v>323514</v>
      </c>
      <c r="AT94" s="12">
        <v>16567</v>
      </c>
      <c r="AU94" s="12">
        <v>180096</v>
      </c>
      <c r="AV94" s="12"/>
      <c r="AW94" s="12">
        <f t="shared" si="32"/>
        <v>196663</v>
      </c>
      <c r="AX94" s="12">
        <v>173042</v>
      </c>
      <c r="AY94" s="12">
        <f t="shared" si="27"/>
        <v>369705</v>
      </c>
      <c r="BA94" s="3" t="s">
        <v>354</v>
      </c>
      <c r="BC94" s="3" t="s">
        <v>355</v>
      </c>
      <c r="BD94" s="44"/>
    </row>
    <row r="95" spans="1:56" ht="229.5" x14ac:dyDescent="0.2">
      <c r="A95" s="21" t="s">
        <v>356</v>
      </c>
      <c r="B95" s="21" t="s">
        <v>394</v>
      </c>
      <c r="C95" s="21" t="s">
        <v>8</v>
      </c>
      <c r="D95" s="4" t="s">
        <v>165</v>
      </c>
      <c r="E95" s="11">
        <v>74094000000</v>
      </c>
      <c r="F95" s="5" t="str">
        <f>IF(ISNUMBER(Table1[[#This Row],[2019 Scope 3 ]]),IF(Table1[[#This Row],[Net Earnings/Income (2019)]]-k_cost*Table1[[#This Row],[2019 Total Scope 1, 2 + 3]]&lt;0,"Y","N"),"NA")</f>
        <v>N</v>
      </c>
      <c r="G95" s="56" t="str">
        <f>IF(ISNUMBER(Table1[[#This Row],[2019 Scope 3 ]]),IF(k_cost*Table1[[#This Row],[2019 Total Scope 1, 2 + 3]]/Table1[[#This Row],[Size (2019 Revenue)]]&gt;k_rev_max,"Y","N"),"NA")</f>
        <v>N</v>
      </c>
      <c r="H95" s="56" t="str">
        <f>IF(OR(Table1[[#This Row],[Net earnings post carbon price @85/t]]="Y",Table1[[#This Row],[Carbon costs in % revenue]] = "Y"),"Y",IF(OR(Table1[[#This Row],[Net earnings post carbon price @85/t]]="NA",Table1[[#This Row],[Carbon costs in % revenue]]="NA"),"NA","N"))</f>
        <v>N</v>
      </c>
      <c r="I95" s="11">
        <v>4400000000</v>
      </c>
      <c r="J95" s="10">
        <v>1999</v>
      </c>
      <c r="K95" t="s">
        <v>1</v>
      </c>
      <c r="L95" t="s">
        <v>0</v>
      </c>
      <c r="M95" t="s">
        <v>0</v>
      </c>
      <c r="P95" s="3" t="s">
        <v>357</v>
      </c>
      <c r="Q95" t="s">
        <v>1</v>
      </c>
      <c r="R95" t="s">
        <v>0</v>
      </c>
      <c r="T95" s="53">
        <f>IFERROR((Table1[[#This Row],[2019 Total Scope 1, 2 + 3]])/Table1[[#This Row],[2018 Total Scope 1, 2 + Scope 3]]-1,"NA")</f>
        <v>-9.7068664032273766E-3</v>
      </c>
      <c r="V95" s="12">
        <v>14223000</v>
      </c>
      <c r="W95" s="12">
        <v>731000</v>
      </c>
      <c r="X95" s="12"/>
      <c r="Y95" s="12">
        <f t="shared" si="28"/>
        <v>14954000</v>
      </c>
      <c r="Z95" s="12">
        <f>3122000+4629000+2820000+8198000+25000+69000+2079000+9000+57000</f>
        <v>21008000</v>
      </c>
      <c r="AA95" s="12">
        <f t="shared" si="21"/>
        <v>35962000</v>
      </c>
      <c r="AB95" s="12">
        <v>13851000</v>
      </c>
      <c r="AC95" s="12">
        <v>784000</v>
      </c>
      <c r="AD95" s="12">
        <f>(95.9+7.6)*1000</f>
        <v>103500</v>
      </c>
      <c r="AE95" s="12">
        <f t="shared" si="29"/>
        <v>14531500</v>
      </c>
      <c r="AF95" s="12">
        <v>21783000</v>
      </c>
      <c r="AG95" s="12">
        <f t="shared" si="23"/>
        <v>36314500</v>
      </c>
      <c r="AH95" s="12">
        <v>13047000</v>
      </c>
      <c r="AI95" s="12">
        <v>745000</v>
      </c>
      <c r="AJ95" s="12">
        <f>(77.9+6.3)*1000</f>
        <v>84200</v>
      </c>
      <c r="AK95" s="12">
        <f t="shared" si="30"/>
        <v>13707800</v>
      </c>
      <c r="AL95" s="12">
        <v>20071000</v>
      </c>
      <c r="AM95" s="12">
        <f t="shared" si="25"/>
        <v>33778800</v>
      </c>
      <c r="AN95" s="12">
        <v>12432000</v>
      </c>
      <c r="AO95" s="12">
        <v>831000</v>
      </c>
      <c r="AP95" s="12">
        <f>(95.7+6)*1000</f>
        <v>101700</v>
      </c>
      <c r="AQ95" s="12">
        <f t="shared" si="31"/>
        <v>13161300</v>
      </c>
      <c r="AR95" s="12">
        <v>17430000</v>
      </c>
      <c r="AS95" s="12">
        <f t="shared" si="26"/>
        <v>30591300</v>
      </c>
      <c r="AT95" s="12">
        <v>12197000</v>
      </c>
      <c r="AU95" s="12">
        <v>814000</v>
      </c>
      <c r="AV95" s="12">
        <f>(44.9+3.2)*1000</f>
        <v>48100</v>
      </c>
      <c r="AW95" s="12">
        <f t="shared" si="32"/>
        <v>12962900</v>
      </c>
      <c r="AX95" s="12">
        <v>16877000</v>
      </c>
      <c r="AY95" s="12">
        <f t="shared" si="27"/>
        <v>29839900</v>
      </c>
      <c r="AZ95" s="3" t="s">
        <v>358</v>
      </c>
      <c r="BA95" s="3" t="s">
        <v>359</v>
      </c>
      <c r="BC95" s="3" t="s">
        <v>360</v>
      </c>
      <c r="BD95" s="44"/>
    </row>
    <row r="96" spans="1:56" ht="178.5" x14ac:dyDescent="0.2">
      <c r="A96" s="21" t="s">
        <v>361</v>
      </c>
      <c r="B96" s="21" t="s">
        <v>361</v>
      </c>
      <c r="C96" s="32" t="s">
        <v>6</v>
      </c>
      <c r="D96" s="4" t="s">
        <v>103</v>
      </c>
      <c r="E96" s="11">
        <v>25775000000</v>
      </c>
      <c r="F96" s="5" t="str">
        <f>IF(ISNUMBER(Table1[[#This Row],[2019 Scope 3 ]]),IF(Table1[[#This Row],[Net Earnings/Income (2019)]]-k_cost*Table1[[#This Row],[2019 Total Scope 1, 2 + 3]]&lt;0,"Y","N"),"NA")</f>
        <v>N</v>
      </c>
      <c r="G96" s="56" t="str">
        <f>IF(ISNUMBER(Table1[[#This Row],[2019 Scope 3 ]]),IF(k_cost*Table1[[#This Row],[2019 Total Scope 1, 2 + 3]]/Table1[[#This Row],[Size (2019 Revenue)]]&gt;k_rev_max,"Y","N"),"NA")</f>
        <v>N</v>
      </c>
      <c r="H96" s="56" t="str">
        <f>IF(OR(Table1[[#This Row],[Net earnings post carbon price @85/t]]="Y",Table1[[#This Row],[Carbon costs in % revenue]] = "Y"),"Y",IF(OR(Table1[[#This Row],[Net earnings post carbon price @85/t]]="NA",Table1[[#This Row],[Carbon costs in % revenue]]="NA"),"NA","N"))</f>
        <v>N</v>
      </c>
      <c r="I96" s="11">
        <v>6914000000</v>
      </c>
      <c r="J96" s="10" t="s">
        <v>362</v>
      </c>
      <c r="K96" t="s">
        <v>0</v>
      </c>
      <c r="L96" t="s">
        <v>0</v>
      </c>
      <c r="M96" t="s">
        <v>0</v>
      </c>
      <c r="P96" s="3" t="s">
        <v>363</v>
      </c>
      <c r="R96" t="s">
        <v>0</v>
      </c>
      <c r="T96" s="53">
        <f>IFERROR((Table1[[#This Row],[2019 Total Scope 1, 2 + 3]])/Table1[[#This Row],[2018 Total Scope 1, 2 + Scope 3]]-1,"NA")</f>
        <v>-0.31991370447152412</v>
      </c>
      <c r="V96" s="12">
        <v>56482</v>
      </c>
      <c r="W96" s="12">
        <v>176447</v>
      </c>
      <c r="X96" s="12"/>
      <c r="Y96" s="12">
        <f t="shared" si="28"/>
        <v>232929</v>
      </c>
      <c r="Z96" s="12">
        <f>8528+38762+79195+44088</f>
        <v>170573</v>
      </c>
      <c r="AA96" s="12">
        <f t="shared" si="21"/>
        <v>403502</v>
      </c>
      <c r="AB96" s="12">
        <v>63333</v>
      </c>
      <c r="AC96" s="12">
        <v>233322</v>
      </c>
      <c r="AD96" s="12">
        <f>5165+32382+48317</f>
        <v>85864</v>
      </c>
      <c r="AE96" s="12">
        <f t="shared" si="29"/>
        <v>210791</v>
      </c>
      <c r="AF96" s="52">
        <v>382519</v>
      </c>
      <c r="AG96" s="12">
        <f t="shared" si="23"/>
        <v>593310</v>
      </c>
      <c r="AH96" s="12">
        <v>55029</v>
      </c>
      <c r="AI96" s="12">
        <v>239367</v>
      </c>
      <c r="AJ96" s="12"/>
      <c r="AK96" s="12">
        <f t="shared" si="30"/>
        <v>294396</v>
      </c>
      <c r="AL96" s="12"/>
      <c r="AM96" s="12">
        <f t="shared" si="25"/>
        <v>294396</v>
      </c>
      <c r="AN96" s="12">
        <v>53544</v>
      </c>
      <c r="AO96" s="12">
        <v>325439</v>
      </c>
      <c r="AP96" s="12"/>
      <c r="AQ96" s="12">
        <f t="shared" si="31"/>
        <v>378983</v>
      </c>
      <c r="AR96" s="12">
        <f>4953+27620+54092</f>
        <v>86665</v>
      </c>
      <c r="AS96" s="12">
        <f t="shared" si="26"/>
        <v>465648</v>
      </c>
      <c r="AT96" s="12"/>
      <c r="AU96" s="12"/>
      <c r="AV96" s="12"/>
      <c r="AW96" s="12">
        <f t="shared" si="32"/>
        <v>0</v>
      </c>
      <c r="AX96" s="12"/>
      <c r="AY96" s="12">
        <f t="shared" si="27"/>
        <v>0</v>
      </c>
      <c r="BA96" s="3" t="s">
        <v>364</v>
      </c>
      <c r="BC96" s="3" t="s">
        <v>365</v>
      </c>
      <c r="BD96" s="44" t="s">
        <v>504</v>
      </c>
    </row>
    <row r="97" spans="1:56" ht="89.25" x14ac:dyDescent="0.2">
      <c r="A97" s="21" t="s">
        <v>366</v>
      </c>
      <c r="B97" s="21" t="s">
        <v>442</v>
      </c>
      <c r="C97" s="21" t="s">
        <v>2</v>
      </c>
      <c r="D97" s="4" t="s">
        <v>99</v>
      </c>
      <c r="E97" s="5">
        <v>131860000000</v>
      </c>
      <c r="F97" s="5" t="str">
        <f>IF(ISNUMBER(Table1[[#This Row],[2019 Scope 3 ]]),IF(Table1[[#This Row],[Net Earnings/Income (2019)]]-k_cost*Table1[[#This Row],[2019 Total Scope 1, 2 + 3]]&lt;0,"Y","N"),"NA")</f>
        <v>N</v>
      </c>
      <c r="G97" s="56" t="str">
        <f>IF(ISNUMBER(Table1[[#This Row],[2019 Scope 3 ]]),IF(k_cost*Table1[[#This Row],[2019 Total Scope 1, 2 + 3]]/Table1[[#This Row],[Size (2019 Revenue)]]&gt;k_rev_max,"Y","N"),"NA")</f>
        <v>N</v>
      </c>
      <c r="H97" s="56" t="str">
        <f>IF(OR(Table1[[#This Row],[Net earnings post carbon price @85/t]]="Y",Table1[[#This Row],[Carbon costs in % revenue]] = "Y"),"Y",IF(OR(Table1[[#This Row],[Net earnings post carbon price @85/t]]="NA",Table1[[#This Row],[Carbon costs in % revenue]]="NA"),"NA","N"))</f>
        <v>N</v>
      </c>
      <c r="I97" s="5">
        <v>19790000000</v>
      </c>
      <c r="J97" s="9">
        <v>2000</v>
      </c>
      <c r="K97" s="5" t="s">
        <v>1</v>
      </c>
      <c r="L97" t="s">
        <v>1</v>
      </c>
      <c r="M97" t="s">
        <v>0</v>
      </c>
      <c r="N97">
        <v>2035</v>
      </c>
      <c r="O97">
        <v>2019</v>
      </c>
      <c r="Q97" t="s">
        <v>1</v>
      </c>
      <c r="R97" t="s">
        <v>0</v>
      </c>
      <c r="S97" t="s">
        <v>367</v>
      </c>
      <c r="T97" s="53" t="str">
        <f>IFERROR((Table1[[#This Row],[2019 Total Scope 1, 2 + 3]])/Table1[[#This Row],[2018 Total Scope 1, 2 + Scope 3]]-1,"NA")</f>
        <v>NA</v>
      </c>
      <c r="V97" s="12">
        <v>358753</v>
      </c>
      <c r="W97" s="12">
        <v>3982613</v>
      </c>
      <c r="X97" s="12"/>
      <c r="Y97" s="12">
        <f t="shared" si="28"/>
        <v>4341366</v>
      </c>
      <c r="Z97" s="12">
        <f>12502929+1057075+65443+36503+92882+511555+56906+2736735+1619</f>
        <v>17061647</v>
      </c>
      <c r="AA97" s="12">
        <f t="shared" si="21"/>
        <v>21403013</v>
      </c>
      <c r="AB97" s="12">
        <v>385241</v>
      </c>
      <c r="AC97" s="12">
        <v>4033579</v>
      </c>
      <c r="AD97" s="12"/>
      <c r="AE97" s="12">
        <f t="shared" si="29"/>
        <v>4418820</v>
      </c>
      <c r="AF97" s="12" t="s">
        <v>401</v>
      </c>
      <c r="AG97" s="12" t="str">
        <f t="shared" si="23"/>
        <v/>
      </c>
      <c r="AH97" s="12">
        <v>376735</v>
      </c>
      <c r="AI97" s="12">
        <v>4522261</v>
      </c>
      <c r="AJ97" s="12"/>
      <c r="AK97" s="12">
        <f t="shared" si="30"/>
        <v>4898996</v>
      </c>
      <c r="AL97" s="12">
        <v>69271</v>
      </c>
      <c r="AM97" s="12">
        <f t="shared" si="25"/>
        <v>4968267</v>
      </c>
      <c r="AN97" s="12">
        <v>372496</v>
      </c>
      <c r="AO97" s="12">
        <v>5529727</v>
      </c>
      <c r="AP97" s="12"/>
      <c r="AQ97" s="12">
        <f t="shared" si="31"/>
        <v>5902223</v>
      </c>
      <c r="AR97" s="12">
        <v>91365</v>
      </c>
      <c r="AS97" s="12">
        <f t="shared" si="26"/>
        <v>5993588</v>
      </c>
      <c r="AT97" s="12">
        <v>445704</v>
      </c>
      <c r="AU97" s="12">
        <v>5529153</v>
      </c>
      <c r="AV97" s="12"/>
      <c r="AW97" s="12">
        <f t="shared" si="32"/>
        <v>5974857</v>
      </c>
      <c r="AX97" s="12">
        <v>43333</v>
      </c>
      <c r="AY97" s="12">
        <f t="shared" si="27"/>
        <v>6018190</v>
      </c>
      <c r="BA97" s="3" t="s">
        <v>368</v>
      </c>
      <c r="BB97" t="s">
        <v>369</v>
      </c>
      <c r="BC97" s="3" t="s">
        <v>370</v>
      </c>
      <c r="BD97" s="44"/>
    </row>
    <row r="98" spans="1:56" ht="114.75" x14ac:dyDescent="0.2">
      <c r="A98" s="21" t="s">
        <v>371</v>
      </c>
      <c r="B98" s="21" t="s">
        <v>462</v>
      </c>
      <c r="C98" s="32" t="s">
        <v>6</v>
      </c>
      <c r="D98" s="4" t="s">
        <v>89</v>
      </c>
      <c r="E98" s="5">
        <v>23000000000</v>
      </c>
      <c r="F98" s="5" t="str">
        <f>IF(ISNUMBER(Table1[[#This Row],[2019 Scope 3 ]]),IF(Table1[[#This Row],[Net Earnings/Income (2019)]]-k_cost*Table1[[#This Row],[2019 Total Scope 1, 2 + 3]]&lt;0,"Y","N"),"NA")</f>
        <v>N</v>
      </c>
      <c r="G98" s="56" t="str">
        <f>IF(ISNUMBER(Table1[[#This Row],[2019 Scope 3 ]]),IF(k_cost*Table1[[#This Row],[2019 Total Scope 1, 2 + 3]]/Table1[[#This Row],[Size (2019 Revenue)]]&gt;k_rev_max,"Y","N"),"NA")</f>
        <v>N</v>
      </c>
      <c r="H98" s="56" t="str">
        <f>IF(OR(Table1[[#This Row],[Net earnings post carbon price @85/t]]="Y",Table1[[#This Row],[Carbon costs in % revenue]] = "Y"),"Y",IF(OR(Table1[[#This Row],[Net earnings post carbon price @85/t]]="NA",Table1[[#This Row],[Carbon costs in % revenue]]="NA"),"NA","N"))</f>
        <v>N</v>
      </c>
      <c r="I98" s="5">
        <v>12100000000</v>
      </c>
      <c r="J98" s="9">
        <v>2008</v>
      </c>
      <c r="K98" s="5" t="s">
        <v>1</v>
      </c>
      <c r="L98" t="s">
        <v>0</v>
      </c>
      <c r="M98" t="s">
        <v>0</v>
      </c>
      <c r="R98" t="s">
        <v>1</v>
      </c>
      <c r="S98">
        <v>2019</v>
      </c>
      <c r="T98" s="53">
        <f>IFERROR((Table1[[#This Row],[2019 Total Scope 1, 2 + 3]])/Table1[[#This Row],[2018 Total Scope 1, 2 + Scope 3]]-1,"NA")</f>
        <v>0.9770039995693709</v>
      </c>
      <c r="V98" s="12">
        <v>8642</v>
      </c>
      <c r="W98" s="12">
        <v>51366</v>
      </c>
      <c r="X98" s="12"/>
      <c r="Y98" s="12">
        <f t="shared" si="28"/>
        <v>60008</v>
      </c>
      <c r="Z98" s="12">
        <f>430410+13729+2203+48009+29518+94</f>
        <v>523963</v>
      </c>
      <c r="AA98" s="12">
        <f t="shared" ref="AA98:AA101" si="33">IFERROR(Y98+Z98,"")</f>
        <v>583971</v>
      </c>
      <c r="AB98" s="12">
        <f>287390*0.03</f>
        <v>8621.6999999999989</v>
      </c>
      <c r="AC98" s="12">
        <f>287390*0.19</f>
        <v>54604.1</v>
      </c>
      <c r="AD98" s="12"/>
      <c r="AE98" s="12">
        <f t="shared" si="29"/>
        <v>63225.799999999996</v>
      </c>
      <c r="AF98" s="12">
        <f>153409+6583+2793+47000+22342+29</f>
        <v>232156</v>
      </c>
      <c r="AG98" s="12">
        <f t="shared" ref="AG98:AG101" si="34">IFERROR(AE98+AF98,"")</f>
        <v>295381.8</v>
      </c>
      <c r="AH98" s="12">
        <v>9143</v>
      </c>
      <c r="AI98" s="12">
        <v>56628</v>
      </c>
      <c r="AJ98" s="12"/>
      <c r="AK98" s="12">
        <f t="shared" si="30"/>
        <v>65771</v>
      </c>
      <c r="AL98" s="12">
        <v>55182</v>
      </c>
      <c r="AM98" s="12">
        <f t="shared" ref="AM98:AM101" si="35">IFERROR(AK98+AL98,"")</f>
        <v>120953</v>
      </c>
      <c r="AN98" s="12">
        <v>9005</v>
      </c>
      <c r="AO98" s="12">
        <v>68968</v>
      </c>
      <c r="AP98" s="12"/>
      <c r="AQ98" s="12">
        <f t="shared" si="31"/>
        <v>77973</v>
      </c>
      <c r="AR98" s="12">
        <v>49736</v>
      </c>
      <c r="AS98" s="12">
        <f t="shared" ref="AS98:AS101" si="36">IFERROR(AQ98+AR98,"")</f>
        <v>127709</v>
      </c>
      <c r="AT98" s="12">
        <v>17837</v>
      </c>
      <c r="AU98" s="12">
        <v>55177</v>
      </c>
      <c r="AV98" s="12"/>
      <c r="AW98" s="12">
        <f t="shared" si="32"/>
        <v>73014</v>
      </c>
      <c r="AX98" s="12">
        <v>33149</v>
      </c>
      <c r="AY98" s="12">
        <f t="shared" ref="AY98:AY101" si="37">IFERROR(AW98+AX98,"")</f>
        <v>106163</v>
      </c>
      <c r="AZ98" t="s">
        <v>0</v>
      </c>
      <c r="BA98" s="3" t="s">
        <v>372</v>
      </c>
      <c r="BB98" s="3" t="s">
        <v>373</v>
      </c>
      <c r="BC98" s="3" t="s">
        <v>374</v>
      </c>
      <c r="BD98" s="44"/>
    </row>
    <row r="99" spans="1:56" ht="51" x14ac:dyDescent="0.2">
      <c r="A99" s="21" t="s">
        <v>375</v>
      </c>
      <c r="B99" s="21" t="s">
        <v>479</v>
      </c>
      <c r="C99" s="32" t="s">
        <v>7</v>
      </c>
      <c r="D99" s="4" t="s">
        <v>85</v>
      </c>
      <c r="E99" s="11">
        <v>136900000000</v>
      </c>
      <c r="F99" s="5" t="str">
        <f>IF(ISNUMBER(Table1[[#This Row],[2019 Scope 3 ]]),IF(Table1[[#This Row],[Net Earnings/Income (2019)]]-k_cost*Table1[[#This Row],[2019 Total Scope 1, 2 + 3]]&lt;0,"Y","N"),"NA")</f>
        <v>N</v>
      </c>
      <c r="G99" s="56" t="str">
        <f>IF(ISNUMBER(Table1[[#This Row],[2019 Scope 3 ]]),IF(k_cost*Table1[[#This Row],[2019 Total Scope 1, 2 + 3]]/Table1[[#This Row],[Size (2019 Revenue)]]&gt;k_rev_max,"Y","N"),"NA")</f>
        <v>N</v>
      </c>
      <c r="H99" s="56" t="str">
        <f>IF(OR(Table1[[#This Row],[Net earnings post carbon price @85/t]]="Y",Table1[[#This Row],[Carbon costs in % revenue]] = "Y"),"Y",IF(OR(Table1[[#This Row],[Net earnings post carbon price @85/t]]="NA",Table1[[#This Row],[Carbon costs in % revenue]]="NA"),"NA","N"))</f>
        <v>N</v>
      </c>
      <c r="I99" s="11">
        <v>3900000000</v>
      </c>
      <c r="J99" s="10">
        <v>1927</v>
      </c>
      <c r="K99" t="s">
        <v>1</v>
      </c>
      <c r="L99" t="s">
        <v>0</v>
      </c>
      <c r="M99" t="s">
        <v>0</v>
      </c>
      <c r="R99" t="s">
        <v>0</v>
      </c>
      <c r="T99" s="53">
        <f>IFERROR((Table1[[#This Row],[2019 Total Scope 1, 2 + 3]])/Table1[[#This Row],[2018 Total Scope 1, 2 + Scope 3]]-1,"NA")</f>
        <v>5.6364490371065834E-3</v>
      </c>
      <c r="V99" s="12">
        <v>389000</v>
      </c>
      <c r="W99" s="12">
        <v>1645000</v>
      </c>
      <c r="X99" s="12"/>
      <c r="Y99" s="12">
        <f t="shared" si="28"/>
        <v>2034000</v>
      </c>
      <c r="Z99" s="12">
        <v>107000</v>
      </c>
      <c r="AA99" s="12">
        <f t="shared" si="33"/>
        <v>2141000</v>
      </c>
      <c r="AB99" s="12">
        <v>370000</v>
      </c>
      <c r="AC99" s="12">
        <v>1639000</v>
      </c>
      <c r="AD99" s="12"/>
      <c r="AE99" s="12">
        <f t="shared" si="29"/>
        <v>2009000</v>
      </c>
      <c r="AF99" s="12">
        <v>120000</v>
      </c>
      <c r="AG99" s="12">
        <f t="shared" si="34"/>
        <v>2129000</v>
      </c>
      <c r="AH99" s="12">
        <v>368000</v>
      </c>
      <c r="AI99" s="12">
        <v>1863000</v>
      </c>
      <c r="AJ99" s="12"/>
      <c r="AK99" s="12">
        <f t="shared" si="30"/>
        <v>2231000</v>
      </c>
      <c r="AL99" s="12">
        <v>123000</v>
      </c>
      <c r="AM99" s="12">
        <f t="shared" si="35"/>
        <v>2354000</v>
      </c>
      <c r="AN99" s="12"/>
      <c r="AO99" s="12"/>
      <c r="AP99" s="12"/>
      <c r="AQ99" s="12">
        <f t="shared" si="31"/>
        <v>0</v>
      </c>
      <c r="AR99" s="12"/>
      <c r="AS99" s="12">
        <f t="shared" si="36"/>
        <v>0</v>
      </c>
      <c r="AT99" s="12"/>
      <c r="AU99" s="12"/>
      <c r="AV99" s="12"/>
      <c r="AW99" s="12">
        <f t="shared" si="32"/>
        <v>0</v>
      </c>
      <c r="AX99" s="12"/>
      <c r="AY99" s="12">
        <f t="shared" si="37"/>
        <v>0</v>
      </c>
      <c r="AZ99" t="s">
        <v>376</v>
      </c>
      <c r="BA99" s="18" t="s">
        <v>377</v>
      </c>
      <c r="BC99" s="3" t="s">
        <v>378</v>
      </c>
      <c r="BD99" s="44"/>
    </row>
    <row r="100" spans="1:56" ht="204" x14ac:dyDescent="0.2">
      <c r="A100" s="21" t="s">
        <v>379</v>
      </c>
      <c r="B100" s="21" t="s">
        <v>379</v>
      </c>
      <c r="C100" s="21" t="s">
        <v>4</v>
      </c>
      <c r="D100" s="4" t="s">
        <v>85</v>
      </c>
      <c r="E100" s="5">
        <v>524000000000</v>
      </c>
      <c r="F100" s="5" t="str">
        <f>IF(ISNUMBER(Table1[[#This Row],[2019 Scope 3 ]]),IF(Table1[[#This Row],[Net Earnings/Income (2019)]]-k_cost*Table1[[#This Row],[2019 Total Scope 1, 2 + 3]]&lt;0,"Y","N"),"NA")</f>
        <v>Y</v>
      </c>
      <c r="G100" s="56" t="str">
        <f>IF(ISNUMBER(Table1[[#This Row],[2019 Scope 3 ]]),IF(k_cost*Table1[[#This Row],[2019 Total Scope 1, 2 + 3]]/Table1[[#This Row],[Size (2019 Revenue)]]&gt;k_rev_max,"Y","N"),"NA")</f>
        <v>N</v>
      </c>
      <c r="H100" s="56" t="str">
        <f>IF(OR(Table1[[#This Row],[Net earnings post carbon price @85/t]]="Y",Table1[[#This Row],[Carbon costs in % revenue]] = "Y"),"Y",IF(OR(Table1[[#This Row],[Net earnings post carbon price @85/t]]="NA",Table1[[#This Row],[Carbon costs in % revenue]]="NA"),"NA","N"))</f>
        <v>Y</v>
      </c>
      <c r="I100" s="5">
        <v>14880000000</v>
      </c>
      <c r="J100" s="9">
        <v>1972</v>
      </c>
      <c r="K100" s="5" t="s">
        <v>1</v>
      </c>
      <c r="L100" s="4" t="s">
        <v>1</v>
      </c>
      <c r="M100" t="s">
        <v>1</v>
      </c>
      <c r="N100">
        <v>2040</v>
      </c>
      <c r="P100" s="3" t="s">
        <v>380</v>
      </c>
      <c r="Q100" t="s">
        <v>0</v>
      </c>
      <c r="R100" t="s">
        <v>1</v>
      </c>
      <c r="S100">
        <v>2025</v>
      </c>
      <c r="T100" s="53">
        <f>IFERROR((Table1[[#This Row],[2019 Total Scope 1, 2 + 3]])/Table1[[#This Row],[2018 Total Scope 1, 2 + Scope 3]]-1,"NA")</f>
        <v>-2.764724364318516E-3</v>
      </c>
      <c r="V100" s="12">
        <v>6484616</v>
      </c>
      <c r="W100" s="12">
        <v>11078980</v>
      </c>
      <c r="X100" s="12"/>
      <c r="Y100" s="12">
        <f t="shared" si="28"/>
        <v>17563596</v>
      </c>
      <c r="Z100" s="12">
        <f>143267842+645328+3327874+342577+968265+76296+3500000+5099+32211000+130+130000</f>
        <v>184474411</v>
      </c>
      <c r="AA100" s="12">
        <f t="shared" si="33"/>
        <v>202038007</v>
      </c>
      <c r="AB100" s="12">
        <v>6101641</v>
      </c>
      <c r="AC100" s="12">
        <v>12022083</v>
      </c>
      <c r="AD100" s="12"/>
      <c r="AE100" s="12">
        <f t="shared" si="29"/>
        <v>18123724</v>
      </c>
      <c r="AF100" s="12">
        <f>143267842+645328+3327874+342577+968265+76296+3500000+5099+32211000+130+130000</f>
        <v>184474411</v>
      </c>
      <c r="AG100" s="12">
        <f t="shared" si="34"/>
        <v>202598135</v>
      </c>
      <c r="AH100" s="12">
        <v>12160000</v>
      </c>
      <c r="AI100" s="12">
        <v>6520000</v>
      </c>
      <c r="AJ100" s="12"/>
      <c r="AK100" s="12">
        <f t="shared" si="30"/>
        <v>18680000</v>
      </c>
      <c r="AL100" s="12"/>
      <c r="AM100" s="12">
        <f t="shared" si="35"/>
        <v>18680000</v>
      </c>
      <c r="AN100" s="12">
        <v>14080000</v>
      </c>
      <c r="AO100" s="12">
        <v>6650000</v>
      </c>
      <c r="AP100" s="12"/>
      <c r="AQ100" s="12">
        <f t="shared" si="31"/>
        <v>20730000</v>
      </c>
      <c r="AR100" s="12"/>
      <c r="AS100" s="12">
        <f t="shared" si="36"/>
        <v>20730000</v>
      </c>
      <c r="AT100" s="12">
        <v>14930000</v>
      </c>
      <c r="AU100" s="12">
        <v>6110000</v>
      </c>
      <c r="AV100" s="12"/>
      <c r="AW100" s="12">
        <f t="shared" si="32"/>
        <v>21040000</v>
      </c>
      <c r="AX100" s="12"/>
      <c r="AY100" s="12">
        <f t="shared" si="37"/>
        <v>21040000</v>
      </c>
      <c r="AZ100" s="3" t="s">
        <v>381</v>
      </c>
      <c r="BA100" s="3" t="s">
        <v>382</v>
      </c>
      <c r="BB100" s="3" t="s">
        <v>383</v>
      </c>
      <c r="BC100" s="3" t="s">
        <v>384</v>
      </c>
      <c r="BD100" s="44"/>
    </row>
    <row r="101" spans="1:56" ht="127.5" x14ac:dyDescent="0.2">
      <c r="A101" s="21" t="s">
        <v>385</v>
      </c>
      <c r="B101" s="21" t="s">
        <v>385</v>
      </c>
      <c r="C101" s="32" t="s">
        <v>6</v>
      </c>
      <c r="D101" s="4" t="s">
        <v>103</v>
      </c>
      <c r="E101" s="5">
        <v>85060000000</v>
      </c>
      <c r="F101" s="5" t="str">
        <f>IF(ISNUMBER(Table1[[#This Row],[2019 Scope 3 ]]),IF(Table1[[#This Row],[Net Earnings/Income (2019)]]-k_cost*Table1[[#This Row],[2019 Total Scope 1, 2 + 3]]&lt;0,"Y","N"),"NA")</f>
        <v>N</v>
      </c>
      <c r="G101" s="56" t="str">
        <f>IF(ISNUMBER(Table1[[#This Row],[2019 Scope 3 ]]),IF(k_cost*Table1[[#This Row],[2019 Total Scope 1, 2 + 3]]/Table1[[#This Row],[Size (2019 Revenue)]]&gt;k_rev_max,"Y","N"),"NA")</f>
        <v>N</v>
      </c>
      <c r="H101" s="56" t="str">
        <f>IF(OR(Table1[[#This Row],[Net earnings post carbon price @85/t]]="Y",Table1[[#This Row],[Carbon costs in % revenue]] = "Y"),"Y",IF(OR(Table1[[#This Row],[Net earnings post carbon price @85/t]]="NA",Table1[[#This Row],[Carbon costs in % revenue]]="NA"),"NA","N"))</f>
        <v>N</v>
      </c>
      <c r="I101" s="5">
        <v>19550000000</v>
      </c>
      <c r="J101" s="9">
        <v>1978</v>
      </c>
      <c r="K101" s="5" t="s">
        <v>1</v>
      </c>
      <c r="L101" t="s">
        <v>0</v>
      </c>
      <c r="M101" t="s">
        <v>0</v>
      </c>
      <c r="P101" s="3" t="s">
        <v>386</v>
      </c>
      <c r="Q101" s="3" t="s">
        <v>387</v>
      </c>
      <c r="R101" t="s">
        <v>1</v>
      </c>
      <c r="S101">
        <v>2017</v>
      </c>
      <c r="T101" s="53">
        <f>IFERROR((Table1[[#This Row],[2019 Total Scope 1, 2 + 3]])/Table1[[#This Row],[2018 Total Scope 1, 2 + Scope 3]]-1,"NA")</f>
        <v>-0.21291325731022215</v>
      </c>
      <c r="V101" s="12">
        <v>91993</v>
      </c>
      <c r="W101" s="12">
        <v>4988</v>
      </c>
      <c r="X101" s="12"/>
      <c r="Y101" s="12">
        <f t="shared" si="28"/>
        <v>96981</v>
      </c>
      <c r="Z101" s="12">
        <f>2304829+455599+148420+9921+78277+613405</f>
        <v>3610451</v>
      </c>
      <c r="AA101" s="12">
        <f t="shared" si="33"/>
        <v>3707432</v>
      </c>
      <c r="AB101" s="12">
        <v>95316</v>
      </c>
      <c r="AC101" s="12">
        <v>833204</v>
      </c>
      <c r="AD101" s="12"/>
      <c r="AE101" s="12">
        <f t="shared" si="29"/>
        <v>928520</v>
      </c>
      <c r="AF101" s="12">
        <f>2347646+559600+156145+12132+93815+612464</f>
        <v>3781802</v>
      </c>
      <c r="AG101" s="12">
        <f t="shared" si="34"/>
        <v>4710322</v>
      </c>
      <c r="AH101" s="12">
        <v>85830</v>
      </c>
      <c r="AI101" s="12">
        <v>848520</v>
      </c>
      <c r="AJ101" s="12"/>
      <c r="AK101" s="12">
        <f t="shared" si="30"/>
        <v>934350</v>
      </c>
      <c r="AL101" s="12" t="s">
        <v>401</v>
      </c>
      <c r="AM101" s="12" t="str">
        <f t="shared" si="35"/>
        <v/>
      </c>
      <c r="AN101" s="12">
        <v>85628</v>
      </c>
      <c r="AO101" s="12">
        <v>974982</v>
      </c>
      <c r="AP101" s="12"/>
      <c r="AQ101" s="12">
        <f t="shared" si="31"/>
        <v>1060610</v>
      </c>
      <c r="AR101" s="12" t="s">
        <v>401</v>
      </c>
      <c r="AS101" s="12" t="str">
        <f t="shared" si="36"/>
        <v/>
      </c>
      <c r="AT101" s="12">
        <v>92610</v>
      </c>
      <c r="AU101" s="12">
        <v>1193278</v>
      </c>
      <c r="AV101" s="12"/>
      <c r="AW101" s="12">
        <f t="shared" si="32"/>
        <v>1285888</v>
      </c>
      <c r="AX101" s="12" t="s">
        <v>401</v>
      </c>
      <c r="AY101" s="12" t="str">
        <f t="shared" si="37"/>
        <v/>
      </c>
      <c r="BA101" s="3" t="s">
        <v>388</v>
      </c>
      <c r="BC101" s="3" t="s">
        <v>389</v>
      </c>
      <c r="BD101" s="44"/>
    </row>
    <row r="102" spans="1:56" x14ac:dyDescent="0.2">
      <c r="A102" s="32"/>
      <c r="B102" s="32"/>
      <c r="D102" s="4"/>
      <c r="E102" s="37"/>
      <c r="F102" s="37"/>
      <c r="G102" s="37"/>
      <c r="H102" s="37"/>
      <c r="I102" s="37"/>
      <c r="J102" s="38"/>
      <c r="K102" s="37"/>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BA102" s="30"/>
      <c r="BC102" s="30"/>
    </row>
    <row r="103" spans="1:56" x14ac:dyDescent="0.2">
      <c r="V103" s="17"/>
      <c r="W103" s="17"/>
      <c r="X103" s="17"/>
      <c r="Y103" s="17"/>
      <c r="Z103" s="17"/>
      <c r="AA103" s="17"/>
      <c r="AB103" s="17"/>
      <c r="AC103" s="17"/>
      <c r="AD103" s="17"/>
      <c r="AE103" s="17"/>
      <c r="AF103" s="17"/>
      <c r="AG103" s="17"/>
      <c r="AH103" s="17"/>
      <c r="AI103" s="17"/>
      <c r="AJ103" s="17"/>
      <c r="AK103" s="13"/>
      <c r="AL103" s="17"/>
      <c r="AM103" s="17"/>
      <c r="AN103" s="17"/>
      <c r="AO103" s="17"/>
      <c r="AP103" s="17"/>
      <c r="AQ103" s="17"/>
      <c r="AR103" s="17"/>
      <c r="AS103" s="17"/>
      <c r="AT103" s="17"/>
      <c r="AU103" s="17"/>
      <c r="AV103" s="17"/>
      <c r="AW103" s="17"/>
      <c r="AX103" s="17"/>
      <c r="AY103" s="17"/>
    </row>
    <row r="104" spans="1:56" x14ac:dyDescent="0.2">
      <c r="V104" s="17"/>
      <c r="W104" s="17"/>
      <c r="X104" s="17"/>
      <c r="Y104" s="17"/>
      <c r="Z104" s="17"/>
      <c r="AA104" s="17"/>
      <c r="AB104" s="17"/>
      <c r="AC104" s="17"/>
      <c r="AD104" s="17"/>
      <c r="AE104" s="17"/>
      <c r="AF104" s="17"/>
      <c r="AG104" s="17"/>
      <c r="AH104" s="17"/>
      <c r="AI104" s="17"/>
      <c r="AJ104" s="17"/>
      <c r="AK104" s="13"/>
      <c r="AL104" s="17"/>
      <c r="AM104" s="17"/>
      <c r="AN104" s="17"/>
      <c r="AO104" s="17"/>
      <c r="AP104" s="17"/>
      <c r="AQ104" s="17"/>
      <c r="AR104" s="17"/>
      <c r="AS104" s="17"/>
      <c r="AT104" s="17"/>
      <c r="AU104" s="17"/>
      <c r="AV104" s="17"/>
      <c r="AW104" s="17"/>
      <c r="AX104" s="17"/>
      <c r="AY104" s="17"/>
    </row>
    <row r="105" spans="1:56" x14ac:dyDescent="0.2">
      <c r="A105" s="4" t="s">
        <v>484</v>
      </c>
      <c r="V105" s="17"/>
      <c r="W105" s="17"/>
      <c r="X105" s="17"/>
      <c r="Y105" s="17"/>
      <c r="Z105" s="17"/>
      <c r="AA105" s="17"/>
      <c r="AB105" s="17"/>
      <c r="AC105" s="17"/>
      <c r="AD105" s="17"/>
      <c r="AE105" s="17"/>
      <c r="AF105" s="17"/>
      <c r="AG105" s="17"/>
      <c r="AH105" s="17"/>
      <c r="AI105" s="17"/>
      <c r="AJ105" s="17"/>
      <c r="AK105" s="13"/>
      <c r="AL105" s="17"/>
      <c r="AM105" s="17"/>
      <c r="AN105" s="17"/>
      <c r="AO105" s="17"/>
      <c r="AP105" s="17"/>
      <c r="AQ105" s="17"/>
      <c r="AR105" s="17"/>
      <c r="AS105" s="17"/>
      <c r="AT105" s="17"/>
      <c r="AU105" s="17"/>
      <c r="AV105" s="17"/>
      <c r="AW105" s="17"/>
      <c r="AX105" s="17"/>
      <c r="AY105" s="17"/>
    </row>
    <row r="106" spans="1:56" x14ac:dyDescent="0.2">
      <c r="V106" s="17"/>
      <c r="W106" s="17"/>
      <c r="X106" s="17"/>
      <c r="Y106" s="17"/>
      <c r="Z106" s="17"/>
      <c r="AA106" s="17"/>
      <c r="AB106" s="17"/>
      <c r="AC106" s="17"/>
      <c r="AD106" s="17"/>
      <c r="AE106" s="17"/>
      <c r="AF106" s="17"/>
      <c r="AG106" s="17"/>
      <c r="AH106" s="17"/>
      <c r="AI106" s="17"/>
      <c r="AJ106" s="17"/>
      <c r="AK106" s="13"/>
      <c r="AL106" s="17"/>
      <c r="AM106" s="17"/>
      <c r="AN106" s="17"/>
      <c r="AO106" s="17"/>
      <c r="AP106" s="17"/>
      <c r="AQ106" s="17"/>
      <c r="AR106" s="17"/>
      <c r="AS106" s="17"/>
      <c r="AT106" s="17"/>
      <c r="AU106" s="17"/>
      <c r="AV106" s="17"/>
      <c r="AW106" s="17"/>
      <c r="AX106" s="17"/>
      <c r="AY106" s="17"/>
    </row>
    <row r="107" spans="1:56" x14ac:dyDescent="0.2">
      <c r="V107" s="17"/>
      <c r="W107" s="17"/>
      <c r="X107" s="17"/>
      <c r="Y107" s="17"/>
      <c r="Z107" s="17"/>
      <c r="AA107" s="17"/>
      <c r="AB107" s="17"/>
      <c r="AC107" s="17"/>
      <c r="AD107" s="17"/>
      <c r="AE107" s="17"/>
      <c r="AF107" s="17"/>
      <c r="AG107" s="17"/>
      <c r="AH107" s="17"/>
      <c r="AI107" s="17"/>
      <c r="AJ107" s="17"/>
      <c r="AK107" s="13"/>
      <c r="AL107" s="17"/>
      <c r="AM107" s="17"/>
      <c r="AN107" s="17"/>
      <c r="AO107" s="17"/>
      <c r="AP107" s="17"/>
      <c r="AQ107" s="17"/>
      <c r="AR107" s="17"/>
      <c r="AS107" s="17"/>
      <c r="AT107" s="17"/>
      <c r="AU107" s="17"/>
      <c r="AV107" s="17"/>
      <c r="AW107" s="17"/>
      <c r="AX107" s="17"/>
      <c r="AY107" s="17"/>
    </row>
    <row r="108" spans="1:56" x14ac:dyDescent="0.2">
      <c r="V108" s="17"/>
      <c r="W108" s="17"/>
      <c r="X108" s="17"/>
      <c r="Y108" s="17"/>
      <c r="Z108" s="17"/>
      <c r="AA108" s="17"/>
      <c r="AB108" s="17"/>
      <c r="AC108" s="17"/>
      <c r="AD108" s="17"/>
      <c r="AE108" s="17"/>
      <c r="AF108" s="17"/>
      <c r="AG108" s="17"/>
      <c r="AH108" s="17"/>
      <c r="AI108" s="17"/>
      <c r="AJ108" s="17"/>
      <c r="AK108" s="13"/>
      <c r="AL108" s="17"/>
      <c r="AM108" s="17"/>
      <c r="AN108" s="17"/>
      <c r="AO108" s="17"/>
      <c r="AP108" s="17"/>
      <c r="AQ108" s="17"/>
      <c r="AR108" s="17"/>
      <c r="AS108" s="17"/>
      <c r="AT108" s="17"/>
      <c r="AU108" s="17"/>
      <c r="AV108" s="17"/>
      <c r="AW108" s="17"/>
      <c r="AX108" s="17"/>
      <c r="AY108" s="17"/>
    </row>
    <row r="109" spans="1:56" x14ac:dyDescent="0.2">
      <c r="V109" s="17"/>
      <c r="W109" s="17"/>
      <c r="X109" s="17"/>
      <c r="Y109" s="17"/>
      <c r="Z109" s="17"/>
      <c r="AA109" s="17"/>
      <c r="AB109" s="17"/>
      <c r="AC109" s="17"/>
      <c r="AD109" s="17"/>
      <c r="AE109" s="17"/>
      <c r="AF109" s="17"/>
      <c r="AG109" s="17"/>
      <c r="AH109" s="17"/>
      <c r="AI109" s="17"/>
      <c r="AJ109" s="17"/>
      <c r="AK109" s="13"/>
      <c r="AL109" s="17"/>
      <c r="AM109" s="17"/>
      <c r="AN109" s="17"/>
      <c r="AO109" s="17"/>
      <c r="AP109" s="17"/>
      <c r="AQ109" s="17"/>
      <c r="AR109" s="17"/>
      <c r="AS109" s="17"/>
      <c r="AT109" s="17"/>
      <c r="AU109" s="17"/>
      <c r="AV109" s="17"/>
      <c r="AW109" s="17"/>
      <c r="AX109" s="17"/>
      <c r="AY109" s="17"/>
    </row>
    <row r="110" spans="1:56" x14ac:dyDescent="0.2">
      <c r="V110" s="17"/>
      <c r="W110" s="17"/>
      <c r="X110" s="17"/>
      <c r="Y110" s="17"/>
      <c r="Z110" s="17"/>
      <c r="AA110" s="17"/>
      <c r="AB110" s="17"/>
      <c r="AC110" s="17"/>
      <c r="AD110" s="17"/>
      <c r="AE110" s="17"/>
      <c r="AF110" s="17"/>
      <c r="AG110" s="17"/>
      <c r="AH110" s="17"/>
      <c r="AI110" s="17"/>
      <c r="AJ110" s="17"/>
      <c r="AK110" s="13"/>
      <c r="AL110" s="17"/>
      <c r="AM110" s="17"/>
      <c r="AN110" s="17"/>
      <c r="AO110" s="17"/>
      <c r="AP110" s="17"/>
      <c r="AQ110" s="17"/>
      <c r="AR110" s="17"/>
      <c r="AS110" s="17"/>
      <c r="AT110" s="17"/>
      <c r="AU110" s="17"/>
      <c r="AV110" s="17"/>
      <c r="AW110" s="17"/>
      <c r="AX110" s="17"/>
      <c r="AY110" s="17"/>
    </row>
    <row r="111" spans="1:56" x14ac:dyDescent="0.2">
      <c r="V111" s="17"/>
      <c r="W111" s="17"/>
      <c r="X111" s="17"/>
      <c r="Y111" s="17"/>
      <c r="Z111" s="17"/>
      <c r="AA111" s="17"/>
      <c r="AB111" s="17"/>
      <c r="AC111" s="17"/>
      <c r="AD111" s="17"/>
      <c r="AE111" s="17"/>
      <c r="AF111" s="17"/>
      <c r="AG111" s="17"/>
      <c r="AH111" s="17"/>
      <c r="AI111" s="17"/>
      <c r="AJ111" s="17"/>
      <c r="AK111" s="13"/>
      <c r="AL111" s="17"/>
      <c r="AM111" s="17"/>
      <c r="AN111" s="17"/>
      <c r="AO111" s="17"/>
      <c r="AP111" s="17"/>
      <c r="AQ111" s="17"/>
      <c r="AR111" s="17"/>
      <c r="AS111" s="17"/>
      <c r="AT111" s="17"/>
      <c r="AU111" s="17"/>
      <c r="AV111" s="17"/>
      <c r="AW111" s="17"/>
      <c r="AX111" s="17"/>
      <c r="AY111" s="17"/>
    </row>
    <row r="112" spans="1:56" x14ac:dyDescent="0.2">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row>
    <row r="113" spans="22:51" x14ac:dyDescent="0.2">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row>
    <row r="114" spans="22:51" x14ac:dyDescent="0.2">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row>
    <row r="115" spans="22:51" x14ac:dyDescent="0.2">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row>
    <row r="116" spans="22:51" x14ac:dyDescent="0.2">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row>
    <row r="117" spans="22:51" x14ac:dyDescent="0.2">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row>
    <row r="118" spans="22:51" x14ac:dyDescent="0.2">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row>
    <row r="119" spans="22:51" x14ac:dyDescent="0.2">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row>
    <row r="120" spans="22:51" x14ac:dyDescent="0.2">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row>
    <row r="121" spans="22:51" x14ac:dyDescent="0.2">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row>
    <row r="122" spans="22:51" x14ac:dyDescent="0.2">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row>
    <row r="123" spans="22:51" x14ac:dyDescent="0.2">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row>
    <row r="124" spans="22:51" x14ac:dyDescent="0.2">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row>
    <row r="125" spans="22:51" x14ac:dyDescent="0.2">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row>
    <row r="126" spans="22:51" x14ac:dyDescent="0.2">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row>
    <row r="127" spans="22:51" x14ac:dyDescent="0.2">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row>
    <row r="128" spans="22:51" x14ac:dyDescent="0.2">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row>
    <row r="129" spans="22:51" x14ac:dyDescent="0.2">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row>
    <row r="130" spans="22:51" x14ac:dyDescent="0.2">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row>
    <row r="131" spans="22:51" x14ac:dyDescent="0.2">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row>
    <row r="132" spans="22:51" x14ac:dyDescent="0.2">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row>
    <row r="133" spans="22:51" x14ac:dyDescent="0.2">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row>
    <row r="134" spans="22:51" x14ac:dyDescent="0.2">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row>
    <row r="135" spans="22:51" x14ac:dyDescent="0.2">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row>
    <row r="136" spans="22:51" x14ac:dyDescent="0.2">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row>
    <row r="137" spans="22:51" x14ac:dyDescent="0.2">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row>
    <row r="138" spans="22:51" x14ac:dyDescent="0.2">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row>
    <row r="139" spans="22:51" x14ac:dyDescent="0.2">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row>
    <row r="140" spans="22:51" x14ac:dyDescent="0.2">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row>
    <row r="141" spans="22:51" x14ac:dyDescent="0.2">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row>
    <row r="142" spans="22:51" x14ac:dyDescent="0.2">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row>
    <row r="143" spans="22:51" x14ac:dyDescent="0.2">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row>
    <row r="144" spans="22:51" x14ac:dyDescent="0.2">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row>
    <row r="145" spans="22:51" x14ac:dyDescent="0.2">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row>
    <row r="146" spans="22:51" x14ac:dyDescent="0.2">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row>
    <row r="147" spans="22:51" x14ac:dyDescent="0.2">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row>
    <row r="148" spans="22:51" x14ac:dyDescent="0.2">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row>
    <row r="149" spans="22:51" x14ac:dyDescent="0.2">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row>
    <row r="150" spans="22:51" x14ac:dyDescent="0.2">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row>
    <row r="151" spans="22:51" x14ac:dyDescent="0.2">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row>
    <row r="152" spans="22:51" x14ac:dyDescent="0.2">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row>
    <row r="153" spans="22:51" x14ac:dyDescent="0.2">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row>
    <row r="154" spans="22:51" x14ac:dyDescent="0.2">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row>
    <row r="155" spans="22:51" x14ac:dyDescent="0.2">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row>
    <row r="156" spans="22:51" x14ac:dyDescent="0.2">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row>
    <row r="157" spans="22:51" x14ac:dyDescent="0.2">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row>
    <row r="158" spans="22:51" x14ac:dyDescent="0.2">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row>
    <row r="159" spans="22:51" x14ac:dyDescent="0.2">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row>
    <row r="160" spans="22:51" x14ac:dyDescent="0.2">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row>
    <row r="161" spans="22:51" x14ac:dyDescent="0.2">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row>
    <row r="162" spans="22:51" x14ac:dyDescent="0.2">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row>
    <row r="163" spans="22:51" x14ac:dyDescent="0.2">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row>
    <row r="164" spans="22:51" x14ac:dyDescent="0.2">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row>
    <row r="165" spans="22:51" x14ac:dyDescent="0.2">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row>
    <row r="166" spans="22:51" x14ac:dyDescent="0.2">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row>
    <row r="167" spans="22:51" x14ac:dyDescent="0.2">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row>
    <row r="168" spans="22:51" x14ac:dyDescent="0.2">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row>
    <row r="169" spans="22:51" x14ac:dyDescent="0.2">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row>
    <row r="170" spans="22:51" x14ac:dyDescent="0.2">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row>
    <row r="171" spans="22:51" x14ac:dyDescent="0.2">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row>
    <row r="172" spans="22:51" x14ac:dyDescent="0.2">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row>
    <row r="173" spans="22:51" x14ac:dyDescent="0.2">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row>
    <row r="174" spans="22:51" x14ac:dyDescent="0.2">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row>
    <row r="175" spans="22:51" x14ac:dyDescent="0.2">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row>
    <row r="176" spans="22:51" x14ac:dyDescent="0.2">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row>
    <row r="177" spans="22:51" x14ac:dyDescent="0.2">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row>
    <row r="178" spans="22:51" x14ac:dyDescent="0.2">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row>
    <row r="179" spans="22:51" x14ac:dyDescent="0.2">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row>
    <row r="180" spans="22:51" x14ac:dyDescent="0.2">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row>
    <row r="181" spans="22:51" x14ac:dyDescent="0.2">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row>
  </sheetData>
  <phoneticPr fontId="6" type="noConversion"/>
  <hyperlinks>
    <hyperlink ref="BC24" r:id="rId1" xr:uid="{E2FBD465-37BD-47C2-B298-1DAC5BD95783}"/>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AA04-11BE-44D0-BE7F-6E9CF9E10A5B}">
  <dimension ref="A1:Q13"/>
  <sheetViews>
    <sheetView showGridLines="0" workbookViewId="0">
      <selection activeCell="L12" sqref="L12"/>
    </sheetView>
  </sheetViews>
  <sheetFormatPr defaultRowHeight="12.75" x14ac:dyDescent="0.2"/>
  <cols>
    <col min="1" max="1" width="21.85546875" bestFit="1" customWidth="1"/>
    <col min="2" max="3" width="21.85546875" customWidth="1"/>
    <col min="4" max="7" width="22.7109375" customWidth="1"/>
    <col min="10" max="10" width="10.85546875" bestFit="1" customWidth="1"/>
    <col min="11" max="11" width="9.5703125" bestFit="1" customWidth="1"/>
    <col min="12" max="12" width="12.28515625" bestFit="1" customWidth="1"/>
    <col min="13" max="13" width="7.140625" bestFit="1" customWidth="1"/>
    <col min="14" max="14" width="7.140625" customWidth="1"/>
  </cols>
  <sheetData>
    <row r="1" spans="1:17" x14ac:dyDescent="0.2">
      <c r="B1" s="50" t="s">
        <v>501</v>
      </c>
      <c r="C1" s="50" t="s">
        <v>502</v>
      </c>
      <c r="D1" s="50" t="s">
        <v>495</v>
      </c>
      <c r="E1" s="50" t="s">
        <v>494</v>
      </c>
      <c r="F1" s="49" t="s">
        <v>491</v>
      </c>
      <c r="G1" s="49" t="s">
        <v>492</v>
      </c>
      <c r="H1" s="49" t="s">
        <v>497</v>
      </c>
      <c r="I1" s="49" t="s">
        <v>496</v>
      </c>
      <c r="J1" s="49" t="s">
        <v>513</v>
      </c>
      <c r="K1" s="49" t="s">
        <v>514</v>
      </c>
      <c r="L1" s="57" t="s">
        <v>516</v>
      </c>
      <c r="M1" s="49" t="s">
        <v>506</v>
      </c>
      <c r="O1" s="49" t="s">
        <v>499</v>
      </c>
      <c r="P1" s="49" t="s">
        <v>500</v>
      </c>
      <c r="Q1" s="49" t="s">
        <v>505</v>
      </c>
    </row>
    <row r="2" spans="1:17" x14ac:dyDescent="0.2">
      <c r="A2" s="41" t="s">
        <v>2</v>
      </c>
      <c r="B2" s="48">
        <f>COUNTIFS(company!$C:$C, sector!$A2,company!$Z:$Z,"NR", company!$AF:$AF,"NR")</f>
        <v>5</v>
      </c>
      <c r="C2" s="48">
        <f>M2-B2</f>
        <v>3</v>
      </c>
      <c r="D2" s="48">
        <f>COUNTIFS(company!$L:$L,"N",company!$C:$C,sector!$A2 )</f>
        <v>4</v>
      </c>
      <c r="E2" s="48">
        <f>COUNTIFS(company!$L:$L,"Y",company!$C:$C,sector!$A2 )</f>
        <v>4</v>
      </c>
      <c r="F2" s="48">
        <f>COUNTIFS(company!$M:$M,"N",company!$C:$C,sector!$A2 )</f>
        <v>6</v>
      </c>
      <c r="G2" s="48">
        <f>COUNTIFS(company!$M:$M,"Y",company!$C:$C,sector!$A2 )</f>
        <v>2</v>
      </c>
      <c r="H2" s="48">
        <f>COUNTIFS(company!$R:$R,"N",company!$C:$C,sector!$A2 )</f>
        <v>6</v>
      </c>
      <c r="I2" s="48">
        <f>COUNTIFS(company!$R:$R,"Y",company!$C:$C,sector!$A2 )</f>
        <v>2</v>
      </c>
      <c r="J2" s="48">
        <f>COUNTIFS(company!$C:$C,sector!$A2,company!$H:$H,"Y")</f>
        <v>0</v>
      </c>
      <c r="K2" s="48">
        <f>COUNTIFS(company!$C:$C,sector!$A2,company!$H:$H,"N")</f>
        <v>3</v>
      </c>
      <c r="L2" s="56">
        <f>J2/SUM(J2:K2)</f>
        <v>0</v>
      </c>
      <c r="M2">
        <f>H2+I2</f>
        <v>8</v>
      </c>
      <c r="O2" t="b">
        <f>(D2+E2) = (F2+G2)</f>
        <v>1</v>
      </c>
      <c r="P2" t="b">
        <f>(F2 + G2) = (H2 + I2)</f>
        <v>1</v>
      </c>
      <c r="Q2" t="b">
        <f>(B2+C2)=(D2+E2)</f>
        <v>1</v>
      </c>
    </row>
    <row r="3" spans="1:17" x14ac:dyDescent="0.2">
      <c r="A3" s="41" t="s">
        <v>3</v>
      </c>
      <c r="B3" s="48">
        <f>COUNTIFS(company!$C:$C, sector!$A3,company!$Z:$Z,"NR", company!$AF:$AF,"NR")</f>
        <v>1</v>
      </c>
      <c r="C3" s="48">
        <f t="shared" ref="C3:C12" si="0">M3-B3</f>
        <v>8</v>
      </c>
      <c r="D3" s="48">
        <f>COUNTIFS(company!$L:$L,"N",company!$C:$C,sector!$A3 )</f>
        <v>4</v>
      </c>
      <c r="E3" s="48">
        <f>COUNTIFS(company!$L:$L,"Y",company!$C:$C,sector!$A3 )</f>
        <v>5</v>
      </c>
      <c r="F3" s="48">
        <f>COUNTIFS(company!$M:$M,"N",company!$C:$C,sector!$A3 )</f>
        <v>5</v>
      </c>
      <c r="G3" s="48">
        <f>COUNTIFS(company!$M:$M,"Y",company!$C:$C,sector!$A3 )</f>
        <v>4</v>
      </c>
      <c r="H3" s="48">
        <f>COUNTIFS(company!$R:$R,"N",company!$C:$C,sector!$A3 )</f>
        <v>4</v>
      </c>
      <c r="I3" s="48">
        <f>COUNTIFS(company!$R:$R,"Y",company!$C:$C,sector!$A3 )</f>
        <v>5</v>
      </c>
      <c r="J3" s="48">
        <f>COUNTIFS(company!$C:$C,sector!$A3,company!$H:$H,"Y")</f>
        <v>6</v>
      </c>
      <c r="K3" s="48">
        <f>COUNTIFS(company!$C:$C,sector!$A3,company!$H:$H,"N")</f>
        <v>2</v>
      </c>
      <c r="L3" s="56">
        <f t="shared" ref="L3:L13" si="1">J3/SUM(J3:K3)</f>
        <v>0.75</v>
      </c>
      <c r="M3">
        <f t="shared" ref="M3:M12" si="2">H3+I3</f>
        <v>9</v>
      </c>
      <c r="O3" t="b">
        <f t="shared" ref="O3:O12" si="3">(D3+E3) = (F3+G3)</f>
        <v>1</v>
      </c>
      <c r="P3" t="b">
        <f t="shared" ref="P3:P12" si="4">(F3 + G3) = (H3 + I3)</f>
        <v>1</v>
      </c>
      <c r="Q3" t="b">
        <f t="shared" ref="Q3:Q12" si="5">(B3+C3)=(D3+E3)</f>
        <v>1</v>
      </c>
    </row>
    <row r="4" spans="1:17" x14ac:dyDescent="0.2">
      <c r="A4" s="41" t="s">
        <v>4</v>
      </c>
      <c r="B4" s="48">
        <f>COUNTIFS(company!$C:$C, sector!$A4,company!$Z:$Z,"NR", company!$AF:$AF,"NR")</f>
        <v>2</v>
      </c>
      <c r="C4" s="48">
        <f t="shared" si="0"/>
        <v>9</v>
      </c>
      <c r="D4" s="48">
        <f>COUNTIFS(company!$L:$L,"N",company!$C:$C,sector!$A4 )</f>
        <v>9</v>
      </c>
      <c r="E4" s="48">
        <f>COUNTIFS(company!$L:$L,"Y",company!$C:$C,sector!$A4 )</f>
        <v>2</v>
      </c>
      <c r="F4" s="48">
        <f>COUNTIFS(company!$M:$M,"N",company!$C:$C,sector!$A4 )</f>
        <v>2</v>
      </c>
      <c r="G4" s="48">
        <f>COUNTIFS(company!$M:$M,"Y",company!$C:$C,sector!$A4 )</f>
        <v>9</v>
      </c>
      <c r="H4" s="48">
        <f>COUNTIFS(company!$R:$R,"N",company!$C:$C,sector!$A4 )</f>
        <v>8</v>
      </c>
      <c r="I4" s="48">
        <f>COUNTIFS(company!$R:$R,"Y",company!$C:$C,sector!$A4 )</f>
        <v>3</v>
      </c>
      <c r="J4" s="48">
        <f>COUNTIFS(company!$C:$C,sector!$A4,company!$H:$H,"Y")</f>
        <v>7</v>
      </c>
      <c r="K4" s="48">
        <f>COUNTIFS(company!$C:$C,sector!$A4,company!$H:$H,"N")</f>
        <v>1</v>
      </c>
      <c r="L4" s="56">
        <f t="shared" si="1"/>
        <v>0.875</v>
      </c>
      <c r="M4">
        <f t="shared" si="2"/>
        <v>11</v>
      </c>
      <c r="O4" t="b">
        <f t="shared" si="3"/>
        <v>1</v>
      </c>
      <c r="P4" t="b">
        <f t="shared" si="4"/>
        <v>1</v>
      </c>
      <c r="Q4" t="b">
        <f t="shared" si="5"/>
        <v>1</v>
      </c>
    </row>
    <row r="5" spans="1:17" x14ac:dyDescent="0.2">
      <c r="A5" s="41" t="s">
        <v>5</v>
      </c>
      <c r="B5" s="48">
        <f>COUNTIFS(company!$C:$C, sector!$A5,company!$Z:$Z,"NR", company!$AF:$AF,"NR")</f>
        <v>2</v>
      </c>
      <c r="C5" s="48">
        <f t="shared" si="0"/>
        <v>4</v>
      </c>
      <c r="D5" s="48">
        <f>COUNTIFS(company!$L:$L,"N",company!$C:$C,sector!$A5 )</f>
        <v>5</v>
      </c>
      <c r="E5" s="48">
        <f>COUNTIFS(company!$L:$L,"Y",company!$C:$C,sector!$A5 )</f>
        <v>1</v>
      </c>
      <c r="F5" s="48">
        <f>COUNTIFS(company!$M:$M,"N",company!$C:$C,sector!$A5 )</f>
        <v>5</v>
      </c>
      <c r="G5" s="48">
        <f>COUNTIFS(company!$M:$M,"Y",company!$C:$C,sector!$A5 )</f>
        <v>1</v>
      </c>
      <c r="H5" s="48">
        <f>COUNTIFS(company!$R:$R,"N",company!$C:$C,sector!$A5 )</f>
        <v>6</v>
      </c>
      <c r="I5" s="48">
        <f>COUNTIFS(company!$R:$R,"Y",company!$C:$C,sector!$A5 )</f>
        <v>0</v>
      </c>
      <c r="J5" s="48">
        <f>COUNTIFS(company!$C:$C,sector!$A5,company!$H:$H,"Y")</f>
        <v>3</v>
      </c>
      <c r="K5" s="48">
        <f>COUNTIFS(company!$C:$C,sector!$A5,company!$H:$H,"N")</f>
        <v>0</v>
      </c>
      <c r="L5" s="56">
        <f t="shared" si="1"/>
        <v>1</v>
      </c>
      <c r="M5">
        <f t="shared" si="2"/>
        <v>6</v>
      </c>
      <c r="O5" t="b">
        <f t="shared" si="3"/>
        <v>1</v>
      </c>
      <c r="P5" t="b">
        <f t="shared" si="4"/>
        <v>1</v>
      </c>
      <c r="Q5" t="b">
        <f t="shared" si="5"/>
        <v>1</v>
      </c>
    </row>
    <row r="6" spans="1:17" x14ac:dyDescent="0.2">
      <c r="A6" s="41" t="s">
        <v>6</v>
      </c>
      <c r="B6" s="48">
        <f>COUNTIFS(company!$C:$C, sector!$A6,company!$Z:$Z,"NR", company!$AF:$AF,"NR")</f>
        <v>2</v>
      </c>
      <c r="C6" s="48">
        <f t="shared" si="0"/>
        <v>16</v>
      </c>
      <c r="D6" s="48">
        <f>COUNTIFS(company!$L:$L,"N",company!$C:$C,sector!$A6 )</f>
        <v>11</v>
      </c>
      <c r="E6" s="48">
        <f>COUNTIFS(company!$L:$L,"Y",company!$C:$C,sector!$A6 )</f>
        <v>7</v>
      </c>
      <c r="F6" s="48">
        <f>COUNTIFS(company!$M:$M,"N",company!$C:$C,sector!$A6 )</f>
        <v>16</v>
      </c>
      <c r="G6" s="48">
        <f>COUNTIFS(company!$M:$M,"Y",company!$C:$C,sector!$A6 )</f>
        <v>2</v>
      </c>
      <c r="H6" s="48">
        <f>COUNTIFS(company!$R:$R,"N",company!$C:$C,sector!$A6 )</f>
        <v>7</v>
      </c>
      <c r="I6" s="48">
        <f>COUNTIFS(company!$R:$R,"Y",company!$C:$C,sector!$A6 )</f>
        <v>11</v>
      </c>
      <c r="J6" s="48">
        <f>COUNTIFS(company!$C:$C,sector!$A6,company!$H:$H,"Y")</f>
        <v>0</v>
      </c>
      <c r="K6" s="48">
        <f>COUNTIFS(company!$C:$C,sector!$A6,company!$H:$H,"N")</f>
        <v>16</v>
      </c>
      <c r="L6" s="56">
        <f t="shared" si="1"/>
        <v>0</v>
      </c>
      <c r="M6">
        <f t="shared" si="2"/>
        <v>18</v>
      </c>
      <c r="O6" t="b">
        <f t="shared" si="3"/>
        <v>1</v>
      </c>
      <c r="P6" t="b">
        <f t="shared" si="4"/>
        <v>1</v>
      </c>
      <c r="Q6" t="b">
        <f t="shared" si="5"/>
        <v>1</v>
      </c>
    </row>
    <row r="7" spans="1:17" x14ac:dyDescent="0.2">
      <c r="A7" s="41" t="s">
        <v>7</v>
      </c>
      <c r="B7" s="48">
        <f>COUNTIFS(company!$C:$C, sector!$A7,company!$Z:$Z,"NR", company!$AF:$AF,"NR")</f>
        <v>3</v>
      </c>
      <c r="C7" s="48">
        <f t="shared" si="0"/>
        <v>13</v>
      </c>
      <c r="D7" s="48">
        <f>COUNTIFS(company!$L:$L,"N",company!$C:$C,sector!$A7 )</f>
        <v>15</v>
      </c>
      <c r="E7" s="48">
        <f>COUNTIFS(company!$L:$L,"Y",company!$C:$C,sector!$A7 )</f>
        <v>1</v>
      </c>
      <c r="F7" s="48">
        <f>COUNTIFS(company!$M:$M,"N",company!$C:$C,sector!$A7 )</f>
        <v>13</v>
      </c>
      <c r="G7" s="48">
        <f>COUNTIFS(company!$M:$M,"Y",company!$C:$C,sector!$A7 )</f>
        <v>3</v>
      </c>
      <c r="H7" s="48">
        <f>COUNTIFS(company!$R:$R,"N",company!$C:$C,sector!$A7 )</f>
        <v>13</v>
      </c>
      <c r="I7" s="48">
        <f>COUNTIFS(company!$R:$R,"Y",company!$C:$C,sector!$A7 )</f>
        <v>3</v>
      </c>
      <c r="J7" s="48">
        <f>COUNTIFS(company!$C:$C,sector!$A7,company!$H:$H,"Y")</f>
        <v>0</v>
      </c>
      <c r="K7" s="48">
        <f>COUNTIFS(company!$C:$C,sector!$A7,company!$H:$H,"N")</f>
        <v>13</v>
      </c>
      <c r="L7" s="56">
        <f t="shared" si="1"/>
        <v>0</v>
      </c>
      <c r="M7">
        <f t="shared" si="2"/>
        <v>16</v>
      </c>
      <c r="O7" t="b">
        <f t="shared" si="3"/>
        <v>1</v>
      </c>
      <c r="P7" t="b">
        <f t="shared" si="4"/>
        <v>1</v>
      </c>
      <c r="Q7" t="b">
        <f t="shared" si="5"/>
        <v>1</v>
      </c>
    </row>
    <row r="8" spans="1:17" x14ac:dyDescent="0.2">
      <c r="A8" s="41" t="s">
        <v>8</v>
      </c>
      <c r="B8" s="48">
        <f>COUNTIFS(company!$C:$C, sector!$A8,company!$Z:$Z,"NR", company!$AF:$AF,"NR")</f>
        <v>3</v>
      </c>
      <c r="C8" s="48">
        <f t="shared" si="0"/>
        <v>9</v>
      </c>
      <c r="D8" s="48">
        <f>COUNTIFS(company!$L:$L,"N",company!$C:$C,sector!$A8 )</f>
        <v>12</v>
      </c>
      <c r="E8" s="48">
        <f>COUNTIFS(company!$L:$L,"Y",company!$C:$C,sector!$A8 )</f>
        <v>0</v>
      </c>
      <c r="F8" s="48">
        <f>COUNTIFS(company!$M:$M,"N",company!$C:$C,sector!$A8 )</f>
        <v>11</v>
      </c>
      <c r="G8" s="48">
        <f>COUNTIFS(company!$M:$M,"Y",company!$C:$C,sector!$A8 )</f>
        <v>1</v>
      </c>
      <c r="H8" s="48">
        <f>COUNTIFS(company!$R:$R,"N",company!$C:$C,sector!$A8 )</f>
        <v>11</v>
      </c>
      <c r="I8" s="48">
        <f>COUNTIFS(company!$R:$R,"Y",company!$C:$C,sector!$A8 )</f>
        <v>1</v>
      </c>
      <c r="J8" s="48">
        <f>COUNTIFS(company!$C:$C,sector!$A8,company!$H:$H,"Y")</f>
        <v>3</v>
      </c>
      <c r="K8" s="48">
        <f>COUNTIFS(company!$C:$C,sector!$A8,company!$H:$H,"N")</f>
        <v>6</v>
      </c>
      <c r="L8" s="56">
        <f t="shared" si="1"/>
        <v>0.33333333333333331</v>
      </c>
      <c r="M8">
        <f t="shared" si="2"/>
        <v>12</v>
      </c>
      <c r="O8" t="b">
        <f t="shared" si="3"/>
        <v>1</v>
      </c>
      <c r="P8" t="b">
        <f t="shared" si="4"/>
        <v>1</v>
      </c>
      <c r="Q8" t="b">
        <f t="shared" si="5"/>
        <v>1</v>
      </c>
    </row>
    <row r="9" spans="1:17" x14ac:dyDescent="0.2">
      <c r="A9" s="41" t="s">
        <v>9</v>
      </c>
      <c r="B9" s="48">
        <f>COUNTIFS(company!$C:$C, sector!$A9,company!$Z:$Z,"NR", company!$AF:$AF,"NR")</f>
        <v>0</v>
      </c>
      <c r="C9" s="48">
        <f t="shared" si="0"/>
        <v>2</v>
      </c>
      <c r="D9" s="48">
        <f>COUNTIFS(company!$L:$L,"N",company!$C:$C,sector!$A9 )</f>
        <v>0</v>
      </c>
      <c r="E9" s="48">
        <f>COUNTIFS(company!$L:$L,"Y",company!$C:$C,sector!$A9 )</f>
        <v>2</v>
      </c>
      <c r="F9" s="48">
        <f>COUNTIFS(company!$M:$M,"N",company!$C:$C,sector!$A9 )</f>
        <v>2</v>
      </c>
      <c r="G9" s="48">
        <f>COUNTIFS(company!$M:$M,"Y",company!$C:$C,sector!$A9 )</f>
        <v>0</v>
      </c>
      <c r="H9" s="48">
        <f>COUNTIFS(company!$R:$R,"N",company!$C:$C,sector!$A9 )</f>
        <v>2</v>
      </c>
      <c r="I9" s="48">
        <f>COUNTIFS(company!$R:$R,"Y",company!$C:$C,sector!$A9 )</f>
        <v>0</v>
      </c>
      <c r="J9" s="48">
        <f>COUNTIFS(company!$C:$C,sector!$A9,company!$H:$H,"Y")</f>
        <v>2</v>
      </c>
      <c r="K9" s="48">
        <f>COUNTIFS(company!$C:$C,sector!$A9,company!$H:$H,"N")</f>
        <v>0</v>
      </c>
      <c r="L9" s="56">
        <f t="shared" si="1"/>
        <v>1</v>
      </c>
      <c r="M9">
        <f t="shared" si="2"/>
        <v>2</v>
      </c>
      <c r="O9" t="b">
        <f t="shared" si="3"/>
        <v>1</v>
      </c>
      <c r="P9" t="b">
        <f t="shared" si="4"/>
        <v>1</v>
      </c>
      <c r="Q9" t="b">
        <f t="shared" si="5"/>
        <v>1</v>
      </c>
    </row>
    <row r="10" spans="1:17" x14ac:dyDescent="0.2">
      <c r="A10" s="41" t="s">
        <v>10</v>
      </c>
      <c r="B10" s="48">
        <f>COUNTIFS(company!$C:$C, sector!$A10,company!$Z:$Z,"NR", company!$AF:$AF,"NR")</f>
        <v>1</v>
      </c>
      <c r="C10" s="48">
        <f t="shared" si="0"/>
        <v>1</v>
      </c>
      <c r="D10" s="48">
        <f>COUNTIFS(company!$L:$L,"N",company!$C:$C,sector!$A10 )</f>
        <v>2</v>
      </c>
      <c r="E10" s="48">
        <f>COUNTIFS(company!$L:$L,"Y",company!$C:$C,sector!$A10 )</f>
        <v>0</v>
      </c>
      <c r="F10" s="48">
        <f>COUNTIFS(company!$M:$M,"N",company!$C:$C,sector!$A10 )</f>
        <v>2</v>
      </c>
      <c r="G10" s="48">
        <f>COUNTIFS(company!$M:$M,"Y",company!$C:$C,sector!$A10 )</f>
        <v>0</v>
      </c>
      <c r="H10" s="48">
        <f>COUNTIFS(company!$R:$R,"N",company!$C:$C,sector!$A10 )</f>
        <v>2</v>
      </c>
      <c r="I10" s="48">
        <f>COUNTIFS(company!$R:$R,"Y",company!$C:$C,sector!$A10 )</f>
        <v>0</v>
      </c>
      <c r="J10" s="48">
        <f>COUNTIFS(company!$C:$C,sector!$A10,company!$H:$H,"Y")</f>
        <v>0</v>
      </c>
      <c r="K10" s="48">
        <f>COUNTIFS(company!$C:$C,sector!$A10,company!$H:$H,"N")</f>
        <v>1</v>
      </c>
      <c r="L10" s="56">
        <f t="shared" si="1"/>
        <v>0</v>
      </c>
      <c r="M10">
        <f t="shared" si="2"/>
        <v>2</v>
      </c>
      <c r="O10" t="b">
        <f t="shared" si="3"/>
        <v>1</v>
      </c>
      <c r="P10" t="b">
        <f t="shared" si="4"/>
        <v>1</v>
      </c>
      <c r="Q10" t="b">
        <f t="shared" si="5"/>
        <v>1</v>
      </c>
    </row>
    <row r="11" spans="1:17" x14ac:dyDescent="0.2">
      <c r="A11" s="41" t="s">
        <v>11</v>
      </c>
      <c r="B11" s="48">
        <f>COUNTIFS(company!$C:$C, sector!$A11,company!$Z:$Z,"NR", company!$AF:$AF,"NR")</f>
        <v>1</v>
      </c>
      <c r="C11" s="48">
        <f t="shared" si="0"/>
        <v>11</v>
      </c>
      <c r="D11" s="48">
        <f>COUNTIFS(company!$L:$L,"N",company!$C:$C,sector!$A11 )</f>
        <v>9</v>
      </c>
      <c r="E11" s="48">
        <f>COUNTIFS(company!$L:$L,"Y",company!$C:$C,sector!$A11 )</f>
        <v>3</v>
      </c>
      <c r="F11" s="48">
        <f>COUNTIFS(company!$M:$M,"N",company!$C:$C,sector!$A11 )</f>
        <v>7</v>
      </c>
      <c r="G11" s="48">
        <f>COUNTIFS(company!$M:$M,"Y",company!$C:$C,sector!$A11 )</f>
        <v>5</v>
      </c>
      <c r="H11" s="48">
        <f>COUNTIFS(company!$R:$R,"N",company!$C:$C,sector!$A11 )</f>
        <v>7</v>
      </c>
      <c r="I11" s="48">
        <f>COUNTIFS(company!$R:$R,"Y",company!$C:$C,sector!$A11 )</f>
        <v>5</v>
      </c>
      <c r="J11" s="48">
        <f>COUNTIFS(company!$C:$C,sector!$A11,company!$H:$H,"Y")</f>
        <v>0</v>
      </c>
      <c r="K11" s="48">
        <f>COUNTIFS(company!$C:$C,sector!$A11,company!$H:$H,"N")</f>
        <v>11</v>
      </c>
      <c r="L11" s="56">
        <f t="shared" si="1"/>
        <v>0</v>
      </c>
      <c r="M11">
        <f t="shared" si="2"/>
        <v>12</v>
      </c>
      <c r="O11" t="b">
        <f t="shared" si="3"/>
        <v>1</v>
      </c>
      <c r="P11" t="b">
        <f t="shared" si="4"/>
        <v>1</v>
      </c>
      <c r="Q11" t="b">
        <f t="shared" si="5"/>
        <v>1</v>
      </c>
    </row>
    <row r="12" spans="1:17" x14ac:dyDescent="0.2">
      <c r="A12" s="41" t="s">
        <v>12</v>
      </c>
      <c r="B12" s="48">
        <f>COUNTIFS(company!$C:$C, sector!$A12,company!$Z:$Z,"NR", company!$AF:$AF,"NR")</f>
        <v>1</v>
      </c>
      <c r="C12" s="48">
        <f t="shared" si="0"/>
        <v>3</v>
      </c>
      <c r="D12" s="48">
        <f>COUNTIFS(company!$L:$L,"N",company!$C:$C,sector!$A12 )</f>
        <v>3</v>
      </c>
      <c r="E12" s="48">
        <f>COUNTIFS(company!$L:$L,"Y",company!$C:$C,sector!$A12 )</f>
        <v>1</v>
      </c>
      <c r="F12" s="48">
        <f>COUNTIFS(company!$M:$M,"N",company!$C:$C,sector!$A12 )</f>
        <v>4</v>
      </c>
      <c r="G12" s="48">
        <f>COUNTIFS(company!$M:$M,"Y",company!$C:$C,sector!$A12 )</f>
        <v>0</v>
      </c>
      <c r="H12" s="48">
        <f>COUNTIFS(company!$R:$R,"N",company!$C:$C,sector!$A12 )</f>
        <v>4</v>
      </c>
      <c r="I12" s="48">
        <f>COUNTIFS(company!$R:$R,"Y",company!$C:$C,sector!$A12 )</f>
        <v>0</v>
      </c>
      <c r="J12" s="48">
        <f>COUNTIFS(company!$C:$C,sector!$A12,company!$H:$H,"Y")</f>
        <v>3</v>
      </c>
      <c r="K12" s="48">
        <f>COUNTIFS(company!$C:$C,sector!$A12,company!$H:$H,"N")</f>
        <v>0</v>
      </c>
      <c r="L12" s="56">
        <f t="shared" si="1"/>
        <v>1</v>
      </c>
      <c r="M12">
        <f t="shared" si="2"/>
        <v>4</v>
      </c>
      <c r="O12" t="b">
        <f t="shared" si="3"/>
        <v>1</v>
      </c>
      <c r="P12" t="b">
        <f t="shared" si="4"/>
        <v>1</v>
      </c>
      <c r="Q12" t="b">
        <f t="shared" si="5"/>
        <v>1</v>
      </c>
    </row>
    <row r="13" spans="1:17" x14ac:dyDescent="0.2">
      <c r="A13" s="46" t="s">
        <v>493</v>
      </c>
      <c r="B13" s="47">
        <f t="shared" ref="B13:C13" si="6">SUM(B2:B12)</f>
        <v>21</v>
      </c>
      <c r="C13" s="47">
        <f t="shared" si="6"/>
        <v>79</v>
      </c>
      <c r="D13" s="47">
        <f t="shared" ref="D13:M13" si="7">SUM(D2:D12)</f>
        <v>74</v>
      </c>
      <c r="E13" s="47">
        <f t="shared" si="7"/>
        <v>26</v>
      </c>
      <c r="F13" s="47">
        <f t="shared" si="7"/>
        <v>73</v>
      </c>
      <c r="G13" s="47">
        <f t="shared" si="7"/>
        <v>27</v>
      </c>
      <c r="H13" s="47">
        <f t="shared" si="7"/>
        <v>70</v>
      </c>
      <c r="I13" s="47">
        <f t="shared" si="7"/>
        <v>30</v>
      </c>
      <c r="J13" s="47">
        <f t="shared" si="7"/>
        <v>24</v>
      </c>
      <c r="K13" s="47">
        <f t="shared" si="7"/>
        <v>53</v>
      </c>
      <c r="L13" s="58">
        <f t="shared" si="1"/>
        <v>0.31168831168831168</v>
      </c>
      <c r="M13" s="47">
        <f t="shared" si="7"/>
        <v>100</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2A46-41A9-4CEF-8F9D-72C16BEA2FA9}">
  <dimension ref="A2:B3"/>
  <sheetViews>
    <sheetView workbookViewId="0">
      <selection activeCell="B3" sqref="B3"/>
    </sheetView>
  </sheetViews>
  <sheetFormatPr defaultRowHeight="12.75" x14ac:dyDescent="0.2"/>
  <cols>
    <col min="1" max="1" width="34.28515625" bestFit="1" customWidth="1"/>
  </cols>
  <sheetData>
    <row r="2" spans="1:2" x14ac:dyDescent="0.2">
      <c r="A2" t="s">
        <v>511</v>
      </c>
      <c r="B2">
        <v>85</v>
      </c>
    </row>
    <row r="3" spans="1:2" x14ac:dyDescent="0.2">
      <c r="A3" t="s">
        <v>512</v>
      </c>
      <c r="B3" s="28">
        <v>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8 0 0 . 1 3 3 8 ] ] > < / 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 N a m e < / K e y > < / D i a g r a m O b j e c t K e y > < D i a g r a m O b j e c t K e y > < K e y > C o l u m n s \ S e c t o r < / K e y > < / D i a g r a m O b j e c t K e y > < D i a g r a m O b j e c t K e y > < K e y > C o l u m n s \ I n d u s t r y < / K e y > < / D i a g r a m O b j e c t K e y > < D i a g r a m O b j e c t K e y > < K e y > C o l u m n s \ S i z e   ( 2 0 1 9   R e v e n u e ) < / K e y > < / D i a g r a m O b j e c t K e y > < D i a g r a m O b j e c t K e y > < K e y > C o l u m n s \ N e t   E a r n i n g s / I n c o m e   ( 2 0 1 9 ) < / K e y > < / D i a g r a m O b j e c t K e y > < D i a g r a m O b j e c t K e y > < K e y > C o l u m n s \ I P O   Y e a r < / K e y > < / D i a g r a m O b j e c t K e y > < D i a g r a m O b j e c t K e y > < K e y > C o l u m n s \ S & a m p ; P   1 0 0 ?   ( Y / N ) < / K e y > < / D i a g r a m O b j e c t K e y > < D i a g r a m O b j e c t K e y > < K e y > C o l u m n s \ C a r b o n   N e u t r a l   G o a l ?   ( Y / N ) < / K e y > < / D i a g r a m O b j e c t K e y > < D i a g r a m O b j e c t K e y > < K e y > C o l u m n s \ S c i e n c e - B a s e d   T a r g e t ?   ( Y / N ) < / K e y > < / D i a g r a m O b j e c t K e y > < D i a g r a m O b j e c t K e y > < K e y > C o l u m n s \ C a r b o n   N e u t r a l   b y . . . .   ( y e a r ) < / K e y > < / D i a g r a m O b j e c t K e y > < D i a g r a m O b j e c t K e y > < K e y > C o l u m n s \ C a r b o n   N e u t r a l   A n n o u n c e m e n t   ( y e a r ) < / K e y > < / D i a g r a m O b j e c t K e y > < D i a g r a m O b j e c t K e y > < K e y > C o l u m n s \ C a r b o n   G o a l   ( i f   n o n - z e r o ) < / K e y > < / D i a g r a m O b j e c t K e y > < D i a g r a m O b j e c t K e y > < K e y > C o l u m n s \ R e l i a n c e   o n   O f f s e t s ?   ( Y / N ) < / K e y > < / D i a g r a m O b j e c t K e y > < D i a g r a m O b j e c t K e y > < K e y > C o l u m n s \ R E 1 0 0   C o m m i t m e n t ?   ( Y / N ) < / K e y > < / D i a g r a m O b j e c t K e y > < D i a g r a m O b j e c t K e y > < K e y > C o l u m n s \ 1 0 0 %   R e n e w a b l e   E n e r g y   b y . . .   ( y e a r ) < / K e y > < / D i a g r a m O b j e c t K e y > < D i a g r a m O b j e c t K e y > < K e y > C o l u m n s \ 2 0 1 9   S c o p e   1   ( M e T   C o 2 ) < / K e y > < / D i a g r a m O b j e c t K e y > < D i a g r a m O b j e c t K e y > < K e y > C o l u m n s \ 2 0 1 9   S c o p e   2 < / K e y > < / D i a g r a m O b j e c t K e y > < D i a g r a m O b j e c t K e y > < K e y > C o l u m n s \ 2 0 1 9   O f f s e t s   P u r c h a s e d < / K e y > < / D i a g r a m O b j e c t K e y > < D i a g r a m O b j e c t K e y > < K e y > C o l u m n s \ 2 0 1 9   N e t   S c o p e   1   +   2   E m i s s i o n s < / K e y > < / D i a g r a m O b j e c t K e y > < D i a g r a m O b j e c t K e y > < K e y > C o l u m n s \ 2 0 1 9   S c o p e   3 < / K e y > < / D i a g r a m O b j e c t K e y > < D i a g r a m O b j e c t K e y > < K e y > C o l u m n s \ 2 0 1 8   S c o p e   1 < / K e y > < / D i a g r a m O b j e c t K e y > < D i a g r a m O b j e c t K e y > < K e y > C o l u m n s \ 2 0 1 8   S c o p e   2 < / K e y > < / D i a g r a m O b j e c t K e y > < D i a g r a m O b j e c t K e y > < K e y > C o l u m n s \ 2 0 1 8   O f f s e t s   P u r c h a s e d < / K e y > < / D i a g r a m O b j e c t K e y > < D i a g r a m O b j e c t K e y > < K e y > C o l u m n s \ 2 0 1 8   N e t   S c o p e   1   +   2   E m i s s i o n s < / K e y > < / D i a g r a m O b j e c t K e y > < D i a g r a m O b j e c t K e y > < K e y > C o l u m n s \ 2 0 1 8   S c o p e   3 < / K e y > < / D i a g r a m O b j e c t K e y > < D i a g r a m O b j e c t K e y > < K e y > C o l u m n s \ 2 0 1 7   S c o p e   1 < / K e y > < / D i a g r a m O b j e c t K e y > < D i a g r a m O b j e c t K e y > < K e y > C o l u m n s \ 2 0 1 7   S c o p e   2 < / K e y > < / D i a g r a m O b j e c t K e y > < D i a g r a m O b j e c t K e y > < K e y > C o l u m n s \ 2 0 1 7   O f f s e t s   P u r c h a s e d < / K e y > < / D i a g r a m O b j e c t K e y > < D i a g r a m O b j e c t K e y > < K e y > C o l u m n s \ 2 0 1 7   N e t   S c o p e   1   +   2   E m i s s i o n s < / K e y > < / D i a g r a m O b j e c t K e y > < D i a g r a m O b j e c t K e y > < K e y > C o l u m n s \ 2 0 1 7   S c o p e   3 < / K e y > < / D i a g r a m O b j e c t K e y > < D i a g r a m O b j e c t K e y > < K e y > C o l u m n s \ 2 0 1 6   S c o p e   1 < / K e y > < / D i a g r a m O b j e c t K e y > < D i a g r a m O b j e c t K e y > < K e y > C o l u m n s \ 2 0 1 6   S c o p e   2 < / K e y > < / D i a g r a m O b j e c t K e y > < D i a g r a m O b j e c t K e y > < K e y > C o l u m n s \ 2 0 1 6   O f f s e t s   P u r c h a s e d < / K e y > < / D i a g r a m O b j e c t K e y > < D i a g r a m O b j e c t K e y > < K e y > C o l u m n s \ 2 0 1 6   N e t   S c o p e   1   +   2   E m i s s i o n s < / K e y > < / D i a g r a m O b j e c t K e y > < D i a g r a m O b j e c t K e y > < K e y > C o l u m n s \ 2 0 1 6   S c o p e   3 < / K e y > < / D i a g r a m O b j e c t K e y > < D i a g r a m O b j e c t K e y > < K e y > C o l u m n s \ 2 0 1 5   S c o p e   1 < / K e y > < / D i a g r a m O b j e c t K e y > < D i a g r a m O b j e c t K e y > < K e y > C o l u m n s \ 2 0 1 5   S c o p e   2 < / K e y > < / D i a g r a m O b j e c t K e y > < D i a g r a m O b j e c t K e y > < K e y > C o l u m n s \ 2 0 1 5   O f f s e t s   P u r c h a s e d < / K e y > < / D i a g r a m O b j e c t K e y > < D i a g r a m O b j e c t K e y > < K e y > C o l u m n s \ 2 0 1 5   N e t   S c o p e   1   +   2   E m i s s i o n s < / K e y > < / D i a g r a m O b j e c t K e y > < D i a g r a m O b j e c t K e y > < K e y > C o l u m n s \ 2 0 1 5   S c o p e   3 < / K e y > < / D i a g r a m O b j e c t K e y > < D i a g r a m O b j e c t K e y > < K e y > C o l u m n s \ P o l i c y   A r m ? < / K e y > < / D i a g r a m O b j e c t K e y > < D i a g r a m O b j e c t K e y > < K e y > C o l u m n s \ I n i t i a t i v e s   f o r   C a r b o n   N e u t r a l i t y < / K e y > < / D i a g r a m O b j e c t K e y > < D i a g r a m O b j e c t K e y > < K e y > C o l u m n s \ N o t e s < / K e y > < / D i a g r a m O b j e c t K e y > < D i a g r a m O b j e c t K e y > < K e y > C o l u m n s \ S o u r c e s < / K e y > < / D i a g r a m O b j e c t K e y > < D i a g r a m O b j e c t K e y > < K e y > C o l u m n s \ 2 0 0 7 < / K e y > < / D i a g r a m O b j e c t K e y > < D i a g r a m O b j e c t K e y > < K e y > C o l u m n s \ 2 0 1 5 < / K e y > < / D i a g r a m O b j e c t K e y > < D i a g r a m O b j e c t K e y > < K e y > C o l u m n s \ 2 0 1 6 < / K e y > < / D i a g r a m O b j e c t K e y > < D i a g r a m O b j e c t K e y > < K e y > C o l u m n s \ 2 0 1 7 < / K e y > < / D i a g r a m O b j e c t K e y > < D i a g r a m O b j e c t K e y > < K e y > C o l u m n s \ 2 0 1 8 < / K e y > < / D i a g r a m O b j e c t K e y > < D i a g r a m O b j e c t K e y > < K e y > C o l u m n s \ 2 0 1 9 < / K e y > < / D i a g r a m O b j e c t K e y > < D i a g r a m O b j e c t K e y > < K e y > C o l u m n s \ 2 0 2 0 < / K e y > < / D i a g r a m O b j e c t K e y > < D i a g r a m O b j e c t K e y > < K e y > C o l u m n s \ 2 0 2 2 < / K e y > < / D i a g r a m O b j e c t K e y > < D i a g r a m O b j e c t K e y > < K e y > C o l u m n s \ 2 0 2 3 < / K e y > < / D i a g r a m O b j e c t K e y > < D i a g r a m O b j e c t K e y > < K e y > C o l u m n s \ 2 0 2 5 < / K e y > < / D i a g r a m O b j e c t K e y > < D i a g r a m O b j e c t K e y > < K e y > C o l u m n s \ 2 0 2 9 < / K e y > < / D i a g r a m O b j e c t K e y > < D i a g r a m O b j e c t K e y > < K e y > C o l u m n s \ 2 0 3 0 < / K e y > < / D i a g r a m O b j e c t K e y > < D i a g r a m O b j e c t K e y > < K e y > C o l u m n s \ 2 0 3 5 < / K e y > < / D i a g r a m O b j e c t K e y > < D i a g r a m O b j e c t K e y > < K e y > C o l u m n s \ 2 0 4 0 < / K e y > < / D i a g r a m O b j e c t K e y > < D i a g r a m O b j e c t K e y > < K e y > C o l u m n s \ 2 0 4 4 < / K e y > < / D i a g r a m O b j e c t K e y > < D i a g r a m O b j e c t K e y > < K e y > C o l u m n s \ 2 0 5 0 < / K e y > < / D i a g r a m O b j e c t K e y > < D i a g r a m O b j e c t K e y > < K e y > M e a s u r e s \ C o u n t   o f   C a r b o n   N e u t r a l   G o a l ?   ( Y / N ) < / K e y > < / D i a g r a m O b j e c t K e y > < D i a g r a m O b j e c t K e y > < K e y > M e a s u r e s \ C o u n t   o f   C a r b o n   N e u t r a l   G o a l ?   ( Y / N ) \ T a g I n f o \ F o r m u l a < / K e y > < / D i a g r a m O b j e c t K e y > < D i a g r a m O b j e c t K e y > < K e y > M e a s u r e s \ C o u n t   o f   C a r b o n   N e u t r a l   G o a l ?   ( Y / N ) \ T a g I n f o \ V a l u e < / K e y > < / D i a g r a m O b j e c t K e y > < D i a g r a m O b j e c t K e y > < K e y > L i n k s \ & l t ; C o l u m n s \ C o u n t   o f   C a r b o n   N e u t r a l   G o a l ?   ( Y / N ) & g t ; - & l t ; M e a s u r e s \ C a r b o n   N e u t r a l   G o a l ?   ( Y / N ) & g t ; < / K e y > < / D i a g r a m O b j e c t K e y > < D i a g r a m O b j e c t K e y > < K e y > L i n k s \ & l t ; C o l u m n s \ C o u n t   o f   C a r b o n   N e u t r a l   G o a l ?   ( Y / N ) & g t ; - & l t ; M e a s u r e s \ C a r b o n   N e u t r a l   G o a l ?   ( Y / N ) & g t ; \ C O L U M N < / K e y > < / D i a g r a m O b j e c t K e y > < D i a g r a m O b j e c t K e y > < K e y > L i n k s \ & l t ; C o l u m n s \ C o u n t   o f   C a r b o n   N e u t r a l   G o a l ?   ( Y / N ) & g t ; - & l t ; M e a s u r e s \ C a r b o n   N e u t r a l   G o a l ?   ( Y / N ) & g t ; \ M E A S U R E 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 N a m e < / 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 C o l u m n s \ S i z e   ( 2 0 1 9   R e v e n u e ) < / K e y > < / a : K e y > < a : V a l u e   i : t y p e = " M e a s u r e G r i d N o d e V i e w S t a t e " > < C o l u m n > 3 < / C o l u m n > < L a y e d O u t > t r u e < / L a y e d O u t > < / a : V a l u e > < / a : K e y V a l u e O f D i a g r a m O b j e c t K e y a n y T y p e z b w N T n L X > < a : K e y V a l u e O f D i a g r a m O b j e c t K e y a n y T y p e z b w N T n L X > < a : K e y > < K e y > C o l u m n s \ N e t   E a r n i n g s / I n c o m e   ( 2 0 1 9 ) < / K e y > < / a : K e y > < a : V a l u e   i : t y p e = " M e a s u r e G r i d N o d e V i e w S t a t e " > < C o l u m n > 4 < / C o l u m n > < L a y e d O u t > t r u e < / L a y e d O u t > < / a : V a l u e > < / a : K e y V a l u e O f D i a g r a m O b j e c t K e y a n y T y p e z b w N T n L X > < a : K e y V a l u e O f D i a g r a m O b j e c t K e y a n y T y p e z b w N T n L X > < a : K e y > < K e y > C o l u m n s \ I P O   Y e a r < / K e y > < / a : K e y > < a : V a l u e   i : t y p e = " M e a s u r e G r i d N o d e V i e w S t a t e " > < C o l u m n > 5 < / C o l u m n > < L a y e d O u t > t r u e < / L a y e d O u t > < / a : V a l u e > < / a : K e y V a l u e O f D i a g r a m O b j e c t K e y a n y T y p e z b w N T n L X > < a : K e y V a l u e O f D i a g r a m O b j e c t K e y a n y T y p e z b w N T n L X > < a : K e y > < K e y > C o l u m n s \ S & a m p ; P   1 0 0 ?   ( Y / N ) < / K e y > < / a : K e y > < a : V a l u e   i : t y p e = " M e a s u r e G r i d N o d e V i e w S t a t e " > < C o l u m n > 6 < / C o l u m n > < L a y e d O u t > t r u e < / L a y e d O u t > < / a : V a l u e > < / a : K e y V a l u e O f D i a g r a m O b j e c t K e y a n y T y p e z b w N T n L X > < a : K e y V a l u e O f D i a g r a m O b j e c t K e y a n y T y p e z b w N T n L X > < a : K e y > < K e y > C o l u m n s \ C a r b o n   N e u t r a l   G o a l ?   ( Y / N ) < / K e y > < / a : K e y > < a : V a l u e   i : t y p e = " M e a s u r e G r i d N o d e V i e w S t a t e " > < C o l u m n > 7 < / C o l u m n > < L a y e d O u t > t r u e < / L a y e d O u t > < / a : V a l u e > < / a : K e y V a l u e O f D i a g r a m O b j e c t K e y a n y T y p e z b w N T n L X > < a : K e y V a l u e O f D i a g r a m O b j e c t K e y a n y T y p e z b w N T n L X > < a : K e y > < K e y > C o l u m n s \ S c i e n c e - B a s e d   T a r g e t ?   ( Y / N ) < / K e y > < / a : K e y > < a : V a l u e   i : t y p e = " M e a s u r e G r i d N o d e V i e w S t a t e " > < C o l u m n > 8 < / C o l u m n > < L a y e d O u t > t r u e < / L a y e d O u t > < / a : V a l u e > < / a : K e y V a l u e O f D i a g r a m O b j e c t K e y a n y T y p e z b w N T n L X > < a : K e y V a l u e O f D i a g r a m O b j e c t K e y a n y T y p e z b w N T n L X > < a : K e y > < K e y > C o l u m n s \ C a r b o n   N e u t r a l   b y . . . .   ( y e a r ) < / K e y > < / a : K e y > < a : V a l u e   i : t y p e = " M e a s u r e G r i d N o d e V i e w S t a t e " > < C o l u m n > 9 < / C o l u m n > < L a y e d O u t > t r u e < / L a y e d O u t > < / a : V a l u e > < / a : K e y V a l u e O f D i a g r a m O b j e c t K e y a n y T y p e z b w N T n L X > < a : K e y V a l u e O f D i a g r a m O b j e c t K e y a n y T y p e z b w N T n L X > < a : K e y > < K e y > C o l u m n s \ C a r b o n   N e u t r a l   A n n o u n c e m e n t   ( y e a r ) < / K e y > < / a : K e y > < a : V a l u e   i : t y p e = " M e a s u r e G r i d N o d e V i e w S t a t e " > < C o l u m n > 1 0 < / C o l u m n > < L a y e d O u t > t r u e < / L a y e d O u t > < / a : V a l u e > < / a : K e y V a l u e O f D i a g r a m O b j e c t K e y a n y T y p e z b w N T n L X > < a : K e y V a l u e O f D i a g r a m O b j e c t K e y a n y T y p e z b w N T n L X > < a : K e y > < K e y > C o l u m n s \ C a r b o n   G o a l   ( i f   n o n - z e r o ) < / K e y > < / a : K e y > < a : V a l u e   i : t y p e = " M e a s u r e G r i d N o d e V i e w S t a t e " > < C o l u m n > 1 1 < / C o l u m n > < L a y e d O u t > t r u e < / L a y e d O u t > < / a : V a l u e > < / a : K e y V a l u e O f D i a g r a m O b j e c t K e y a n y T y p e z b w N T n L X > < a : K e y V a l u e O f D i a g r a m O b j e c t K e y a n y T y p e z b w N T n L X > < a : K e y > < K e y > C o l u m n s \ R e l i a n c e   o n   O f f s e t s ?   ( Y / N ) < / K e y > < / a : K e y > < a : V a l u e   i : t y p e = " M e a s u r e G r i d N o d e V i e w S t a t e " > < C o l u m n > 1 2 < / C o l u m n > < L a y e d O u t > t r u e < / L a y e d O u t > < / a : V a l u e > < / a : K e y V a l u e O f D i a g r a m O b j e c t K e y a n y T y p e z b w N T n L X > < a : K e y V a l u e O f D i a g r a m O b j e c t K e y a n y T y p e z b w N T n L X > < a : K e y > < K e y > C o l u m n s \ R E 1 0 0   C o m m i t m e n t ?   ( Y / N ) < / K e y > < / a : K e y > < a : V a l u e   i : t y p e = " M e a s u r e G r i d N o d e V i e w S t a t e " > < C o l u m n > 1 3 < / C o l u m n > < L a y e d O u t > t r u e < / L a y e d O u t > < / a : V a l u e > < / a : K e y V a l u e O f D i a g r a m O b j e c t K e y a n y T y p e z b w N T n L X > < a : K e y V a l u e O f D i a g r a m O b j e c t K e y a n y T y p e z b w N T n L X > < a : K e y > < K e y > C o l u m n s \ 1 0 0 %   R e n e w a b l e   E n e r g y   b y . . .   ( y e a r ) < / K e y > < / a : K e y > < a : V a l u e   i : t y p e = " M e a s u r e G r i d N o d e V i e w S t a t e " > < C o l u m n > 1 4 < / C o l u m n > < L a y e d O u t > t r u e < / L a y e d O u t > < / a : V a l u e > < / a : K e y V a l u e O f D i a g r a m O b j e c t K e y a n y T y p e z b w N T n L X > < a : K e y V a l u e O f D i a g r a m O b j e c t K e y a n y T y p e z b w N T n L X > < a : K e y > < K e y > C o l u m n s \ 2 0 1 9   S c o p e   1   ( M e T   C o 2 ) < / K e y > < / a : K e y > < a : V a l u e   i : t y p e = " M e a s u r e G r i d N o d e V i e w S t a t e " > < C o l u m n > 1 5 < / C o l u m n > < L a y e d O u t > t r u e < / L a y e d O u t > < / a : V a l u e > < / a : K e y V a l u e O f D i a g r a m O b j e c t K e y a n y T y p e z b w N T n L X > < a : K e y V a l u e O f D i a g r a m O b j e c t K e y a n y T y p e z b w N T n L X > < a : K e y > < K e y > C o l u m n s \ 2 0 1 9   S c o p e   2 < / K e y > < / a : K e y > < a : V a l u e   i : t y p e = " M e a s u r e G r i d N o d e V i e w S t a t e " > < C o l u m n > 1 6 < / C o l u m n > < L a y e d O u t > t r u e < / L a y e d O u t > < / a : V a l u e > < / a : K e y V a l u e O f D i a g r a m O b j e c t K e y a n y T y p e z b w N T n L X > < a : K e y V a l u e O f D i a g r a m O b j e c t K e y a n y T y p e z b w N T n L X > < a : K e y > < K e y > C o l u m n s \ 2 0 1 9   O f f s e t s   P u r c h a s e d < / K e y > < / a : K e y > < a : V a l u e   i : t y p e = " M e a s u r e G r i d N o d e V i e w S t a t e " > < C o l u m n > 1 7 < / C o l u m n > < L a y e d O u t > t r u e < / L a y e d O u t > < / a : V a l u e > < / a : K e y V a l u e O f D i a g r a m O b j e c t K e y a n y T y p e z b w N T n L X > < a : K e y V a l u e O f D i a g r a m O b j e c t K e y a n y T y p e z b w N T n L X > < a : K e y > < K e y > C o l u m n s \ 2 0 1 9   N e t   S c o p e   1   +   2   E m i s s i o n s < / K e y > < / a : K e y > < a : V a l u e   i : t y p e = " M e a s u r e G r i d N o d e V i e w S t a t e " > < C o l u m n > 1 8 < / C o l u m n > < L a y e d O u t > t r u e < / L a y e d O u t > < / a : V a l u e > < / a : K e y V a l u e O f D i a g r a m O b j e c t K e y a n y T y p e z b w N T n L X > < a : K e y V a l u e O f D i a g r a m O b j e c t K e y a n y T y p e z b w N T n L X > < a : K e y > < K e y > C o l u m n s \ 2 0 1 9   S c o p e   3 < / K e y > < / a : K e y > < a : V a l u e   i : t y p e = " M e a s u r e G r i d N o d e V i e w S t a t e " > < C o l u m n > 1 9 < / C o l u m n > < L a y e d O u t > t r u e < / L a y e d O u t > < / a : V a l u e > < / a : K e y V a l u e O f D i a g r a m O b j e c t K e y a n y T y p e z b w N T n L X > < a : K e y V a l u e O f D i a g r a m O b j e c t K e y a n y T y p e z b w N T n L X > < a : K e y > < K e y > C o l u m n s \ 2 0 1 8   S c o p e   1 < / K e y > < / a : K e y > < a : V a l u e   i : t y p e = " M e a s u r e G r i d N o d e V i e w S t a t e " > < C o l u m n > 2 0 < / C o l u m n > < L a y e d O u t > t r u e < / L a y e d O u t > < / a : V a l u e > < / a : K e y V a l u e O f D i a g r a m O b j e c t K e y a n y T y p e z b w N T n L X > < a : K e y V a l u e O f D i a g r a m O b j e c t K e y a n y T y p e z b w N T n L X > < a : K e y > < K e y > C o l u m n s \ 2 0 1 8   S c o p e   2 < / K e y > < / a : K e y > < a : V a l u e   i : t y p e = " M e a s u r e G r i d N o d e V i e w S t a t e " > < C o l u m n > 2 1 < / C o l u m n > < L a y e d O u t > t r u e < / L a y e d O u t > < / a : V a l u e > < / a : K e y V a l u e O f D i a g r a m O b j e c t K e y a n y T y p e z b w N T n L X > < a : K e y V a l u e O f D i a g r a m O b j e c t K e y a n y T y p e z b w N T n L X > < a : K e y > < K e y > C o l u m n s \ 2 0 1 8   O f f s e t s   P u r c h a s e d < / K e y > < / a : K e y > < a : V a l u e   i : t y p e = " M e a s u r e G r i d N o d e V i e w S t a t e " > < C o l u m n > 2 2 < / C o l u m n > < L a y e d O u t > t r u e < / L a y e d O u t > < / a : V a l u e > < / a : K e y V a l u e O f D i a g r a m O b j e c t K e y a n y T y p e z b w N T n L X > < a : K e y V a l u e O f D i a g r a m O b j e c t K e y a n y T y p e z b w N T n L X > < a : K e y > < K e y > C o l u m n s \ 2 0 1 8   N e t   S c o p e   1   +   2   E m i s s i o n s < / K e y > < / a : K e y > < a : V a l u e   i : t y p e = " M e a s u r e G r i d N o d e V i e w S t a t e " > < C o l u m n > 2 3 < / C o l u m n > < L a y e d O u t > t r u e < / L a y e d O u t > < / a : V a l u e > < / a : K e y V a l u e O f D i a g r a m O b j e c t K e y a n y T y p e z b w N T n L X > < a : K e y V a l u e O f D i a g r a m O b j e c t K e y a n y T y p e z b w N T n L X > < a : K e y > < K e y > C o l u m n s \ 2 0 1 8   S c o p e   3 < / K e y > < / a : K e y > < a : V a l u e   i : t y p e = " M e a s u r e G r i d N o d e V i e w S t a t e " > < C o l u m n > 2 4 < / C o l u m n > < L a y e d O u t > t r u e < / L a y e d O u t > < / a : V a l u e > < / a : K e y V a l u e O f D i a g r a m O b j e c t K e y a n y T y p e z b w N T n L X > < a : K e y V a l u e O f D i a g r a m O b j e c t K e y a n y T y p e z b w N T n L X > < a : K e y > < K e y > C o l u m n s \ 2 0 1 7   S c o p e   1 < / K e y > < / a : K e y > < a : V a l u e   i : t y p e = " M e a s u r e G r i d N o d e V i e w S t a t e " > < C o l u m n > 2 5 < / C o l u m n > < L a y e d O u t > t r u e < / L a y e d O u t > < / a : V a l u e > < / a : K e y V a l u e O f D i a g r a m O b j e c t K e y a n y T y p e z b w N T n L X > < a : K e y V a l u e O f D i a g r a m O b j e c t K e y a n y T y p e z b w N T n L X > < a : K e y > < K e y > C o l u m n s \ 2 0 1 7   S c o p e   2 < / K e y > < / a : K e y > < a : V a l u e   i : t y p e = " M e a s u r e G r i d N o d e V i e w S t a t e " > < C o l u m n > 2 6 < / C o l u m n > < L a y e d O u t > t r u e < / L a y e d O u t > < / a : V a l u e > < / a : K e y V a l u e O f D i a g r a m O b j e c t K e y a n y T y p e z b w N T n L X > < a : K e y V a l u e O f D i a g r a m O b j e c t K e y a n y T y p e z b w N T n L X > < a : K e y > < K e y > C o l u m n s \ 2 0 1 7   O f f s e t s   P u r c h a s e d < / K e y > < / a : K e y > < a : V a l u e   i : t y p e = " M e a s u r e G r i d N o d e V i e w S t a t e " > < C o l u m n > 2 7 < / C o l u m n > < L a y e d O u t > t r u e < / L a y e d O u t > < / a : V a l u e > < / a : K e y V a l u e O f D i a g r a m O b j e c t K e y a n y T y p e z b w N T n L X > < a : K e y V a l u e O f D i a g r a m O b j e c t K e y a n y T y p e z b w N T n L X > < a : K e y > < K e y > C o l u m n s \ 2 0 1 7   N e t   S c o p e   1   +   2   E m i s s i o n s < / K e y > < / a : K e y > < a : V a l u e   i : t y p e = " M e a s u r e G r i d N o d e V i e w S t a t e " > < C o l u m n > 2 8 < / C o l u m n > < L a y e d O u t > t r u e < / L a y e d O u t > < / a : V a l u e > < / a : K e y V a l u e O f D i a g r a m O b j e c t K e y a n y T y p e z b w N T n L X > < a : K e y V a l u e O f D i a g r a m O b j e c t K e y a n y T y p e z b w N T n L X > < a : K e y > < K e y > C o l u m n s \ 2 0 1 7   S c o p e   3 < / K e y > < / a : K e y > < a : V a l u e   i : t y p e = " M e a s u r e G r i d N o d e V i e w S t a t e " > < C o l u m n > 2 9 < / C o l u m n > < L a y e d O u t > t r u e < / L a y e d O u t > < / a : V a l u e > < / a : K e y V a l u e O f D i a g r a m O b j e c t K e y a n y T y p e z b w N T n L X > < a : K e y V a l u e O f D i a g r a m O b j e c t K e y a n y T y p e z b w N T n L X > < a : K e y > < K e y > C o l u m n s \ 2 0 1 6   S c o p e   1 < / K e y > < / a : K e y > < a : V a l u e   i : t y p e = " M e a s u r e G r i d N o d e V i e w S t a t e " > < C o l u m n > 3 0 < / C o l u m n > < L a y e d O u t > t r u e < / L a y e d O u t > < / a : V a l u e > < / a : K e y V a l u e O f D i a g r a m O b j e c t K e y a n y T y p e z b w N T n L X > < a : K e y V a l u e O f D i a g r a m O b j e c t K e y a n y T y p e z b w N T n L X > < a : K e y > < K e y > C o l u m n s \ 2 0 1 6   S c o p e   2 < / K e y > < / a : K e y > < a : V a l u e   i : t y p e = " M e a s u r e G r i d N o d e V i e w S t a t e " > < C o l u m n > 3 1 < / C o l u m n > < L a y e d O u t > t r u e < / L a y e d O u t > < / a : V a l u e > < / a : K e y V a l u e O f D i a g r a m O b j e c t K e y a n y T y p e z b w N T n L X > < a : K e y V a l u e O f D i a g r a m O b j e c t K e y a n y T y p e z b w N T n L X > < a : K e y > < K e y > C o l u m n s \ 2 0 1 6   O f f s e t s   P u r c h a s e d < / K e y > < / a : K e y > < a : V a l u e   i : t y p e = " M e a s u r e G r i d N o d e V i e w S t a t e " > < C o l u m n > 3 2 < / C o l u m n > < L a y e d O u t > t r u e < / L a y e d O u t > < / a : V a l u e > < / a : K e y V a l u e O f D i a g r a m O b j e c t K e y a n y T y p e z b w N T n L X > < a : K e y V a l u e O f D i a g r a m O b j e c t K e y a n y T y p e z b w N T n L X > < a : K e y > < K e y > C o l u m n s \ 2 0 1 6   N e t   S c o p e   1   +   2   E m i s s i o n s < / K e y > < / a : K e y > < a : V a l u e   i : t y p e = " M e a s u r e G r i d N o d e V i e w S t a t e " > < C o l u m n > 3 3 < / C o l u m n > < L a y e d O u t > t r u e < / L a y e d O u t > < / a : V a l u e > < / a : K e y V a l u e O f D i a g r a m O b j e c t K e y a n y T y p e z b w N T n L X > < a : K e y V a l u e O f D i a g r a m O b j e c t K e y a n y T y p e z b w N T n L X > < a : K e y > < K e y > C o l u m n s \ 2 0 1 6   S c o p e   3 < / K e y > < / a : K e y > < a : V a l u e   i : t y p e = " M e a s u r e G r i d N o d e V i e w S t a t e " > < C o l u m n > 3 4 < / C o l u m n > < L a y e d O u t > t r u e < / L a y e d O u t > < / a : V a l u e > < / a : K e y V a l u e O f D i a g r a m O b j e c t K e y a n y T y p e z b w N T n L X > < a : K e y V a l u e O f D i a g r a m O b j e c t K e y a n y T y p e z b w N T n L X > < a : K e y > < K e y > C o l u m n s \ 2 0 1 5   S c o p e   1 < / K e y > < / a : K e y > < a : V a l u e   i : t y p e = " M e a s u r e G r i d N o d e V i e w S t a t e " > < C o l u m n > 3 5 < / C o l u m n > < L a y e d O u t > t r u e < / L a y e d O u t > < / a : V a l u e > < / a : K e y V a l u e O f D i a g r a m O b j e c t K e y a n y T y p e z b w N T n L X > < a : K e y V a l u e O f D i a g r a m O b j e c t K e y a n y T y p e z b w N T n L X > < a : K e y > < K e y > C o l u m n s \ 2 0 1 5   S c o p e   2 < / K e y > < / a : K e y > < a : V a l u e   i : t y p e = " M e a s u r e G r i d N o d e V i e w S t a t e " > < C o l u m n > 3 6 < / C o l u m n > < L a y e d O u t > t r u e < / L a y e d O u t > < / a : V a l u e > < / a : K e y V a l u e O f D i a g r a m O b j e c t K e y a n y T y p e z b w N T n L X > < a : K e y V a l u e O f D i a g r a m O b j e c t K e y a n y T y p e z b w N T n L X > < a : K e y > < K e y > C o l u m n s \ 2 0 1 5   O f f s e t s   P u r c h a s e d < / K e y > < / a : K e y > < a : V a l u e   i : t y p e = " M e a s u r e G r i d N o d e V i e w S t a t e " > < C o l u m n > 3 7 < / C o l u m n > < L a y e d O u t > t r u e < / L a y e d O u t > < / a : V a l u e > < / a : K e y V a l u e O f D i a g r a m O b j e c t K e y a n y T y p e z b w N T n L X > < a : K e y V a l u e O f D i a g r a m O b j e c t K e y a n y T y p e z b w N T n L X > < a : K e y > < K e y > C o l u m n s \ 2 0 1 5   N e t   S c o p e   1   +   2   E m i s s i o n s < / K e y > < / a : K e y > < a : V a l u e   i : t y p e = " M e a s u r e G r i d N o d e V i e w S t a t e " > < C o l u m n > 3 8 < / C o l u m n > < L a y e d O u t > t r u e < / L a y e d O u t > < / a : V a l u e > < / a : K e y V a l u e O f D i a g r a m O b j e c t K e y a n y T y p e z b w N T n L X > < a : K e y V a l u e O f D i a g r a m O b j e c t K e y a n y T y p e z b w N T n L X > < a : K e y > < K e y > C o l u m n s \ 2 0 1 5   S c o p e   3 < / K e y > < / a : K e y > < a : V a l u e   i : t y p e = " M e a s u r e G r i d N o d e V i e w S t a t e " > < C o l u m n > 3 9 < / C o l u m n > < L a y e d O u t > t r u e < / L a y e d O u t > < / a : V a l u e > < / a : K e y V a l u e O f D i a g r a m O b j e c t K e y a n y T y p e z b w N T n L X > < a : K e y V a l u e O f D i a g r a m O b j e c t K e y a n y T y p e z b w N T n L X > < a : K e y > < K e y > C o l u m n s \ P o l i c y   A r m ? < / K e y > < / a : K e y > < a : V a l u e   i : t y p e = " M e a s u r e G r i d N o d e V i e w S t a t e " > < C o l u m n > 4 0 < / C o l u m n > < L a y e d O u t > t r u e < / L a y e d O u t > < / a : V a l u e > < / a : K e y V a l u e O f D i a g r a m O b j e c t K e y a n y T y p e z b w N T n L X > < a : K e y V a l u e O f D i a g r a m O b j e c t K e y a n y T y p e z b w N T n L X > < a : K e y > < K e y > C o l u m n s \ I n i t i a t i v e s   f o r   C a r b o n   N e u t r a l i t y < / K e y > < / a : K e y > < a : V a l u e   i : t y p e = " M e a s u r e G r i d N o d e V i e w S t a t e " > < C o l u m n > 4 1 < / C o l u m n > < L a y e d O u t > t r u e < / L a y e d O u t > < / a : V a l u e > < / a : K e y V a l u e O f D i a g r a m O b j e c t K e y a n y T y p e z b w N T n L X > < a : K e y V a l u e O f D i a g r a m O b j e c t K e y a n y T y p e z b w N T n L X > < a : K e y > < K e y > C o l u m n s \ N o t e s < / K e y > < / a : K e y > < a : V a l u e   i : t y p e = " M e a s u r e G r i d N o d e V i e w S t a t e " > < C o l u m n > 4 2 < / C o l u m n > < L a y e d O u t > t r u e < / L a y e d O u t > < / a : V a l u e > < / a : K e y V a l u e O f D i a g r a m O b j e c t K e y a n y T y p e z b w N T n L X > < a : K e y V a l u e O f D i a g r a m O b j e c t K e y a n y T y p e z b w N T n L X > < a : K e y > < K e y > C o l u m n s \ S o u r c e s < / K e y > < / a : K e y > < a : V a l u e   i : t y p e = " M e a s u r e G r i d N o d e V i e w S t a t e " > < C o l u m n > 4 3 < / C o l u m n > < L a y e d O u t > t r u e < / L a y e d O u t > < / a : V a l u e > < / a : K e y V a l u e O f D i a g r a m O b j e c t K e y a n y T y p e z b w N T n L X > < a : K e y V a l u e O f D i a g r a m O b j e c t K e y a n y T y p e z b w N T n L X > < a : K e y > < K e y > C o l u m n s \ 2 0 0 7 < / K e y > < / a : K e y > < a : V a l u e   i : t y p e = " M e a s u r e G r i d N o d e V i e w S t a t e " > < C o l u m n > 4 4 < / C o l u m n > < L a y e d O u t > t r u e < / L a y e d O u t > < / a : V a l u e > < / a : K e y V a l u e O f D i a g r a m O b j e c t K e y a n y T y p e z b w N T n L X > < a : K e y V a l u e O f D i a g r a m O b j e c t K e y a n y T y p e z b w N T n L X > < a : K e y > < K e y > C o l u m n s \ 2 0 1 5 < / K e y > < / a : K e y > < a : V a l u e   i : t y p e = " M e a s u r e G r i d N o d e V i e w S t a t e " > < C o l u m n > 4 5 < / C o l u m n > < L a y e d O u t > t r u e < / L a y e d O u t > < / a : V a l u e > < / a : K e y V a l u e O f D i a g r a m O b j e c t K e y a n y T y p e z b w N T n L X > < a : K e y V a l u e O f D i a g r a m O b j e c t K e y a n y T y p e z b w N T n L X > < a : K e y > < K e y > C o l u m n s \ 2 0 1 6 < / K e y > < / a : K e y > < a : V a l u e   i : t y p e = " M e a s u r e G r i d N o d e V i e w S t a t e " > < C o l u m n > 4 6 < / C o l u m n > < L a y e d O u t > t r u e < / L a y e d O u t > < / a : V a l u e > < / a : K e y V a l u e O f D i a g r a m O b j e c t K e y a n y T y p e z b w N T n L X > < a : K e y V a l u e O f D i a g r a m O b j e c t K e y a n y T y p e z b w N T n L X > < a : K e y > < K e y > C o l u m n s \ 2 0 1 7 < / K e y > < / a : K e y > < a : V a l u e   i : t y p e = " M e a s u r e G r i d N o d e V i e w S t a t e " > < C o l u m n > 4 7 < / C o l u m n > < L a y e d O u t > t r u e < / L a y e d O u t > < / a : V a l u e > < / a : K e y V a l u e O f D i a g r a m O b j e c t K e y a n y T y p e z b w N T n L X > < a : K e y V a l u e O f D i a g r a m O b j e c t K e y a n y T y p e z b w N T n L X > < a : K e y > < K e y > C o l u m n s \ 2 0 1 8 < / K e y > < / a : K e y > < a : V a l u e   i : t y p e = " M e a s u r e G r i d N o d e V i e w S t a t e " > < C o l u m n > 4 8 < / C o l u m n > < L a y e d O u t > t r u e < / L a y e d O u t > < / a : V a l u e > < / a : K e y V a l u e O f D i a g r a m O b j e c t K e y a n y T y p e z b w N T n L X > < a : K e y V a l u e O f D i a g r a m O b j e c t K e y a n y T y p e z b w N T n L X > < a : K e y > < K e y > C o l u m n s \ 2 0 1 9 < / K e y > < / a : K e y > < a : V a l u e   i : t y p e = " M e a s u r e G r i d N o d e V i e w S t a t e " > < C o l u m n > 4 9 < / C o l u m n > < L a y e d O u t > t r u e < / L a y e d O u t > < / a : V a l u e > < / a : K e y V a l u e O f D i a g r a m O b j e c t K e y a n y T y p e z b w N T n L X > < a : K e y V a l u e O f D i a g r a m O b j e c t K e y a n y T y p e z b w N T n L X > < a : K e y > < K e y > C o l u m n s \ 2 0 2 0 < / K e y > < / a : K e y > < a : V a l u e   i : t y p e = " M e a s u r e G r i d N o d e V i e w S t a t e " > < C o l u m n > 5 0 < / C o l u m n > < L a y e d O u t > t r u e < / L a y e d O u t > < / a : V a l u e > < / a : K e y V a l u e O f D i a g r a m O b j e c t K e y a n y T y p e z b w N T n L X > < a : K e y V a l u e O f D i a g r a m O b j e c t K e y a n y T y p e z b w N T n L X > < a : K e y > < K e y > C o l u m n s \ 2 0 2 2 < / K e y > < / a : K e y > < a : V a l u e   i : t y p e = " M e a s u r e G r i d N o d e V i e w S t a t e " > < C o l u m n > 5 1 < / C o l u m n > < L a y e d O u t > t r u e < / L a y e d O u t > < / a : V a l u e > < / a : K e y V a l u e O f D i a g r a m O b j e c t K e y a n y T y p e z b w N T n L X > < a : K e y V a l u e O f D i a g r a m O b j e c t K e y a n y T y p e z b w N T n L X > < a : K e y > < K e y > C o l u m n s \ 2 0 2 3 < / K e y > < / a : K e y > < a : V a l u e   i : t y p e = " M e a s u r e G r i d N o d e V i e w S t a t e " > < C o l u m n > 5 2 < / C o l u m n > < L a y e d O u t > t r u e < / L a y e d O u t > < / a : V a l u e > < / a : K e y V a l u e O f D i a g r a m O b j e c t K e y a n y T y p e z b w N T n L X > < a : K e y V a l u e O f D i a g r a m O b j e c t K e y a n y T y p e z b w N T n L X > < a : K e y > < K e y > C o l u m n s \ 2 0 2 5 < / K e y > < / a : K e y > < a : V a l u e   i : t y p e = " M e a s u r e G r i d N o d e V i e w S t a t e " > < C o l u m n > 5 3 < / C o l u m n > < L a y e d O u t > t r u e < / L a y e d O u t > < / a : V a l u e > < / a : K e y V a l u e O f D i a g r a m O b j e c t K e y a n y T y p e z b w N T n L X > < a : K e y V a l u e O f D i a g r a m O b j e c t K e y a n y T y p e z b w N T n L X > < a : K e y > < K e y > C o l u m n s \ 2 0 2 9 < / K e y > < / a : K e y > < a : V a l u e   i : t y p e = " M e a s u r e G r i d N o d e V i e w S t a t e " > < C o l u m n > 5 4 < / C o l u m n > < L a y e d O u t > t r u e < / L a y e d O u t > < / a : V a l u e > < / a : K e y V a l u e O f D i a g r a m O b j e c t K e y a n y T y p e z b w N T n L X > < a : K e y V a l u e O f D i a g r a m O b j e c t K e y a n y T y p e z b w N T n L X > < a : K e y > < K e y > C o l u m n s \ 2 0 3 0 < / K e y > < / a : K e y > < a : V a l u e   i : t y p e = " M e a s u r e G r i d N o d e V i e w S t a t e " > < C o l u m n > 5 5 < / C o l u m n > < L a y e d O u t > t r u e < / L a y e d O u t > < / a : V a l u e > < / a : K e y V a l u e O f D i a g r a m O b j e c t K e y a n y T y p e z b w N T n L X > < a : K e y V a l u e O f D i a g r a m O b j e c t K e y a n y T y p e z b w N T n L X > < a : K e y > < K e y > C o l u m n s \ 2 0 3 5 < / K e y > < / a : K e y > < a : V a l u e   i : t y p e = " M e a s u r e G r i d N o d e V i e w S t a t e " > < C o l u m n > 5 6 < / C o l u m n > < L a y e d O u t > t r u e < / L a y e d O u t > < / a : V a l u e > < / a : K e y V a l u e O f D i a g r a m O b j e c t K e y a n y T y p e z b w N T n L X > < a : K e y V a l u e O f D i a g r a m O b j e c t K e y a n y T y p e z b w N T n L X > < a : K e y > < K e y > C o l u m n s \ 2 0 4 0 < / K e y > < / a : K e y > < a : V a l u e   i : t y p e = " M e a s u r e G r i d N o d e V i e w S t a t e " > < C o l u m n > 5 7 < / C o l u m n > < L a y e d O u t > t r u e < / L a y e d O u t > < / a : V a l u e > < / a : K e y V a l u e O f D i a g r a m O b j e c t K e y a n y T y p e z b w N T n L X > < a : K e y V a l u e O f D i a g r a m O b j e c t K e y a n y T y p e z b w N T n L X > < a : K e y > < K e y > C o l u m n s \ 2 0 4 4 < / K e y > < / a : K e y > < a : V a l u e   i : t y p e = " M e a s u r e G r i d N o d e V i e w S t a t e " > < C o l u m n > 5 8 < / C o l u m n > < L a y e d O u t > t r u e < / L a y e d O u t > < / a : V a l u e > < / a : K e y V a l u e O f D i a g r a m O b j e c t K e y a n y T y p e z b w N T n L X > < a : K e y V a l u e O f D i a g r a m O b j e c t K e y a n y T y p e z b w N T n L X > < a : K e y > < K e y > C o l u m n s \ 2 0 5 0 < / K e y > < / a : K e y > < a : V a l u e   i : t y p e = " M e a s u r e G r i d N o d e V i e w S t a t e " > < C o l u m n > 5 9 < / C o l u m n > < L a y e d O u t > t r u e < / L a y e d O u t > < / a : V a l u e > < / a : K e y V a l u e O f D i a g r a m O b j e c t K e y a n y T y p e z b w N T n L X > < a : K e y V a l u e O f D i a g r a m O b j e c t K e y a n y T y p e z b w N T n L X > < a : K e y > < K e y > M e a s u r e s \ C o u n t   o f   C a r b o n   N e u t r a l   G o a l ?   ( Y / N ) < / K e y > < / a : K e y > < a : V a l u e   i : t y p e = " M e a s u r e G r i d N o d e V i e w S t a t e " > < C o l u m n > 7 < / C o l u m n > < L a y e d O u t > t r u e < / L a y e d O u t > < W a s U I I n v i s i b l e > t r u e < / W a s U I I n v i s i b l e > < / a : V a l u e > < / a : K e y V a l u e O f D i a g r a m O b j e c t K e y a n y T y p e z b w N T n L X > < a : K e y V a l u e O f D i a g r a m O b j e c t K e y a n y T y p e z b w N T n L X > < a : K e y > < K e y > M e a s u r e s \ C o u n t   o f   C a r b o n   N e u t r a l   G o a l ?   ( Y / N ) \ T a g I n f o \ F o r m u l a < / K e y > < / a : K e y > < a : V a l u e   i : t y p e = " M e a s u r e G r i d V i e w S t a t e I D i a g r a m T a g A d d i t i o n a l I n f o " / > < / a : K e y V a l u e O f D i a g r a m O b j e c t K e y a n y T y p e z b w N T n L X > < a : K e y V a l u e O f D i a g r a m O b j e c t K e y a n y T y p e z b w N T n L X > < a : K e y > < K e y > M e a s u r e s \ C o u n t   o f   C a r b o n   N e u t r a l   G o a l ?   ( Y / N ) \ T a g I n f o \ V a l u e < / K e y > < / a : K e y > < a : V a l u e   i : t y p e = " M e a s u r e G r i d V i e w S t a t e I D i a g r a m T a g A d d i t i o n a l I n f o " / > < / a : K e y V a l u e O f D i a g r a m O b j e c t K e y a n y T y p e z b w N T n L X > < a : K e y V a l u e O f D i a g r a m O b j e c t K e y a n y T y p e z b w N T n L X > < a : K e y > < K e y > L i n k s \ & l t ; C o l u m n s \ C o u n t   o f   C a r b o n   N e u t r a l   G o a l ?   ( Y / N ) & g t ; - & l t ; M e a s u r e s \ C a r b o n   N e u t r a l   G o a l ?   ( Y / N ) & g t ; < / K e y > < / a : K e y > < a : V a l u e   i : t y p e = " M e a s u r e G r i d V i e w S t a t e I D i a g r a m L i n k " / > < / a : K e y V a l u e O f D i a g r a m O b j e c t K e y a n y T y p e z b w N T n L X > < a : K e y V a l u e O f D i a g r a m O b j e c t K e y a n y T y p e z b w N T n L X > < a : K e y > < K e y > L i n k s \ & l t ; C o l u m n s \ C o u n t   o f   C a r b o n   N e u t r a l   G o a l ?   ( Y / N ) & g t ; - & l t ; M e a s u r e s \ C a r b o n   N e u t r a l   G o a l ?   ( Y / N ) & g t ; \ C O L U M N < / K e y > < / a : K e y > < a : V a l u e   i : t y p e = " M e a s u r e G r i d V i e w S t a t e I D i a g r a m L i n k E n d p o i n t " / > < / a : K e y V a l u e O f D i a g r a m O b j e c t K e y a n y T y p e z b w N T n L X > < a : K e y V a l u e O f D i a g r a m O b j e c t K e y a n y T y p e z b w N T n L X > < a : K e y > < K e y > L i n k s \ & l t ; C o l u m n s \ C o u n t   o f   C a r b o n   N e u t r a l   G o a l ?   ( Y / N ) & g t ; - & l t ; M e a s u r e s \ C a r b o n   N e u t r a l   G o a l ?   ( Y / N ) & g t ; \ M E A S U R E 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 C o l u m n s \ S i z e   ( 2 0 1 9   R e v e n u e ) < / K e y > < / a : K e y > < a : V a l u e   i : t y p e = " T a b l e W i d g e t B a s e V i e w S t a t e " / > < / a : K e y V a l u e O f D i a g r a m O b j e c t K e y a n y T y p e z b w N T n L X > < a : K e y V a l u e O f D i a g r a m O b j e c t K e y a n y T y p e z b w N T n L X > < a : K e y > < K e y > C o l u m n s \ N e t   E a r n i n g s / I n c o m e   ( 2 0 1 9 ) < / K e y > < / a : K e y > < a : V a l u e   i : t y p e = " T a b l e W i d g e t B a s e V i e w S t a t e " / > < / a : K e y V a l u e O f D i a g r a m O b j e c t K e y a n y T y p e z b w N T n L X > < a : K e y V a l u e O f D i a g r a m O b j e c t K e y a n y T y p e z b w N T n L X > < a : K e y > < K e y > C o l u m n s \ I P O   Y e a r < / K e y > < / a : K e y > < a : V a l u e   i : t y p e = " T a b l e W i d g e t B a s e V i e w S t a t e " / > < / a : K e y V a l u e O f D i a g r a m O b j e c t K e y a n y T y p e z b w N T n L X > < a : K e y V a l u e O f D i a g r a m O b j e c t K e y a n y T y p e z b w N T n L X > < a : K e y > < K e y > C o l u m n s \ S & a m p ; P   1 0 0 ?   ( Y / N ) < / K e y > < / a : K e y > < a : V a l u e   i : t y p e = " T a b l e W i d g e t B a s e V i e w S t a t e " / > < / a : K e y V a l u e O f D i a g r a m O b j e c t K e y a n y T y p e z b w N T n L X > < a : K e y V a l u e O f D i a g r a m O b j e c t K e y a n y T y p e z b w N T n L X > < a : K e y > < K e y > C o l u m n s \ C a r b o n   N e u t r a l   G o a l ?   ( Y / N ) < / K e y > < / a : K e y > < a : V a l u e   i : t y p e = " T a b l e W i d g e t B a s e V i e w S t a t e " / > < / a : K e y V a l u e O f D i a g r a m O b j e c t K e y a n y T y p e z b w N T n L X > < a : K e y V a l u e O f D i a g r a m O b j e c t K e y a n y T y p e z b w N T n L X > < a : K e y > < K e y > C o l u m n s \ S c i e n c e - B a s e d   T a r g e t ?   ( Y / N ) < / K e y > < / a : K e y > < a : V a l u e   i : t y p e = " T a b l e W i d g e t B a s e V i e w S t a t e " / > < / a : K e y V a l u e O f D i a g r a m O b j e c t K e y a n y T y p e z b w N T n L X > < a : K e y V a l u e O f D i a g r a m O b j e c t K e y a n y T y p e z b w N T n L X > < a : K e y > < K e y > C o l u m n s \ C a r b o n   N e u t r a l   b y . . . .   ( y e a r ) < / K e y > < / a : K e y > < a : V a l u e   i : t y p e = " T a b l e W i d g e t B a s e V i e w S t a t e " / > < / a : K e y V a l u e O f D i a g r a m O b j e c t K e y a n y T y p e z b w N T n L X > < a : K e y V a l u e O f D i a g r a m O b j e c t K e y a n y T y p e z b w N T n L X > < a : K e y > < K e y > C o l u m n s \ C a r b o n   N e u t r a l   A n n o u n c e m e n t   ( y e a r ) < / K e y > < / a : K e y > < a : V a l u e   i : t y p e = " T a b l e W i d g e t B a s e V i e w S t a t e " / > < / a : K e y V a l u e O f D i a g r a m O b j e c t K e y a n y T y p e z b w N T n L X > < a : K e y V a l u e O f D i a g r a m O b j e c t K e y a n y T y p e z b w N T n L X > < a : K e y > < K e y > C o l u m n s \ C a r b o n   G o a l   ( i f   n o n - z e r o ) < / K e y > < / a : K e y > < a : V a l u e   i : t y p e = " T a b l e W i d g e t B a s e V i e w S t a t e " / > < / a : K e y V a l u e O f D i a g r a m O b j e c t K e y a n y T y p e z b w N T n L X > < a : K e y V a l u e O f D i a g r a m O b j e c t K e y a n y T y p e z b w N T n L X > < a : K e y > < K e y > C o l u m n s \ R e l i a n c e   o n   O f f s e t s ?   ( Y / N ) < / K e y > < / a : K e y > < a : V a l u e   i : t y p e = " T a b l e W i d g e t B a s e V i e w S t a t e " / > < / a : K e y V a l u e O f D i a g r a m O b j e c t K e y a n y T y p e z b w N T n L X > < a : K e y V a l u e O f D i a g r a m O b j e c t K e y a n y T y p e z b w N T n L X > < a : K e y > < K e y > C o l u m n s \ R E 1 0 0   C o m m i t m e n t ?   ( Y / N ) < / K e y > < / a : K e y > < a : V a l u e   i : t y p e = " T a b l e W i d g e t B a s e V i e w S t a t e " / > < / a : K e y V a l u e O f D i a g r a m O b j e c t K e y a n y T y p e z b w N T n L X > < a : K e y V a l u e O f D i a g r a m O b j e c t K e y a n y T y p e z b w N T n L X > < a : K e y > < K e y > C o l u m n s \ 1 0 0 %   R e n e w a b l e   E n e r g y   b y . . .   ( y e a r ) < / K e y > < / a : K e y > < a : V a l u e   i : t y p e = " T a b l e W i d g e t B a s e V i e w S t a t e " / > < / a : K e y V a l u e O f D i a g r a m O b j e c t K e y a n y T y p e z b w N T n L X > < a : K e y V a l u e O f D i a g r a m O b j e c t K e y a n y T y p e z b w N T n L X > < a : K e y > < K e y > C o l u m n s \ 2 0 1 9   S c o p e   1   ( M e T   C o 2 ) < / K e y > < / a : K e y > < a : V a l u e   i : t y p e = " T a b l e W i d g e t B a s e V i e w S t a t e " / > < / a : K e y V a l u e O f D i a g r a m O b j e c t K e y a n y T y p e z b w N T n L X > < a : K e y V a l u e O f D i a g r a m O b j e c t K e y a n y T y p e z b w N T n L X > < a : K e y > < K e y > C o l u m n s \ 2 0 1 9   S c o p e   2 < / K e y > < / a : K e y > < a : V a l u e   i : t y p e = " T a b l e W i d g e t B a s e V i e w S t a t e " / > < / a : K e y V a l u e O f D i a g r a m O b j e c t K e y a n y T y p e z b w N T n L X > < a : K e y V a l u e O f D i a g r a m O b j e c t K e y a n y T y p e z b w N T n L X > < a : K e y > < K e y > C o l u m n s \ 2 0 1 9   O f f s e t s   P u r c h a s e d < / K e y > < / a : K e y > < a : V a l u e   i : t y p e = " T a b l e W i d g e t B a s e V i e w S t a t e " / > < / a : K e y V a l u e O f D i a g r a m O b j e c t K e y a n y T y p e z b w N T n L X > < a : K e y V a l u e O f D i a g r a m O b j e c t K e y a n y T y p e z b w N T n L X > < a : K e y > < K e y > C o l u m n s \ 2 0 1 9   N e t   S c o p e   1   +   2   E m i s s i o n s < / K e y > < / a : K e y > < a : V a l u e   i : t y p e = " T a b l e W i d g e t B a s e V i e w S t a t e " / > < / a : K e y V a l u e O f D i a g r a m O b j e c t K e y a n y T y p e z b w N T n L X > < a : K e y V a l u e O f D i a g r a m O b j e c t K e y a n y T y p e z b w N T n L X > < a : K e y > < K e y > C o l u m n s \ 2 0 1 9   S c o p e   3 < / K e y > < / a : K e y > < a : V a l u e   i : t y p e = " T a b l e W i d g e t B a s e V i e w S t a t e " / > < / a : K e y V a l u e O f D i a g r a m O b j e c t K e y a n y T y p e z b w N T n L X > < a : K e y V a l u e O f D i a g r a m O b j e c t K e y a n y T y p e z b w N T n L X > < a : K e y > < K e y > C o l u m n s \ 2 0 1 8   S c o p e   1 < / K e y > < / a : K e y > < a : V a l u e   i : t y p e = " T a b l e W i d g e t B a s e V i e w S t a t e " / > < / a : K e y V a l u e O f D i a g r a m O b j e c t K e y a n y T y p e z b w N T n L X > < a : K e y V a l u e O f D i a g r a m O b j e c t K e y a n y T y p e z b w N T n L X > < a : K e y > < K e y > C o l u m n s \ 2 0 1 8   S c o p e   2 < / K e y > < / a : K e y > < a : V a l u e   i : t y p e = " T a b l e W i d g e t B a s e V i e w S t a t e " / > < / a : K e y V a l u e O f D i a g r a m O b j e c t K e y a n y T y p e z b w N T n L X > < a : K e y V a l u e O f D i a g r a m O b j e c t K e y a n y T y p e z b w N T n L X > < a : K e y > < K e y > C o l u m n s \ 2 0 1 8   O f f s e t s   P u r c h a s e d < / K e y > < / a : K e y > < a : V a l u e   i : t y p e = " T a b l e W i d g e t B a s e V i e w S t a t e " / > < / a : K e y V a l u e O f D i a g r a m O b j e c t K e y a n y T y p e z b w N T n L X > < a : K e y V a l u e O f D i a g r a m O b j e c t K e y a n y T y p e z b w N T n L X > < a : K e y > < K e y > C o l u m n s \ 2 0 1 8   N e t   S c o p e   1   +   2   E m i s s i o n s < / K e y > < / a : K e y > < a : V a l u e   i : t y p e = " T a b l e W i d g e t B a s e V i e w S t a t e " / > < / a : K e y V a l u e O f D i a g r a m O b j e c t K e y a n y T y p e z b w N T n L X > < a : K e y V a l u e O f D i a g r a m O b j e c t K e y a n y T y p e z b w N T n L X > < a : K e y > < K e y > C o l u m n s \ 2 0 1 8   S c o p e   3 < / K e y > < / a : K e y > < a : V a l u e   i : t y p e = " T a b l e W i d g e t B a s e V i e w S t a t e " / > < / a : K e y V a l u e O f D i a g r a m O b j e c t K e y a n y T y p e z b w N T n L X > < a : K e y V a l u e O f D i a g r a m O b j e c t K e y a n y T y p e z b w N T n L X > < a : K e y > < K e y > C o l u m n s \ 2 0 1 7   S c o p e   1 < / K e y > < / a : K e y > < a : V a l u e   i : t y p e = " T a b l e W i d g e t B a s e V i e w S t a t e " / > < / a : K e y V a l u e O f D i a g r a m O b j e c t K e y a n y T y p e z b w N T n L X > < a : K e y V a l u e O f D i a g r a m O b j e c t K e y a n y T y p e z b w N T n L X > < a : K e y > < K e y > C o l u m n s \ 2 0 1 7   S c o p e   2 < / K e y > < / a : K e y > < a : V a l u e   i : t y p e = " T a b l e W i d g e t B a s e V i e w S t a t e " / > < / a : K e y V a l u e O f D i a g r a m O b j e c t K e y a n y T y p e z b w N T n L X > < a : K e y V a l u e O f D i a g r a m O b j e c t K e y a n y T y p e z b w N T n L X > < a : K e y > < K e y > C o l u m n s \ 2 0 1 7   O f f s e t s   P u r c h a s e d < / K e y > < / a : K e y > < a : V a l u e   i : t y p e = " T a b l e W i d g e t B a s e V i e w S t a t e " / > < / a : K e y V a l u e O f D i a g r a m O b j e c t K e y a n y T y p e z b w N T n L X > < a : K e y V a l u e O f D i a g r a m O b j e c t K e y a n y T y p e z b w N T n L X > < a : K e y > < K e y > C o l u m n s \ 2 0 1 7   N e t   S c o p e   1   +   2   E m i s s i o n s < / K e y > < / a : K e y > < a : V a l u e   i : t y p e = " T a b l e W i d g e t B a s e V i e w S t a t e " / > < / a : K e y V a l u e O f D i a g r a m O b j e c t K e y a n y T y p e z b w N T n L X > < a : K e y V a l u e O f D i a g r a m O b j e c t K e y a n y T y p e z b w N T n L X > < a : K e y > < K e y > C o l u m n s \ 2 0 1 7   S c o p e   3 < / K e y > < / a : K e y > < a : V a l u e   i : t y p e = " T a b l e W i d g e t B a s e V i e w S t a t e " / > < / a : K e y V a l u e O f D i a g r a m O b j e c t K e y a n y T y p e z b w N T n L X > < a : K e y V a l u e O f D i a g r a m O b j e c t K e y a n y T y p e z b w N T n L X > < a : K e y > < K e y > C o l u m n s \ 2 0 1 6   S c o p e   1 < / K e y > < / a : K e y > < a : V a l u e   i : t y p e = " T a b l e W i d g e t B a s e V i e w S t a t e " / > < / a : K e y V a l u e O f D i a g r a m O b j e c t K e y a n y T y p e z b w N T n L X > < a : K e y V a l u e O f D i a g r a m O b j e c t K e y a n y T y p e z b w N T n L X > < a : K e y > < K e y > C o l u m n s \ 2 0 1 6   S c o p e   2 < / K e y > < / a : K e y > < a : V a l u e   i : t y p e = " T a b l e W i d g e t B a s e V i e w S t a t e " / > < / a : K e y V a l u e O f D i a g r a m O b j e c t K e y a n y T y p e z b w N T n L X > < a : K e y V a l u e O f D i a g r a m O b j e c t K e y a n y T y p e z b w N T n L X > < a : K e y > < K e y > C o l u m n s \ 2 0 1 6   O f f s e t s   P u r c h a s e d < / K e y > < / a : K e y > < a : V a l u e   i : t y p e = " T a b l e W i d g e t B a s e V i e w S t a t e " / > < / a : K e y V a l u e O f D i a g r a m O b j e c t K e y a n y T y p e z b w N T n L X > < a : K e y V a l u e O f D i a g r a m O b j e c t K e y a n y T y p e z b w N T n L X > < a : K e y > < K e y > C o l u m n s \ 2 0 1 6   N e t   S c o p e   1   +   2   E m i s s i o n s < / K e y > < / a : K e y > < a : V a l u e   i : t y p e = " T a b l e W i d g e t B a s e V i e w S t a t e " / > < / a : K e y V a l u e O f D i a g r a m O b j e c t K e y a n y T y p e z b w N T n L X > < a : K e y V a l u e O f D i a g r a m O b j e c t K e y a n y T y p e z b w N T n L X > < a : K e y > < K e y > C o l u m n s \ 2 0 1 6   S c o p e   3 < / K e y > < / a : K e y > < a : V a l u e   i : t y p e = " T a b l e W i d g e t B a s e V i e w S t a t e " / > < / a : K e y V a l u e O f D i a g r a m O b j e c t K e y a n y T y p e z b w N T n L X > < a : K e y V a l u e O f D i a g r a m O b j e c t K e y a n y T y p e z b w N T n L X > < a : K e y > < K e y > C o l u m n s \ 2 0 1 5   S c o p e   1 < / K e y > < / a : K e y > < a : V a l u e   i : t y p e = " T a b l e W i d g e t B a s e V i e w S t a t e " / > < / a : K e y V a l u e O f D i a g r a m O b j e c t K e y a n y T y p e z b w N T n L X > < a : K e y V a l u e O f D i a g r a m O b j e c t K e y a n y T y p e z b w N T n L X > < a : K e y > < K e y > C o l u m n s \ 2 0 1 5   S c o p e   2 < / K e y > < / a : K e y > < a : V a l u e   i : t y p e = " T a b l e W i d g e t B a s e V i e w S t a t e " / > < / a : K e y V a l u e O f D i a g r a m O b j e c t K e y a n y T y p e z b w N T n L X > < a : K e y V a l u e O f D i a g r a m O b j e c t K e y a n y T y p e z b w N T n L X > < a : K e y > < K e y > C o l u m n s \ 2 0 1 5   O f f s e t s   P u r c h a s e d < / K e y > < / a : K e y > < a : V a l u e   i : t y p e = " T a b l e W i d g e t B a s e V i e w S t a t e " / > < / a : K e y V a l u e O f D i a g r a m O b j e c t K e y a n y T y p e z b w N T n L X > < a : K e y V a l u e O f D i a g r a m O b j e c t K e y a n y T y p e z b w N T n L X > < a : K e y > < K e y > C o l u m n s \ 2 0 1 5   N e t   S c o p e   1   +   2   E m i s s i o n s < / K e y > < / a : K e y > < a : V a l u e   i : t y p e = " T a b l e W i d g e t B a s e V i e w S t a t e " / > < / a : K e y V a l u e O f D i a g r a m O b j e c t K e y a n y T y p e z b w N T n L X > < a : K e y V a l u e O f D i a g r a m O b j e c t K e y a n y T y p e z b w N T n L X > < a : K e y > < K e y > C o l u m n s \ 2 0 1 5   S c o p e   3 < / K e y > < / a : K e y > < a : V a l u e   i : t y p e = " T a b l e W i d g e t B a s e V i e w S t a t e " / > < / a : K e y V a l u e O f D i a g r a m O b j e c t K e y a n y T y p e z b w N T n L X > < a : K e y V a l u e O f D i a g r a m O b j e c t K e y a n y T y p e z b w N T n L X > < a : K e y > < K e y > C o l u m n s \ P o l i c y   A r m ? < / K e y > < / a : K e y > < a : V a l u e   i : t y p e = " T a b l e W i d g e t B a s e V i e w S t a t e " / > < / a : K e y V a l u e O f D i a g r a m O b j e c t K e y a n y T y p e z b w N T n L X > < a : K e y V a l u e O f D i a g r a m O b j e c t K e y a n y T y p e z b w N T n L X > < a : K e y > < K e y > C o l u m n s \ I n i t i a t i v e s   f o r   C a r b o n   N e u t r a l i t y 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 C o l u m n s \ 2 0 0 7 < / K e y > < / a : K e y > < a : V a l u e   i : t y p e = " T a b l e W i d g e t B a s e V i e w S t a t e " / > < / a : K e y V a l u e O f D i a g r a m O b j e c t K e y a n y T y p e z b w N T n L X > < a : K e y V a l u e O f D i a g r a m O b j e c t K e y a n y T y p e z b w N T n L X > < a : K e y > < K e y > C o l u m n s \ 2 0 1 5 < / K e y > < / a : K e y > < a : V a l u e   i : t y p e = " T a b l e W i d g e t B a s e V i e w S t a t e " / > < / a : K e y V a l u e O f D i a g r a m O b j e c t K e y a n y T y p e z b w N T n L X > < a : K e y V a l u e O f D i a g r a m O b j e c t K e y a n y T y p e z b w N T n L X > < a : K e y > < K e y > C o l u m n s \ 2 0 1 6 < / 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 C o l u m n s \ 2 0 2 2 < / K e y > < / a : K e y > < a : V a l u e   i : t y p e = " T a b l e W i d g e t B a s e V i e w S t a t e " / > < / a : K e y V a l u e O f D i a g r a m O b j e c t K e y a n y T y p e z b w N T n L X > < a : K e y V a l u e O f D i a g r a m O b j e c t K e y a n y T y p e z b w N T n L X > < a : K e y > < K e y > C o l u m n s \ 2 0 2 3 < / K e y > < / a : K e y > < a : V a l u e   i : t y p e = " T a b l e W i d g e t B a s e V i e w S t a t e " / > < / a : K e y V a l u e O f D i a g r a m O b j e c t K e y a n y T y p e z b w N T n L X > < a : K e y V a l u e O f D i a g r a m O b j e c t K e y a n y T y p e z b w N T n L X > < a : K e y > < K e y > C o l u m n s \ 2 0 2 5 < / K e y > < / a : K e y > < a : V a l u e   i : t y p e = " T a b l e W i d g e t B a s e V i e w S t a t e " / > < / a : K e y V a l u e O f D i a g r a m O b j e c t K e y a n y T y p e z b w N T n L X > < a : K e y V a l u e O f D i a g r a m O b j e c t K e y a n y T y p e z b w N T n L X > < a : K e y > < K e y > C o l u m n s \ 2 0 2 9 < / K e y > < / a : K e y > < a : V a l u e   i : t y p e = " T a b l e W i d g e t B a s e V i e w S t a t e " / > < / a : K e y V a l u e O f D i a g r a m O b j e c t K e y a n y T y p e z b w N T n L X > < a : K e y V a l u e O f D i a g r a m O b j e c t K e y a n y T y p e z b w N T n L X > < a : K e y > < K e y > C o l u m n s \ 2 0 3 0 < / K e y > < / a : K e y > < a : V a l u e   i : t y p e = " T a b l e W i d g e t B a s e V i e w S t a t e " / > < / a : K e y V a l u e O f D i a g r a m O b j e c t K e y a n y T y p e z b w N T n L X > < a : K e y V a l u e O f D i a g r a m O b j e c t K e y a n y T y p e z b w N T n L X > < a : K e y > < K e y > C o l u m n s \ 2 0 3 5 < / K e y > < / a : K e y > < a : V a l u e   i : t y p e = " T a b l e W i d g e t B a s e V i e w S t a t e " / > < / a : K e y V a l u e O f D i a g r a m O b j e c t K e y a n y T y p e z b w N T n L X > < a : K e y V a l u e O f D i a g r a m O b j e c t K e y a n y T y p e z b w N T n L X > < a : K e y > < K e y > C o l u m n s \ 2 0 4 0 < / K e y > < / a : K e y > < a : V a l u e   i : t y p e = " T a b l e W i d g e t B a s e V i e w S t a t e " / > < / a : K e y V a l u e O f D i a g r a m O b j e c t K e y a n y T y p e z b w N T n L X > < a : K e y V a l u e O f D i a g r a m O b j e c t K e y a n y T y p e z b w N T n L X > < a : K e y > < K e y > C o l u m n s \ 2 0 4 4 < / K e y > < / a : K e y > < a : V a l u e   i : t y p e = " T a b l e W i d g e t B a s e V i e w S t a t e " / > < / a : K e y V a l u e O f D i a g r a m O b j e c t K e y a n y T y p e z b w N T n L X > < a : K e y V a l u e O f D i a g r a m O b j e c t K e y a n y T y p e z b w N T n L X > < a : K e y > < K e y > C o l u m n s \ 2 0 5 0 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 2 0 2 0 - 0 9 - 2 5 T 1 4 : 4 7 : 1 5 . 1 2 4 6 7 4 1 - 0 5 : 0 0 < / L a s t P r o c e s s e d T i m e > < / D a t a M o d e l i n g S a n d b o x . S e r i a l i z e d S a n d b o x E r r o r C a c h e > ] ] > < / C u s t o m C o n t e n t > < / G e m i n i > 
</file>

<file path=customXml/item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 C o m p a n y   N a m e < / s t r i n g > < / k e y > < v a l u e > < i n t > 2 2 7 < / i n t > < / v a l u e > < / i t e m > < i t e m > < k e y > < s t r i n g > S e c t o r < / s t r i n g > < / k e y > < v a l u e > < i n t > 1 2 5 < / i n t > < / v a l u e > < / i t e m > < i t e m > < k e y > < s t r i n g > I n d u s t r y < / s t r i n g > < / k e y > < v a l u e > < i n t > 1 4 6 < / i n t > < / v a l u e > < / i t e m > < i t e m > < k e y > < s t r i n g > S i z e   ( 2 0 1 9   R e v e n u e ) < / s t r i n g > < / k e y > < v a l u e > < i n t > 2 7 0 < / i n t > < / v a l u e > < / i t e m > < i t e m > < k e y > < s t r i n g > N e t   E a r n i n g s / I n c o m e   ( 2 0 1 9 ) < / s t r i n g > < / k e y > < v a l u e > < i n t > 3 5 6 < / i n t > < / v a l u e > < / i t e m > < i t e m > < k e y > < s t r i n g > I P O   Y e a r < / s t r i n g > < / k e y > < v a l u e > < i n t > 1 4 5 < / i n t > < / v a l u e > < / i t e m > < i t e m > < k e y > < s t r i n g > S & a m p ; P   1 0 0 ?   ( Y / N ) < / s t r i n g > < / k e y > < v a l u e > < i n t > 2 1 7 < / i n t > < / v a l u e > < / i t e m > < i t e m > < k e y > < s t r i n g > C a r b o n   N e u t r a l   G o a l ?   ( Y / N ) < / s t r i n g > < / k e y > < v a l u e > < i n t > 3 4 5 < / i n t > < / v a l u e > < / i t e m > < i t e m > < k e y > < s t r i n g > S c i e n c e - B a s e d   T a r g e t ?   ( Y / N ) < / s t r i n g > < / k e y > < v a l u e > < i n t > 3 5 2 < / i n t > < / v a l u e > < / i t e m > < i t e m > < k e y > < s t r i n g > C a r b o n   N e u t r a l   b y . . . .   ( y e a r ) < / s t r i n g > < / k e y > < v a l u e > < i n t > 3 4 5 < / i n t > < / v a l u e > < / i t e m > < i t e m > < k e y > < s t r i n g > C a r b o n   N e u t r a l   A n n o u n c e m e n t   ( y e a r ) < / s t r i n g > < / k e y > < v a l u e > < i n t > 4 5 9 < / i n t > < / v a l u e > < / i t e m > < i t e m > < k e y > < s t r i n g > C a r b o n   G o a l   ( i f   n o n - z e r o ) < / s t r i n g > < / k e y > < v a l u e > < i n t > 3 2 5 < / i n t > < / v a l u e > < / i t e m > < i t e m > < k e y > < s t r i n g > R e l i a n c e   o n   O f f s e t s ?   ( Y / N ) < / s t r i n g > < / k e y > < v a l u e > < i n t > 3 3 2 < / i n t > < / v a l u e > < / i t e m > < i t e m > < k e y > < s t r i n g > R E 1 0 0   C o m m i t m e n t ?   ( Y / N ) < / s t r i n g > < / k e y > < v a l u e > < i n t > 3 4 3 < / i n t > < / v a l u e > < / i t e m > < i t e m > < k e y > < s t r i n g > 1 0 0 %   R e n e w a b l e   E n e r g y   b y . . .   ( y e a r ) < / s t r i n g > < / k e y > < v a l u e > < i n t > 4 3 7 < / i n t > < / v a l u e > < / i t e m > < i t e m > < k e y > < s t r i n g > 2 0 1 9   S c o p e   1   ( M e T   C o 2 ) < / s t r i n g > < / k e y > < v a l u e > < i n t > 3 1 5 < / i n t > < / v a l u e > < / i t e m > < i t e m > < k e y > < s t r i n g > 2 0 1 9   S c o p e   2 < / s t r i n g > < / k e y > < v a l u e > < i n t > 1 9 8 < / i n t > < / v a l u e > < / i t e m > < i t e m > < k e y > < s t r i n g > 2 0 1 9   O f f s e t s   P u r c h a s e d < / s t r i n g > < / k e y > < v a l u e > < i n t > 3 0 5 < / i n t > < / v a l u e > < / i t e m > < i t e m > < k e y > < s t r i n g > 2 0 1 9   N e t   S c o p e   1   +   2   E m i s s i o n s < / s t r i n g > < / k e y > < v a l u e > < i n t > 3 9 1 < / i n t > < / v a l u e > < / i t e m > < i t e m > < k e y > < s t r i n g > 2 0 1 9   S c o p e   3 < / s t r i n g > < / k e y > < v a l u e > < i n t > 1 9 8 < / i n t > < / v a l u e > < / i t e m > < i t e m > < k e y > < s t r i n g > 2 0 1 8   S c o p e   1 < / s t r i n g > < / k e y > < v a l u e > < i n t > 1 9 8 < / i n t > < / v a l u e > < / i t e m > < i t e m > < k e y > < s t r i n g > 2 0 1 8   S c o p e   2 < / s t r i n g > < / k e y > < v a l u e > < i n t > 1 9 8 < / i n t > < / v a l u e > < / i t e m > < i t e m > < k e y > < s t r i n g > 2 0 1 8   O f f s e t s   P u r c h a s e d < / s t r i n g > < / k e y > < v a l u e > < i n t > 3 0 5 < / i n t > < / v a l u e > < / i t e m > < i t e m > < k e y > < s t r i n g > 2 0 1 8   N e t   S c o p e   1   +   2   E m i s s i o n s < / s t r i n g > < / k e y > < v a l u e > < i n t > 3 9 1 < / i n t > < / v a l u e > < / i t e m > < i t e m > < k e y > < s t r i n g > 2 0 1 8   S c o p e   3 < / s t r i n g > < / k e y > < v a l u e > < i n t > 1 9 8 < / i n t > < / v a l u e > < / i t e m > < i t e m > < k e y > < s t r i n g > 2 0 1 7   S c o p e   1 < / s t r i n g > < / k e y > < v a l u e > < i n t > 1 9 8 < / i n t > < / v a l u e > < / i t e m > < i t e m > < k e y > < s t r i n g > 2 0 1 7   S c o p e   2 < / s t r i n g > < / k e y > < v a l u e > < i n t > 1 9 8 < / i n t > < / v a l u e > < / i t e m > < i t e m > < k e y > < s t r i n g > 2 0 1 7   O f f s e t s   P u r c h a s e d < / s t r i n g > < / k e y > < v a l u e > < i n t > 3 0 5 < / i n t > < / v a l u e > < / i t e m > < i t e m > < k e y > < s t r i n g > 2 0 1 7   N e t   S c o p e   1   +   2   E m i s s i o n s < / s t r i n g > < / k e y > < v a l u e > < i n t > 3 9 1 < / i n t > < / v a l u e > < / i t e m > < i t e m > < k e y > < s t r i n g > 2 0 1 7   S c o p e   3 < / s t r i n g > < / k e y > < v a l u e > < i n t > 1 9 8 < / i n t > < / v a l u e > < / i t e m > < i t e m > < k e y > < s t r i n g > 2 0 1 6   S c o p e   1 < / s t r i n g > < / k e y > < v a l u e > < i n t > 1 9 8 < / i n t > < / v a l u e > < / i t e m > < i t e m > < k e y > < s t r i n g > 2 0 1 6   S c o p e   2 < / s t r i n g > < / k e y > < v a l u e > < i n t > 1 9 8 < / i n t > < / v a l u e > < / i t e m > < i t e m > < k e y > < s t r i n g > 2 0 1 6   O f f s e t s   P u r c h a s e d < / s t r i n g > < / k e y > < v a l u e > < i n t > 3 0 5 < / i n t > < / v a l u e > < / i t e m > < i t e m > < k e y > < s t r i n g > 2 0 1 6   N e t   S c o p e   1   +   2   E m i s s i o n s < / s t r i n g > < / k e y > < v a l u e > < i n t > 3 9 1 < / i n t > < / v a l u e > < / i t e m > < i t e m > < k e y > < s t r i n g > 2 0 1 6   S c o p e   3 < / s t r i n g > < / k e y > < v a l u e > < i n t > 1 9 8 < / i n t > < / v a l u e > < / i t e m > < i t e m > < k e y > < s t r i n g > 2 0 1 5   S c o p e   1 < / s t r i n g > < / k e y > < v a l u e > < i n t > 1 9 8 < / i n t > < / v a l u e > < / i t e m > < i t e m > < k e y > < s t r i n g > 2 0 1 5   S c o p e   2 < / s t r i n g > < / k e y > < v a l u e > < i n t > 1 9 8 < / i n t > < / v a l u e > < / i t e m > < i t e m > < k e y > < s t r i n g > 2 0 1 5   O f f s e t s   P u r c h a s e d < / s t r i n g > < / k e y > < v a l u e > < i n t > 3 0 5 < / i n t > < / v a l u e > < / i t e m > < i t e m > < k e y > < s t r i n g > 2 0 1 5   N e t   S c o p e   1   +   2   E m i s s i o n s < / s t r i n g > < / k e y > < v a l u e > < i n t > 3 9 1 < / i n t > < / v a l u e > < / i t e m > < i t e m > < k e y > < s t r i n g > 2 0 1 5   S c o p e   3 < / s t r i n g > < / k e y > < v a l u e > < i n t > 1 9 8 < / i n t > < / v a l u e > < / i t e m > < i t e m > < k e y > < s t r i n g > P o l i c y   A r m ? < / s t r i n g > < / k e y > < v a l u e > < i n t > 1 8 1 < / i n t > < / v a l u e > < / i t e m > < i t e m > < k e y > < s t r i n g > I n i t i a t i v e s   f o r   C a r b o n   N e u t r a l i t y < / s t r i n g > < / k e y > < v a l u e > < i n t > 3 9 0 < / i n t > < / v a l u e > < / i t e m > < i t e m > < k e y > < s t r i n g > N o t e s < / s t r i n g > < / k e y > < v a l u e > < i n t > 1 2 0 < / i n t > < / v a l u e > < / i t e m > < i t e m > < k e y > < s t r i n g > S o u r c e s < / s t r i n g > < / k e y > < v a l u e > < i n t > 1 4 0 < / i n t > < / v a l u e > < / i t e m > < i t e m > < k e y > < s t r i n g > 2 0 0 7 < / s t r i n g > < / k e y > < v a l u e > < i n t > 1 0 9 < / i n t > < / v a l u e > < / i t e m > < i t e m > < k e y > < s t r i n g > 2 0 1 5 < / s t r i n g > < / k e y > < v a l u e > < i n t > 1 0 9 < / i n t > < / v a l u e > < / i t e m > < i t e m > < k e y > < s t r i n g > 2 0 1 6 < / s t r i n g > < / k e y > < v a l u e > < i n t > 1 0 9 < / i n t > < / v a l u e > < / i t e m > < i t e m > < k e y > < s t r i n g > 2 0 1 7 < / s t r i n g > < / k e y > < v a l u e > < i n t > 1 0 9 < / i n t > < / v a l u e > < / i t e m > < i t e m > < k e y > < s t r i n g > 2 0 1 8 < / s t r i n g > < / k e y > < v a l u e > < i n t > 1 0 9 < / i n t > < / v a l u e > < / i t e m > < i t e m > < k e y > < s t r i n g > 2 0 1 9 < / s t r i n g > < / k e y > < v a l u e > < i n t > 1 0 9 < / i n t > < / v a l u e > < / i t e m > < i t e m > < k e y > < s t r i n g > 2 0 2 0 < / s t r i n g > < / k e y > < v a l u e > < i n t > 1 0 9 < / i n t > < / v a l u e > < / i t e m > < i t e m > < k e y > < s t r i n g > 2 0 2 2 < / s t r i n g > < / k e y > < v a l u e > < i n t > 1 0 9 < / i n t > < / v a l u e > < / i t e m > < i t e m > < k e y > < s t r i n g > 2 0 2 3 < / s t r i n g > < / k e y > < v a l u e > < i n t > 1 0 9 < / i n t > < / v a l u e > < / i t e m > < i t e m > < k e y > < s t r i n g > 2 0 2 5 < / s t r i n g > < / k e y > < v a l u e > < i n t > 1 0 9 < / i n t > < / v a l u e > < / i t e m > < i t e m > < k e y > < s t r i n g > 2 0 2 9 < / s t r i n g > < / k e y > < v a l u e > < i n t > 1 0 9 < / i n t > < / v a l u e > < / i t e m > < i t e m > < k e y > < s t r i n g > 2 0 3 0 < / s t r i n g > < / k e y > < v a l u e > < i n t > 1 0 9 < / i n t > < / v a l u e > < / i t e m > < i t e m > < k e y > < s t r i n g > 2 0 3 5 < / s t r i n g > < / k e y > < v a l u e > < i n t > 1 0 9 < / i n t > < / v a l u e > < / i t e m > < i t e m > < k e y > < s t r i n g > 2 0 4 0 < / s t r i n g > < / k e y > < v a l u e > < i n t > 1 0 9 < / i n t > < / v a l u e > < / i t e m > < i t e m > < k e y > < s t r i n g > 2 0 4 4 < / s t r i n g > < / k e y > < v a l u e > < i n t > 1 0 9 < / i n t > < / v a l u e > < / i t e m > < i t e m > < k e y > < s t r i n g > 2 0 5 0 < / s t r i n g > < / k e y > < v a l u e > < i n t > 1 0 9 < / i n t > < / v a l u e > < / i t e m > < / C o l u m n W i d t h s > < C o l u m n D i s p l a y I n d e x > < i t e m > < k e y > < s t r i n g > C o m p a n y   N a m e < / s t r i n g > < / k e y > < v a l u e > < i n t > 0 < / i n t > < / v a l u e > < / i t e m > < i t e m > < k e y > < s t r i n g > S e c t o r < / s t r i n g > < / k e y > < v a l u e > < i n t > 1 < / i n t > < / v a l u e > < / i t e m > < i t e m > < k e y > < s t r i n g > I n d u s t r y < / s t r i n g > < / k e y > < v a l u e > < i n t > 2 < / i n t > < / v a l u e > < / i t e m > < i t e m > < k e y > < s t r i n g > S i z e   ( 2 0 1 9   R e v e n u e ) < / s t r i n g > < / k e y > < v a l u e > < i n t > 3 < / i n t > < / v a l u e > < / i t e m > < i t e m > < k e y > < s t r i n g > N e t   E a r n i n g s / I n c o m e   ( 2 0 1 9 ) < / s t r i n g > < / k e y > < v a l u e > < i n t > 4 < / i n t > < / v a l u e > < / i t e m > < i t e m > < k e y > < s t r i n g > I P O   Y e a r < / s t r i n g > < / k e y > < v a l u e > < i n t > 5 < / i n t > < / v a l u e > < / i t e m > < i t e m > < k e y > < s t r i n g > S & a m p ; P   1 0 0 ?   ( Y / N ) < / s t r i n g > < / k e y > < v a l u e > < i n t > 6 < / i n t > < / v a l u e > < / i t e m > < i t e m > < k e y > < s t r i n g > C a r b o n   N e u t r a l   G o a l ?   ( Y / N ) < / s t r i n g > < / k e y > < v a l u e > < i n t > 7 < / i n t > < / v a l u e > < / i t e m > < i t e m > < k e y > < s t r i n g > S c i e n c e - B a s e d   T a r g e t ?   ( Y / N ) < / s t r i n g > < / k e y > < v a l u e > < i n t > 8 < / i n t > < / v a l u e > < / i t e m > < i t e m > < k e y > < s t r i n g > C a r b o n   N e u t r a l   b y . . . .   ( y e a r ) < / s t r i n g > < / k e y > < v a l u e > < i n t > 9 < / i n t > < / v a l u e > < / i t e m > < i t e m > < k e y > < s t r i n g > C a r b o n   N e u t r a l   A n n o u n c e m e n t   ( y e a r ) < / s t r i n g > < / k e y > < v a l u e > < i n t > 1 0 < / i n t > < / v a l u e > < / i t e m > < i t e m > < k e y > < s t r i n g > C a r b o n   G o a l   ( i f   n o n - z e r o ) < / s t r i n g > < / k e y > < v a l u e > < i n t > 1 1 < / i n t > < / v a l u e > < / i t e m > < i t e m > < k e y > < s t r i n g > R e l i a n c e   o n   O f f s e t s ?   ( Y / N ) < / s t r i n g > < / k e y > < v a l u e > < i n t > 1 2 < / i n t > < / v a l u e > < / i t e m > < i t e m > < k e y > < s t r i n g > R E 1 0 0   C o m m i t m e n t ?   ( Y / N ) < / s t r i n g > < / k e y > < v a l u e > < i n t > 1 3 < / i n t > < / v a l u e > < / i t e m > < i t e m > < k e y > < s t r i n g > 1 0 0 %   R e n e w a b l e   E n e r g y   b y . . .   ( y e a r ) < / s t r i n g > < / k e y > < v a l u e > < i n t > 1 4 < / i n t > < / v a l u e > < / i t e m > < i t e m > < k e y > < s t r i n g > 2 0 1 9   S c o p e   1   ( M e T   C o 2 ) < / s t r i n g > < / k e y > < v a l u e > < i n t > 1 5 < / i n t > < / v a l u e > < / i t e m > < i t e m > < k e y > < s t r i n g > 2 0 1 9   S c o p e   2 < / s t r i n g > < / k e y > < v a l u e > < i n t > 1 6 < / i n t > < / v a l u e > < / i t e m > < i t e m > < k e y > < s t r i n g > 2 0 1 9   O f f s e t s   P u r c h a s e d < / s t r i n g > < / k e y > < v a l u e > < i n t > 1 7 < / i n t > < / v a l u e > < / i t e m > < i t e m > < k e y > < s t r i n g > 2 0 1 9   N e t   S c o p e   1   +   2   E m i s s i o n s < / s t r i n g > < / k e y > < v a l u e > < i n t > 1 8 < / i n t > < / v a l u e > < / i t e m > < i t e m > < k e y > < s t r i n g > 2 0 1 9   S c o p e   3 < / s t r i n g > < / k e y > < v a l u e > < i n t > 1 9 < / i n t > < / v a l u e > < / i t e m > < i t e m > < k e y > < s t r i n g > 2 0 1 8   S c o p e   1 < / s t r i n g > < / k e y > < v a l u e > < i n t > 2 0 < / i n t > < / v a l u e > < / i t e m > < i t e m > < k e y > < s t r i n g > 2 0 1 8   S c o p e   2 < / s t r i n g > < / k e y > < v a l u e > < i n t > 2 1 < / i n t > < / v a l u e > < / i t e m > < i t e m > < k e y > < s t r i n g > 2 0 1 8   O f f s e t s   P u r c h a s e d < / s t r i n g > < / k e y > < v a l u e > < i n t > 2 2 < / i n t > < / v a l u e > < / i t e m > < i t e m > < k e y > < s t r i n g > 2 0 1 8   N e t   S c o p e   1   +   2   E m i s s i o n s < / s t r i n g > < / k e y > < v a l u e > < i n t > 2 3 < / i n t > < / v a l u e > < / i t e m > < i t e m > < k e y > < s t r i n g > 2 0 1 8   S c o p e   3 < / s t r i n g > < / k e y > < v a l u e > < i n t > 2 4 < / i n t > < / v a l u e > < / i t e m > < i t e m > < k e y > < s t r i n g > 2 0 1 7   S c o p e   1 < / s t r i n g > < / k e y > < v a l u e > < i n t > 2 5 < / i n t > < / v a l u e > < / i t e m > < i t e m > < k e y > < s t r i n g > 2 0 1 7   S c o p e   2 < / s t r i n g > < / k e y > < v a l u e > < i n t > 2 6 < / i n t > < / v a l u e > < / i t e m > < i t e m > < k e y > < s t r i n g > 2 0 1 7   O f f s e t s   P u r c h a s e d < / s t r i n g > < / k e y > < v a l u e > < i n t > 2 7 < / i n t > < / v a l u e > < / i t e m > < i t e m > < k e y > < s t r i n g > 2 0 1 7   N e t   S c o p e   1   +   2   E m i s s i o n s < / s t r i n g > < / k e y > < v a l u e > < i n t > 2 8 < / i n t > < / v a l u e > < / i t e m > < i t e m > < k e y > < s t r i n g > 2 0 1 7   S c o p e   3 < / s t r i n g > < / k e y > < v a l u e > < i n t > 2 9 < / i n t > < / v a l u e > < / i t e m > < i t e m > < k e y > < s t r i n g > 2 0 1 6   S c o p e   1 < / s t r i n g > < / k e y > < v a l u e > < i n t > 3 0 < / i n t > < / v a l u e > < / i t e m > < i t e m > < k e y > < s t r i n g > 2 0 1 6   S c o p e   2 < / s t r i n g > < / k e y > < v a l u e > < i n t > 3 1 < / i n t > < / v a l u e > < / i t e m > < i t e m > < k e y > < s t r i n g > 2 0 1 6   O f f s e t s   P u r c h a s e d < / s t r i n g > < / k e y > < v a l u e > < i n t > 3 2 < / i n t > < / v a l u e > < / i t e m > < i t e m > < k e y > < s t r i n g > 2 0 1 6   N e t   S c o p e   1   +   2   E m i s s i o n s < / s t r i n g > < / k e y > < v a l u e > < i n t > 3 3 < / i n t > < / v a l u e > < / i t e m > < i t e m > < k e y > < s t r i n g > 2 0 1 6   S c o p e   3 < / s t r i n g > < / k e y > < v a l u e > < i n t > 3 4 < / i n t > < / v a l u e > < / i t e m > < i t e m > < k e y > < s t r i n g > 2 0 1 5   S c o p e   1 < / s t r i n g > < / k e y > < v a l u e > < i n t > 3 5 < / i n t > < / v a l u e > < / i t e m > < i t e m > < k e y > < s t r i n g > 2 0 1 5   S c o p e   2 < / s t r i n g > < / k e y > < v a l u e > < i n t > 3 6 < / i n t > < / v a l u e > < / i t e m > < i t e m > < k e y > < s t r i n g > 2 0 1 5   O f f s e t s   P u r c h a s e d < / s t r i n g > < / k e y > < v a l u e > < i n t > 3 7 < / i n t > < / v a l u e > < / i t e m > < i t e m > < k e y > < s t r i n g > 2 0 1 5   N e t   S c o p e   1   +   2   E m i s s i o n s < / s t r i n g > < / k e y > < v a l u e > < i n t > 3 8 < / i n t > < / v a l u e > < / i t e m > < i t e m > < k e y > < s t r i n g > 2 0 1 5   S c o p e   3 < / s t r i n g > < / k e y > < v a l u e > < i n t > 3 9 < / i n t > < / v a l u e > < / i t e m > < i t e m > < k e y > < s t r i n g > P o l i c y   A r m ? < / s t r i n g > < / k e y > < v a l u e > < i n t > 4 0 < / i n t > < / v a l u e > < / i t e m > < i t e m > < k e y > < s t r i n g > I n i t i a t i v e s   f o r   C a r b o n   N e u t r a l i t y < / s t r i n g > < / k e y > < v a l u e > < i n t > 4 1 < / i n t > < / v a l u e > < / i t e m > < i t e m > < k e y > < s t r i n g > N o t e s < / s t r i n g > < / k e y > < v a l u e > < i n t > 4 2 < / i n t > < / v a l u e > < / i t e m > < i t e m > < k e y > < s t r i n g > S o u r c e s < / s t r i n g > < / k e y > < v a l u e > < i n t > 4 3 < / i n t > < / v a l u e > < / i t e m > < i t e m > < k e y > < s t r i n g > 2 0 0 7 < / s t r i n g > < / k e y > < v a l u e > < i n t > 4 4 < / i n t > < / v a l u e > < / i t e m > < i t e m > < k e y > < s t r i n g > 2 0 1 5 < / s t r i n g > < / k e y > < v a l u e > < i n t > 4 5 < / i n t > < / v a l u e > < / i t e m > < i t e m > < k e y > < s t r i n g > 2 0 1 6 < / s t r i n g > < / k e y > < v a l u e > < i n t > 4 6 < / i n t > < / v a l u e > < / i t e m > < i t e m > < k e y > < s t r i n g > 2 0 1 7 < / s t r i n g > < / k e y > < v a l u e > < i n t > 4 7 < / i n t > < / v a l u e > < / i t e m > < i t e m > < k e y > < s t r i n g > 2 0 1 8 < / s t r i n g > < / k e y > < v a l u e > < i n t > 4 8 < / i n t > < / v a l u e > < / i t e m > < i t e m > < k e y > < s t r i n g > 2 0 1 9 < / s t r i n g > < / k e y > < v a l u e > < i n t > 4 9 < / i n t > < / v a l u e > < / i t e m > < i t e m > < k e y > < s t r i n g > 2 0 2 0 < / s t r i n g > < / k e y > < v a l u e > < i n t > 5 0 < / i n t > < / v a l u e > < / i t e m > < i t e m > < k e y > < s t r i n g > 2 0 2 2 < / s t r i n g > < / k e y > < v a l u e > < i n t > 5 1 < / i n t > < / v a l u e > < / i t e m > < i t e m > < k e y > < s t r i n g > 2 0 2 3 < / s t r i n g > < / k e y > < v a l u e > < i n t > 5 2 < / i n t > < / v a l u e > < / i t e m > < i t e m > < k e y > < s t r i n g > 2 0 2 5 < / s t r i n g > < / k e y > < v a l u e > < i n t > 5 3 < / i n t > < / v a l u e > < / i t e m > < i t e m > < k e y > < s t r i n g > 2 0 2 9 < / s t r i n g > < / k e y > < v a l u e > < i n t > 5 4 < / i n t > < / v a l u e > < / i t e m > < i t e m > < k e y > < s t r i n g > 2 0 3 0 < / s t r i n g > < / k e y > < v a l u e > < i n t > 5 5 < / i n t > < / v a l u e > < / i t e m > < i t e m > < k e y > < s t r i n g > 2 0 3 5 < / s t r i n g > < / k e y > < v a l u e > < i n t > 5 6 < / i n t > < / v a l u e > < / i t e m > < i t e m > < k e y > < s t r i n g > 2 0 4 0 < / s t r i n g > < / k e y > < v a l u e > < i n t > 5 7 < / i n t > < / v a l u e > < / i t e m > < i t e m > < k e y > < s t r i n g > 2 0 4 4 < / s t r i n g > < / k e y > < v a l u e > < i n t > 5 8 < / i n t > < / v a l u e > < / i t e m > < i t e m > < k e y > < s t r i n g > 2 0 5 0 < / s t r i n g > < / k e y > < v a l u e > < i n t > 5 9 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T a b l e 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B1FE6BD5-4A30-4787-96CA-4A8AA9E641CE}">
  <ds:schemaRefs>
    <ds:schemaRef ds:uri="http://gemini/pivotcustomization/SandboxNonEmpty"/>
  </ds:schemaRefs>
</ds:datastoreItem>
</file>

<file path=customXml/itemProps10.xml><?xml version="1.0" encoding="utf-8"?>
<ds:datastoreItem xmlns:ds="http://schemas.openxmlformats.org/officeDocument/2006/customXml" ds:itemID="{4C7F21FD-D173-4954-9A09-7A16241193A7}">
  <ds:schemaRefs>
    <ds:schemaRef ds:uri="http://gemini/pivotcustomization/PowerPivotVersion"/>
  </ds:schemaRefs>
</ds:datastoreItem>
</file>

<file path=customXml/itemProps11.xml><?xml version="1.0" encoding="utf-8"?>
<ds:datastoreItem xmlns:ds="http://schemas.openxmlformats.org/officeDocument/2006/customXml" ds:itemID="{2DF007CB-EFF8-462F-AE44-B9820558C57C}">
  <ds:schemaRefs>
    <ds:schemaRef ds:uri="http://gemini/pivotcustomization/FormulaBarState"/>
  </ds:schemaRefs>
</ds:datastoreItem>
</file>

<file path=customXml/itemProps12.xml><?xml version="1.0" encoding="utf-8"?>
<ds:datastoreItem xmlns:ds="http://schemas.openxmlformats.org/officeDocument/2006/customXml" ds:itemID="{49097C70-4B4A-4D40-9502-7DAE8FE59AD7}">
  <ds:schemaRefs>
    <ds:schemaRef ds:uri="http://gemini/pivotcustomization/Diagrams"/>
  </ds:schemaRefs>
</ds:datastoreItem>
</file>

<file path=customXml/itemProps13.xml><?xml version="1.0" encoding="utf-8"?>
<ds:datastoreItem xmlns:ds="http://schemas.openxmlformats.org/officeDocument/2006/customXml" ds:itemID="{BED47B6D-B9E4-482A-B768-2881B4C7C783}">
  <ds:schemaRefs>
    <ds:schemaRef ds:uri="http://gemini/pivotcustomization/ManualCalcMode"/>
  </ds:schemaRefs>
</ds:datastoreItem>
</file>

<file path=customXml/itemProps14.xml><?xml version="1.0" encoding="utf-8"?>
<ds:datastoreItem xmlns:ds="http://schemas.openxmlformats.org/officeDocument/2006/customXml" ds:itemID="{2C53A1DF-4D11-4C5E-8E6D-2CB7FBF9CF36}">
  <ds:schemaRefs>
    <ds:schemaRef ds:uri="http://gemini/pivotcustomization/RelationshipAutoDetectionEnabled"/>
  </ds:schemaRefs>
</ds:datastoreItem>
</file>

<file path=customXml/itemProps15.xml><?xml version="1.0" encoding="utf-8"?>
<ds:datastoreItem xmlns:ds="http://schemas.openxmlformats.org/officeDocument/2006/customXml" ds:itemID="{C52C42D5-A088-4722-80C0-B6A93377AD8A}">
  <ds:schemaRefs>
    <ds:schemaRef ds:uri="http://gemini/pivotcustomization/MeasureGridState"/>
  </ds:schemaRefs>
</ds:datastoreItem>
</file>

<file path=customXml/itemProps16.xml><?xml version="1.0" encoding="utf-8"?>
<ds:datastoreItem xmlns:ds="http://schemas.openxmlformats.org/officeDocument/2006/customXml" ds:itemID="{7F18D981-4E96-49E6-B154-CDC6D1088E66}">
  <ds:schemaRefs>
    <ds:schemaRef ds:uri="http://gemini/pivotcustomization/TableWidget"/>
  </ds:schemaRefs>
</ds:datastoreItem>
</file>

<file path=customXml/itemProps2.xml><?xml version="1.0" encoding="utf-8"?>
<ds:datastoreItem xmlns:ds="http://schemas.openxmlformats.org/officeDocument/2006/customXml" ds:itemID="{121C9889-2A96-4951-9E69-A9D647F5F94D}">
  <ds:schemaRefs>
    <ds:schemaRef ds:uri="http://gemini/pivotcustomization/ErrorCache"/>
  </ds:schemaRefs>
</ds:datastoreItem>
</file>

<file path=customXml/itemProps3.xml><?xml version="1.0" encoding="utf-8"?>
<ds:datastoreItem xmlns:ds="http://schemas.openxmlformats.org/officeDocument/2006/customXml" ds:itemID="{C3DC4AB6-9A92-42C3-96A9-E293D8DC2BDA}">
  <ds:schemaRefs>
    <ds:schemaRef ds:uri="http://gemini/pivotcustomization/TableXML_Table1"/>
  </ds:schemaRefs>
</ds:datastoreItem>
</file>

<file path=customXml/itemProps4.xml><?xml version="1.0" encoding="utf-8"?>
<ds:datastoreItem xmlns:ds="http://schemas.openxmlformats.org/officeDocument/2006/customXml" ds:itemID="{2709A323-C744-4B3F-B0D5-66D83C405879}">
  <ds:schemaRefs>
    <ds:schemaRef ds:uri="http://gemini/pivotcustomization/IsSandboxEmbedded"/>
  </ds:schemaRefs>
</ds:datastoreItem>
</file>

<file path=customXml/itemProps5.xml><?xml version="1.0" encoding="utf-8"?>
<ds:datastoreItem xmlns:ds="http://schemas.openxmlformats.org/officeDocument/2006/customXml" ds:itemID="{44E30152-CB53-4EF6-A495-3745C2D44813}">
  <ds:schemaRefs>
    <ds:schemaRef ds:uri="http://gemini/pivotcustomization/ShowImplicitMeasures"/>
  </ds:schemaRefs>
</ds:datastoreItem>
</file>

<file path=customXml/itemProps6.xml><?xml version="1.0" encoding="utf-8"?>
<ds:datastoreItem xmlns:ds="http://schemas.openxmlformats.org/officeDocument/2006/customXml" ds:itemID="{729C1D0C-6BC0-4EA6-A2A1-EAD76443E6F3}">
  <ds:schemaRefs>
    <ds:schemaRef ds:uri="http://gemini/pivotcustomization/ShowHidden"/>
  </ds:schemaRefs>
</ds:datastoreItem>
</file>

<file path=customXml/itemProps7.xml><?xml version="1.0" encoding="utf-8"?>
<ds:datastoreItem xmlns:ds="http://schemas.openxmlformats.org/officeDocument/2006/customXml" ds:itemID="{8AC283E2-4F0F-4201-93B8-17DEE984007A}">
  <ds:schemaRefs>
    <ds:schemaRef ds:uri="http://gemini/pivotcustomization/TableOrder"/>
  </ds:schemaRefs>
</ds:datastoreItem>
</file>

<file path=customXml/itemProps8.xml><?xml version="1.0" encoding="utf-8"?>
<ds:datastoreItem xmlns:ds="http://schemas.openxmlformats.org/officeDocument/2006/customXml" ds:itemID="{48980BAF-B3C4-4A2A-ADCF-A51AC5789B62}">
  <ds:schemaRefs>
    <ds:schemaRef ds:uri="http://gemini/pivotcustomization/LinkedTableUpdateMode"/>
  </ds:schemaRefs>
</ds:datastoreItem>
</file>

<file path=customXml/itemProps9.xml><?xml version="1.0" encoding="utf-8"?>
<ds:datastoreItem xmlns:ds="http://schemas.openxmlformats.org/officeDocument/2006/customXml" ds:itemID="{93CA14C1-B02C-454D-A1B6-3CFAE449071C}">
  <ds:schemaRefs>
    <ds:schemaRef ds:uri="http://gemini/pivotcustomization/ClientWindowXM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Sheet2</vt:lpstr>
      <vt:lpstr>company</vt:lpstr>
      <vt:lpstr>sector</vt:lpstr>
      <vt:lpstr>assumption</vt:lpstr>
      <vt:lpstr>k_cost</vt:lpstr>
      <vt:lpstr>k_rev_max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Edmunds</dc:creator>
  <cp:keywords/>
  <dc:description/>
  <cp:lastModifiedBy>Generic</cp:lastModifiedBy>
  <cp:revision/>
  <dcterms:created xsi:type="dcterms:W3CDTF">2020-06-04T19:09:35Z</dcterms:created>
  <dcterms:modified xsi:type="dcterms:W3CDTF">2021-07-05T14:39:56Z</dcterms:modified>
  <cp:category/>
  <cp:contentStatus/>
</cp:coreProperties>
</file>