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ayjogani/Desktop/"/>
    </mc:Choice>
  </mc:AlternateContent>
  <xr:revisionPtr revIDLastSave="0" documentId="13_ncr:1_{56821F8A-F81F-E344-B1FC-30EB01CCE2BF}" xr6:coauthVersionLast="47" xr6:coauthVersionMax="47" xr10:uidLastSave="{00000000-0000-0000-0000-000000000000}"/>
  <bookViews>
    <workbookView xWindow="29400" yWindow="0" windowWidth="38400" windowHeight="21600" activeTab="4" xr2:uid="{AA004A5E-608D-E449-86CF-7B58494732AD}"/>
  </bookViews>
  <sheets>
    <sheet name="Budget Planner" sheetId="1" r:id="rId1"/>
    <sheet name="Debt Payoff" sheetId="2" r:id="rId2"/>
    <sheet name="Investment" sheetId="4" r:id="rId3"/>
    <sheet name="Emergency Fund" sheetId="3" r:id="rId4"/>
    <sheet name="Dasboard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B41" i="1"/>
  <c r="D47" i="1"/>
  <c r="D48" i="1"/>
  <c r="B40" i="1"/>
  <c r="B4" i="5"/>
  <c r="B5" i="5"/>
  <c r="B10" i="5"/>
  <c r="B11" i="5"/>
  <c r="B12" i="5"/>
  <c r="B15" i="5"/>
  <c r="B16" i="5"/>
  <c r="B17" i="5"/>
  <c r="B20" i="5"/>
  <c r="B21" i="5"/>
  <c r="B22" i="5"/>
  <c r="A79" i="3"/>
  <c r="A80" i="3"/>
  <c r="A81" i="3"/>
  <c r="B72" i="3"/>
  <c r="B73" i="3"/>
  <c r="B74" i="3"/>
  <c r="B75" i="3"/>
  <c r="B76" i="3"/>
  <c r="C44" i="3"/>
  <c r="D44" i="3" s="1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36" i="3"/>
  <c r="B37" i="3" s="1"/>
  <c r="B38" i="3" s="1"/>
  <c r="B39" i="3" s="1"/>
  <c r="B26" i="3"/>
  <c r="B27" i="3"/>
  <c r="B28" i="3" s="1"/>
  <c r="B29" i="3" s="1"/>
  <c r="B18" i="3"/>
  <c r="C18" i="3"/>
  <c r="B19" i="3"/>
  <c r="C19" i="3"/>
  <c r="B20" i="3"/>
  <c r="B10" i="3"/>
  <c r="B11" i="3" s="1"/>
  <c r="B12" i="3" s="1"/>
  <c r="B13" i="3" s="1"/>
  <c r="B89" i="4"/>
  <c r="B90" i="4"/>
  <c r="B91" i="4"/>
  <c r="B92" i="4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63" i="4"/>
  <c r="B64" i="4"/>
  <c r="B65" i="4" s="1"/>
  <c r="B66" i="4" s="1"/>
  <c r="C55" i="4"/>
  <c r="D55" i="4" s="1"/>
  <c r="C56" i="4"/>
  <c r="D56" i="4" s="1"/>
  <c r="C57" i="4"/>
  <c r="D57" i="4" s="1"/>
  <c r="B20" i="4"/>
  <c r="E20" i="4"/>
  <c r="B21" i="4" s="1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B11" i="4"/>
  <c r="B12" i="4"/>
  <c r="B15" i="4"/>
  <c r="B47" i="2"/>
  <c r="H9" i="2"/>
  <c r="F9" i="2"/>
  <c r="B44" i="2"/>
  <c r="B45" i="2"/>
  <c r="B46" i="2"/>
  <c r="B30" i="2"/>
  <c r="E30" i="2"/>
  <c r="C30" i="2" s="1"/>
  <c r="B31" i="2"/>
  <c r="B32" i="2"/>
  <c r="B33" i="2"/>
  <c r="B34" i="2"/>
  <c r="B35" i="2"/>
  <c r="B36" i="2"/>
  <c r="B37" i="2"/>
  <c r="B38" i="2"/>
  <c r="B39" i="2"/>
  <c r="B40" i="2"/>
  <c r="B41" i="2"/>
  <c r="A22" i="2"/>
  <c r="B22" i="2"/>
  <c r="A23" i="2"/>
  <c r="B23" i="2"/>
  <c r="A24" i="2"/>
  <c r="B24" i="2"/>
  <c r="A25" i="2"/>
  <c r="B25" i="2"/>
  <c r="C14" i="2"/>
  <c r="D14" i="2"/>
  <c r="B17" i="2" s="1"/>
  <c r="C15" i="2"/>
  <c r="D15" i="2"/>
  <c r="F4" i="2"/>
  <c r="G4" i="2" s="1"/>
  <c r="F5" i="2"/>
  <c r="G5" i="2" s="1"/>
  <c r="F6" i="2"/>
  <c r="G6" i="2" s="1"/>
  <c r="F7" i="2"/>
  <c r="G7" i="2" s="1"/>
  <c r="B9" i="2"/>
  <c r="B52" i="1"/>
  <c r="B53" i="1"/>
  <c r="B8" i="1"/>
  <c r="B46" i="1" s="1"/>
  <c r="B18" i="1"/>
  <c r="B39" i="1" s="1"/>
  <c r="B28" i="1"/>
  <c r="B35" i="1"/>
  <c r="C45" i="3" l="1"/>
  <c r="B14" i="3"/>
  <c r="B83" i="4"/>
  <c r="B84" i="4"/>
  <c r="B85" i="4"/>
  <c r="D21" i="4"/>
  <c r="E21" i="4"/>
  <c r="B22" i="4" s="1"/>
  <c r="B13" i="4"/>
  <c r="B14" i="4"/>
  <c r="D30" i="2"/>
  <c r="E31" i="2" s="1"/>
  <c r="C31" i="2"/>
  <c r="D31" i="2" s="1"/>
  <c r="H6" i="2"/>
  <c r="H5" i="2"/>
  <c r="H4" i="2"/>
  <c r="H7" i="2"/>
  <c r="C46" i="1"/>
  <c r="C47" i="1"/>
  <c r="C48" i="1"/>
  <c r="B48" i="1"/>
  <c r="B38" i="1"/>
  <c r="B47" i="1"/>
  <c r="D45" i="3" l="1"/>
  <c r="C46" i="3"/>
  <c r="D22" i="4"/>
  <c r="E22" i="4"/>
  <c r="B23" i="4" s="1"/>
  <c r="C32" i="2"/>
  <c r="D32" i="2" s="1"/>
  <c r="E32" i="2"/>
  <c r="C47" i="3" l="1"/>
  <c r="D46" i="3"/>
  <c r="D23" i="4"/>
  <c r="E23" i="4"/>
  <c r="B24" i="4" s="1"/>
  <c r="C33" i="2"/>
  <c r="D33" i="2" s="1"/>
  <c r="E33" i="2"/>
  <c r="D47" i="3" l="1"/>
  <c r="C48" i="3"/>
  <c r="D24" i="4"/>
  <c r="E24" i="4"/>
  <c r="B25" i="4" s="1"/>
  <c r="C34" i="2"/>
  <c r="D34" i="2" s="1"/>
  <c r="E34" i="2"/>
  <c r="D48" i="3" l="1"/>
  <c r="C49" i="3"/>
  <c r="D25" i="4"/>
  <c r="E25" i="4"/>
  <c r="B26" i="4" s="1"/>
  <c r="C35" i="2"/>
  <c r="D35" i="2" s="1"/>
  <c r="E35" i="2"/>
  <c r="D49" i="3" l="1"/>
  <c r="C50" i="3"/>
  <c r="D26" i="4"/>
  <c r="E26" i="4"/>
  <c r="B27" i="4" s="1"/>
  <c r="C36" i="2"/>
  <c r="D36" i="2" s="1"/>
  <c r="E36" i="2"/>
  <c r="D50" i="3" l="1"/>
  <c r="C51" i="3"/>
  <c r="D27" i="4"/>
  <c r="E27" i="4"/>
  <c r="B28" i="4" s="1"/>
  <c r="C37" i="2"/>
  <c r="D37" i="2" s="1"/>
  <c r="E37" i="2"/>
  <c r="C52" i="3" l="1"/>
  <c r="D51" i="3"/>
  <c r="D28" i="4"/>
  <c r="E28" i="4"/>
  <c r="B29" i="4" s="1"/>
  <c r="C38" i="2"/>
  <c r="D38" i="2" s="1"/>
  <c r="E38" i="2"/>
  <c r="D52" i="3" l="1"/>
  <c r="C53" i="3"/>
  <c r="D29" i="4"/>
  <c r="E29" i="4"/>
  <c r="B30" i="4" s="1"/>
  <c r="C39" i="2"/>
  <c r="D39" i="2" s="1"/>
  <c r="E39" i="2"/>
  <c r="D53" i="3" l="1"/>
  <c r="C54" i="3"/>
  <c r="D30" i="4"/>
  <c r="E30" i="4"/>
  <c r="B31" i="4" s="1"/>
  <c r="C40" i="2"/>
  <c r="D40" i="2" s="1"/>
  <c r="E40" i="2"/>
  <c r="C55" i="3" l="1"/>
  <c r="D54" i="3"/>
  <c r="D31" i="4"/>
  <c r="E31" i="4"/>
  <c r="B32" i="4" s="1"/>
  <c r="C41" i="2"/>
  <c r="D41" i="2" s="1"/>
  <c r="E41" i="2"/>
  <c r="D55" i="3" l="1"/>
  <c r="C56" i="3"/>
  <c r="D32" i="4"/>
  <c r="E32" i="4"/>
  <c r="B33" i="4" s="1"/>
  <c r="D56" i="3" l="1"/>
  <c r="C57" i="3"/>
  <c r="D33" i="4"/>
  <c r="E33" i="4"/>
  <c r="B34" i="4" s="1"/>
  <c r="D57" i="3" l="1"/>
  <c r="C58" i="3"/>
  <c r="D34" i="4"/>
  <c r="E34" i="4"/>
  <c r="B35" i="4" s="1"/>
  <c r="D58" i="3" l="1"/>
  <c r="C59" i="3"/>
  <c r="D35" i="4"/>
  <c r="E35" i="4"/>
  <c r="B36" i="4" s="1"/>
  <c r="C60" i="3" l="1"/>
  <c r="D59" i="3"/>
  <c r="D36" i="4"/>
  <c r="E36" i="4"/>
  <c r="B37" i="4" s="1"/>
  <c r="D60" i="3" l="1"/>
  <c r="C61" i="3"/>
  <c r="D37" i="4"/>
  <c r="E37" i="4"/>
  <c r="B38" i="4" s="1"/>
  <c r="D61" i="3" l="1"/>
  <c r="C62" i="3"/>
  <c r="D38" i="4"/>
  <c r="E38" i="4"/>
  <c r="B39" i="4" s="1"/>
  <c r="C63" i="3" l="1"/>
  <c r="D62" i="3"/>
  <c r="D39" i="4"/>
  <c r="E39" i="4"/>
  <c r="B40" i="4" s="1"/>
  <c r="D63" i="3" l="1"/>
  <c r="C64" i="3"/>
  <c r="D40" i="4"/>
  <c r="E40" i="4"/>
  <c r="B41" i="4" s="1"/>
  <c r="D64" i="3" l="1"/>
  <c r="C65" i="3"/>
  <c r="D41" i="4"/>
  <c r="E41" i="4"/>
  <c r="B42" i="4" s="1"/>
  <c r="D65" i="3" l="1"/>
  <c r="C66" i="3"/>
  <c r="D42" i="4"/>
  <c r="E42" i="4"/>
  <c r="B43" i="4" s="1"/>
  <c r="D66" i="3" l="1"/>
  <c r="C67" i="3"/>
  <c r="D43" i="4"/>
  <c r="E43" i="4"/>
  <c r="B44" i="4" s="1"/>
  <c r="C68" i="3" l="1"/>
  <c r="D68" i="3" s="1"/>
  <c r="D67" i="3"/>
  <c r="D44" i="4"/>
  <c r="E44" i="4"/>
  <c r="B45" i="4" s="1"/>
  <c r="D45" i="4" l="1"/>
  <c r="E45" i="4"/>
  <c r="B46" i="4" s="1"/>
  <c r="D46" i="4" l="1"/>
  <c r="E46" i="4"/>
  <c r="B47" i="4" s="1"/>
  <c r="D47" i="4" l="1"/>
  <c r="E47" i="4"/>
  <c r="B48" i="4" s="1"/>
  <c r="D48" i="4" l="1"/>
  <c r="E48" i="4"/>
  <c r="B49" i="4" s="1"/>
  <c r="D49" i="4" l="1"/>
  <c r="E49" i="4"/>
  <c r="B50" i="4" s="1"/>
  <c r="D50" i="4" l="1"/>
  <c r="E50" i="4"/>
  <c r="B42" i="1"/>
  <c r="B7" i="5" s="1"/>
  <c r="B6" i="5"/>
  <c r="B54" i="1"/>
  <c r="B55" i="1" l="1"/>
</calcChain>
</file>

<file path=xl/sharedStrings.xml><?xml version="1.0" encoding="utf-8"?>
<sst xmlns="http://schemas.openxmlformats.org/spreadsheetml/2006/main" count="197" uniqueCount="184">
  <si>
    <t>MONTHLY BUDGET PLANNER</t>
  </si>
  <si>
    <t>INCOME SOURCES</t>
  </si>
  <si>
    <t>Salary</t>
  </si>
  <si>
    <t>Freelance</t>
  </si>
  <si>
    <t>Investment Income</t>
  </si>
  <si>
    <t>Other</t>
  </si>
  <si>
    <t>TOTAL INCOME</t>
  </si>
  <si>
    <t>FIXED EXPENSES</t>
  </si>
  <si>
    <t>Rent/Mortgage</t>
  </si>
  <si>
    <t>Car Payment</t>
  </si>
  <si>
    <t>Insurance</t>
  </si>
  <si>
    <t>Utilities</t>
  </si>
  <si>
    <t>Phone/Internet</t>
  </si>
  <si>
    <t>Subscriptions</t>
  </si>
  <si>
    <t>Debt Payments</t>
  </si>
  <si>
    <t>TOTAL FIXED</t>
  </si>
  <si>
    <t>VARIABLE EXPENSES</t>
  </si>
  <si>
    <t>Groceries</t>
  </si>
  <si>
    <t>Restaurants</t>
  </si>
  <si>
    <t>Gas/Transportation</t>
  </si>
  <si>
    <t>Entertainment</t>
  </si>
  <si>
    <t>Shopping</t>
  </si>
  <si>
    <t>Personal Care</t>
  </si>
  <si>
    <t>Miscellaneous</t>
  </si>
  <si>
    <t>TOTAL VARIABLE</t>
  </si>
  <si>
    <t>SAVINGS GOALS</t>
  </si>
  <si>
    <t>Emergency Fund</t>
  </si>
  <si>
    <t>Retirement</t>
  </si>
  <si>
    <t>Vacation</t>
  </si>
  <si>
    <t>Other Savings</t>
  </si>
  <si>
    <t>TOTAL SAVINGS</t>
  </si>
  <si>
    <t>SUMMARY</t>
  </si>
  <si>
    <t>Total Income</t>
  </si>
  <si>
    <t>Total Expenses</t>
  </si>
  <si>
    <t>Total Savings</t>
  </si>
  <si>
    <t>NET CASH FLOW</t>
  </si>
  <si>
    <t>Savings Rate %</t>
  </si>
  <si>
    <t>WHAT-IF SCENARIOS</t>
  </si>
  <si>
    <t>Scenario</t>
  </si>
  <si>
    <t>Income Change</t>
  </si>
  <si>
    <t>Expense Change</t>
  </si>
  <si>
    <t>New Cash Flow</t>
  </si>
  <si>
    <t>Best Case (+10%)</t>
  </si>
  <si>
    <t>Base Case</t>
  </si>
  <si>
    <t>Worst Case (-10%)</t>
  </si>
  <si>
    <t>MONTHLY SUMMARY</t>
  </si>
  <si>
    <t>Income:</t>
  </si>
  <si>
    <t>Expenses:</t>
  </si>
  <si>
    <t>Savings:</t>
  </si>
  <si>
    <t>Remaining:</t>
  </si>
  <si>
    <t>DEBT PAYOFF CALCULATOR</t>
  </si>
  <si>
    <t>Debt Name</t>
  </si>
  <si>
    <t>Balance</t>
  </si>
  <si>
    <t>Interest Rate</t>
  </si>
  <si>
    <t>Min Payment</t>
  </si>
  <si>
    <t>Extra Payment</t>
  </si>
  <si>
    <t>Total Payment</t>
  </si>
  <si>
    <t>Months to Payoff</t>
  </si>
  <si>
    <t>Total Interest</t>
  </si>
  <si>
    <t>Credit Card 1</t>
  </si>
  <si>
    <t>Credit Card 2</t>
  </si>
  <si>
    <t>Student Loan</t>
  </si>
  <si>
    <t>Car Loan</t>
  </si>
  <si>
    <t>TOTALS</t>
  </si>
  <si>
    <t>DEBT PAYOFF STRATEGIES</t>
  </si>
  <si>
    <t>Strategy</t>
  </si>
  <si>
    <t>Order</t>
  </si>
  <si>
    <t>Total Time</t>
  </si>
  <si>
    <t>Snowball</t>
  </si>
  <si>
    <t>Lowest Bal First</t>
  </si>
  <si>
    <t>Avalanche</t>
  </si>
  <si>
    <t>Highest Rate First</t>
  </si>
  <si>
    <t>Recommended:</t>
  </si>
  <si>
    <t>PAYOFF TIMELINE</t>
  </si>
  <si>
    <t>Debt</t>
  </si>
  <si>
    <t>Payoff Date</t>
  </si>
  <si>
    <t>SAMPLE AMORTIZATION (First Debt)</t>
  </si>
  <si>
    <t>Month</t>
  </si>
  <si>
    <t>Payment</t>
  </si>
  <si>
    <t>Interest</t>
  </si>
  <si>
    <t>Principal</t>
  </si>
  <si>
    <t>KEY INSIGHTS</t>
  </si>
  <si>
    <t>- Fastest payoff:</t>
  </si>
  <si>
    <t>- Highest interest cost:</t>
  </si>
  <si>
    <t>- Total debt free date:</t>
  </si>
  <si>
    <t>- Monthly commitment:</t>
  </si>
  <si>
    <t>INVESTMENT GROWTH PROJECTION</t>
  </si>
  <si>
    <t>INPUTS</t>
  </si>
  <si>
    <t>Initial Investment</t>
  </si>
  <si>
    <t>Monthly Contribution</t>
  </si>
  <si>
    <t>Annual Return Rate</t>
  </si>
  <si>
    <t>Investment Period (Years)</t>
  </si>
  <si>
    <t>Investment Fees</t>
  </si>
  <si>
    <t>RESULTS</t>
  </si>
  <si>
    <t>Future Value</t>
  </si>
  <si>
    <t>Total Contributions</t>
  </si>
  <si>
    <t>Total Earnings</t>
  </si>
  <si>
    <t>Growth Multiplier</t>
  </si>
  <si>
    <t>Net Return (After Fees)</t>
  </si>
  <si>
    <t>YEAR-BY-YEAR PROJECTION</t>
  </si>
  <si>
    <t>Year</t>
  </si>
  <si>
    <t>Beginning</t>
  </si>
  <si>
    <t>Contributions</t>
  </si>
  <si>
    <t>Returns</t>
  </si>
  <si>
    <t>Ending Balance</t>
  </si>
  <si>
    <t>SCENARIO ANALYSIS</t>
  </si>
  <si>
    <t>Return Rate</t>
  </si>
  <si>
    <t>Final Value</t>
  </si>
  <si>
    <t>Conservative (5%)</t>
  </si>
  <si>
    <t>Base Case (7%)</t>
  </si>
  <si>
    <t>Optimistic (10%)</t>
  </si>
  <si>
    <t>RETIREMENT PLANNING</t>
  </si>
  <si>
    <t>Annual Expenses in Retirement</t>
  </si>
  <si>
    <t>Safe Withdrawal Rate (4%)</t>
  </si>
  <si>
    <t>Required Portfolio Value</t>
  </si>
  <si>
    <t>Your Projected Portfolio</t>
  </si>
  <si>
    <t>Retirement Readiness</t>
  </si>
  <si>
    <t>Status</t>
  </si>
  <si>
    <t>MONTE CARLO SIMULATION (10 scenarios)</t>
  </si>
  <si>
    <t>Run</t>
  </si>
  <si>
    <t>Random Return</t>
  </si>
  <si>
    <t>Statistics:</t>
  </si>
  <si>
    <t>10th Percentile</t>
  </si>
  <si>
    <t>Median (50th)</t>
  </si>
  <si>
    <t>90th Percentile</t>
  </si>
  <si>
    <t>INVESTMENT SUMMARY</t>
  </si>
  <si>
    <t>📊 Starting Investment:</t>
  </si>
  <si>
    <t>💰 Ending Value:</t>
  </si>
  <si>
    <t>📈 Total Gain:</t>
  </si>
  <si>
    <t>✨ Growth:</t>
  </si>
  <si>
    <t>EMERGENCY FUND CALCULATOR</t>
  </si>
  <si>
    <t>Monthly Expenses</t>
  </si>
  <si>
    <t>Target Months Coverage</t>
  </si>
  <si>
    <t>Current Emergency Savings</t>
  </si>
  <si>
    <t>CALCULATIONS</t>
  </si>
  <si>
    <t>Target Emergency Fund</t>
  </si>
  <si>
    <t>Amount Still Needed</t>
  </si>
  <si>
    <t>Months to Goal</t>
  </si>
  <si>
    <t>Expected Completion</t>
  </si>
  <si>
    <t>Progress %</t>
  </si>
  <si>
    <t>FUND PROGRESS</t>
  </si>
  <si>
    <t>Current Savings:</t>
  </si>
  <si>
    <t>Target Amount:</t>
  </si>
  <si>
    <t>SCENARIO 1: JOB LOSS</t>
  </si>
  <si>
    <t>Severance Pay</t>
  </si>
  <si>
    <t>Unemployment Benefits/mo</t>
  </si>
  <si>
    <t>Reduced Monthly Expenses</t>
  </si>
  <si>
    <t>Total Resources</t>
  </si>
  <si>
    <t>Months of Coverage</t>
  </si>
  <si>
    <t>SCENARIO 2: MEDICAL EMERGENCY</t>
  </si>
  <si>
    <t>Emergency Cost</t>
  </si>
  <si>
    <t>Insurance Deductible</t>
  </si>
  <si>
    <t>Out of Pocket Maximum</t>
  </si>
  <si>
    <t>Emergency Fund Impact</t>
  </si>
  <si>
    <t>Remaining Fund After</t>
  </si>
  <si>
    <t>Months Still Covered</t>
  </si>
  <si>
    <t>SAVINGS TIMELINE</t>
  </si>
  <si>
    <t>Contribution</t>
  </si>
  <si>
    <t>Total Saved</t>
  </si>
  <si>
    <t>% to Goal</t>
  </si>
  <si>
    <t>EMERGENCY FUND SUMMARY</t>
  </si>
  <si>
    <t>🎯 Your Goal:</t>
  </si>
  <si>
    <t>💰 Current Savings:</t>
  </si>
  <si>
    <t>📊 Progress:</t>
  </si>
  <si>
    <t>📅 Months to Goal:</t>
  </si>
  <si>
    <t>✅ Status:</t>
  </si>
  <si>
    <t>RECOMMENDATIONS</t>
  </si>
  <si>
    <t>- Keep this fund in a high-yield savings account for easy access</t>
  </si>
  <si>
    <t>PERSONAL FINANCE DASHBOARD</t>
  </si>
  <si>
    <t>BUDGET STATUS</t>
  </si>
  <si>
    <t>Monthly Income:</t>
  </si>
  <si>
    <t>Monthly Expenses:</t>
  </si>
  <si>
    <t>Net Cash Flow:</t>
  </si>
  <si>
    <t>Savings Rate:</t>
  </si>
  <si>
    <t>DEBT STATUS</t>
  </si>
  <si>
    <t>Total Debt:</t>
  </si>
  <si>
    <t>Monthly Payments:</t>
  </si>
  <si>
    <t>Payoff Timeline:</t>
  </si>
  <si>
    <t>INVESTMENT STATUS</t>
  </si>
  <si>
    <t>Current Value:</t>
  </si>
  <si>
    <t>Projected (30yr):</t>
  </si>
  <si>
    <t>Expected Growth:</t>
  </si>
  <si>
    <t>EMERGENCY FUND</t>
  </si>
  <si>
    <t>Progress: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</si>
</sst>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#,##0.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0" fontId="1" fillId="0" borderId="0" xfId="0" applyNumberFormat="1" applyFont="1"/>
    <xf numFmtId="164" fontId="0" fillId="0" borderId="1" xfId="0" applyNumberFormat="1" applyBorder="1"/>
    <xf numFmtId="10" fontId="0" fillId="0" borderId="0" xfId="0" applyNumberFormat="1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  <xf numFmtId="165" fontId="0" fillId="0" borderId="1" xfId="0" applyNumberFormat="1" applyBorder="1"/>
    <xf numFmtId="165" fontId="3" fillId="0" borderId="0" xfId="0" applyNumberFormat="1" applyFont="1"/>
    <xf numFmtId="14" fontId="0" fillId="0" borderId="0" xfId="0" applyNumberFormat="1"/>
    <xf numFmtId="9" fontId="0" fillId="0" borderId="0" xfId="0" applyNumberFormat="1"/>
    <xf numFmtId="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'Budget Planner'!$B$38:$B$40</c:f>
              <c:numCache>
                <c:formatCode>"$"#,##0.00</c:formatCode>
                <c:ptCount val="3"/>
                <c:pt idx="0">
                  <c:v>5700</c:v>
                </c:pt>
                <c:pt idx="1">
                  <c:v>4850</c:v>
                </c:pt>
                <c:pt idx="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7-8C47-9EC4-31C389DE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Payoff Timeline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'Debt Payoff'!$A$22</c:f>
              <c:strCache>
                <c:ptCount val="1"/>
                <c:pt idx="0">
                  <c:v>Credit Card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'Debt Payoff'!$B$22</c:f>
              <c:numCache>
                <c:formatCode>m/d/yy</c:formatCode>
                <c:ptCount val="1"/>
                <c:pt idx="0">
                  <c:v>46391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D-BB41-BB55-F15660870D80}"/>
            </c:ext>
          </c:extLst>
        </c:ser>
        <c:ser>
          <c:idx val="1"/>
          <c:order val="1"/>
          <c:tx>
            <c:strRef>
              <c:f>'Debt Payoff'!$A$23</c:f>
              <c:strCache>
                <c:ptCount val="1"/>
                <c:pt idx="0">
                  <c:v>Credit Card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'Debt Payoff'!$B$23</c:f>
              <c:numCache>
                <c:formatCode>m/d/yy</c:formatCode>
                <c:ptCount val="1"/>
                <c:pt idx="0">
                  <c:v>46269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D-BB41-BB55-F15660870D80}"/>
            </c:ext>
          </c:extLst>
        </c:ser>
        <c:ser>
          <c:idx val="2"/>
          <c:order val="2"/>
          <c:tx>
            <c:strRef>
              <c:f>'Debt Payoff'!$A$24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'Debt Payoff'!$B$24</c:f>
              <c:numCache>
                <c:formatCode>m/d/yy</c:formatCode>
                <c:ptCount val="1"/>
                <c:pt idx="0">
                  <c:v>48277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D-BB41-BB55-F15660870D80}"/>
            </c:ext>
          </c:extLst>
        </c:ser>
        <c:ser>
          <c:idx val="3"/>
          <c:order val="3"/>
          <c:tx>
            <c:strRef>
              <c:f>'Debt Payoff'!$A$25</c:f>
              <c:strCache>
                <c:ptCount val="1"/>
                <c:pt idx="0">
                  <c:v>Car Loan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'Debt Payoff'!$B$25</c:f>
              <c:numCache>
                <c:formatCode>m/d/yy</c:formatCode>
                <c:ptCount val="1"/>
                <c:pt idx="0">
                  <c:v>47030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D-BB41-BB55-F15660870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393152"/>
        <c:axId val="2013540160"/>
      </c:barChart>
      <c:catAx>
        <c:axId val="20133931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40160"/>
        <c:crosses val="autoZero"/>
        <c:auto val="1"/>
        <c:lblAlgn val="ctr"/>
        <c:lblOffset val="100"/>
        <c:noMultiLvlLbl val="0"/>
      </c:catAx>
      <c:valAx>
        <c:axId val="20135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</a:t>
            </a:r>
            <a:r>
              <a:rPr lang="en-US" baseline="0"/>
              <a:t> Growth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Investment!$B$20:$B$50</c:f>
              <c:numCache>
                <c:formatCode>"$"#,##0.00</c:formatCode>
                <c:ptCount val="31"/>
                <c:pt idx="0">
                  <c:v>10000</c:v>
                </c:pt>
                <c:pt idx="1">
                  <c:v>10000</c:v>
                </c:pt>
                <c:pt idx="2">
                  <c:v>17120</c:v>
                </c:pt>
                <c:pt idx="3">
                  <c:v>24738.400000000001</c:v>
                </c:pt>
                <c:pt idx="4">
                  <c:v>32890.088000000003</c:v>
                </c:pt>
                <c:pt idx="5">
                  <c:v>41612.394160000003</c:v>
                </c:pt>
                <c:pt idx="6">
                  <c:v>50945.261751200007</c:v>
                </c:pt>
                <c:pt idx="7">
                  <c:v>60931.430073784009</c:v>
                </c:pt>
                <c:pt idx="8">
                  <c:v>71616.630178948893</c:v>
                </c:pt>
                <c:pt idx="9">
                  <c:v>83049.794291475322</c:v>
                </c:pt>
                <c:pt idx="10">
                  <c:v>95283.279891878599</c:v>
                </c:pt>
                <c:pt idx="11">
                  <c:v>108373.1094843101</c:v>
                </c:pt>
                <c:pt idx="12">
                  <c:v>122379.22714821181</c:v>
                </c:pt>
                <c:pt idx="13">
                  <c:v>137365.77304858665</c:v>
                </c:pt>
                <c:pt idx="14">
                  <c:v>153401.37716198771</c:v>
                </c:pt>
                <c:pt idx="15">
                  <c:v>170559.47356332684</c:v>
                </c:pt>
                <c:pt idx="16">
                  <c:v>188918.63671275973</c:v>
                </c:pt>
                <c:pt idx="17">
                  <c:v>208562.9412826529</c:v>
                </c:pt>
                <c:pt idx="18">
                  <c:v>229582.3471724386</c:v>
                </c:pt>
                <c:pt idx="19">
                  <c:v>252073.11147450929</c:v>
                </c:pt>
                <c:pt idx="20">
                  <c:v>276138.22927772492</c:v>
                </c:pt>
                <c:pt idx="21">
                  <c:v>301887.90532716567</c:v>
                </c:pt>
                <c:pt idx="22">
                  <c:v>329440.05870006728</c:v>
                </c:pt>
                <c:pt idx="23">
                  <c:v>358920.86280907202</c:v>
                </c:pt>
                <c:pt idx="24">
                  <c:v>390465.32320570707</c:v>
                </c:pt>
                <c:pt idx="25">
                  <c:v>424217.89583010657</c:v>
                </c:pt>
                <c:pt idx="26">
                  <c:v>460333.14853821404</c:v>
                </c:pt>
                <c:pt idx="27">
                  <c:v>498976.46893588902</c:v>
                </c:pt>
                <c:pt idx="28">
                  <c:v>540324.82176140125</c:v>
                </c:pt>
                <c:pt idx="29">
                  <c:v>584567.55928469938</c:v>
                </c:pt>
                <c:pt idx="30">
                  <c:v>631907.2884346284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0-D343-AD72-56C80FEB16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Investment!$E$20:$E$50</c:f>
              <c:numCache>
                <c:formatCode>"$"#,##0.00</c:formatCode>
                <c:ptCount val="31"/>
                <c:pt idx="0">
                  <c:v>10000</c:v>
                </c:pt>
                <c:pt idx="1">
                  <c:v>17120</c:v>
                </c:pt>
                <c:pt idx="2">
                  <c:v>24738.400000000001</c:v>
                </c:pt>
                <c:pt idx="3">
                  <c:v>32890.088000000003</c:v>
                </c:pt>
                <c:pt idx="4">
                  <c:v>41612.394160000003</c:v>
                </c:pt>
                <c:pt idx="5">
                  <c:v>50945.261751200007</c:v>
                </c:pt>
                <c:pt idx="6">
                  <c:v>60931.430073784009</c:v>
                </c:pt>
                <c:pt idx="7">
                  <c:v>71616.630178948893</c:v>
                </c:pt>
                <c:pt idx="8">
                  <c:v>83049.794291475322</c:v>
                </c:pt>
                <c:pt idx="9">
                  <c:v>95283.279891878599</c:v>
                </c:pt>
                <c:pt idx="10">
                  <c:v>108373.1094843101</c:v>
                </c:pt>
                <c:pt idx="11">
                  <c:v>122379.22714821181</c:v>
                </c:pt>
                <c:pt idx="12">
                  <c:v>137365.77304858665</c:v>
                </c:pt>
                <c:pt idx="13">
                  <c:v>153401.37716198771</c:v>
                </c:pt>
                <c:pt idx="14">
                  <c:v>170559.47356332684</c:v>
                </c:pt>
                <c:pt idx="15">
                  <c:v>188918.63671275973</c:v>
                </c:pt>
                <c:pt idx="16">
                  <c:v>208562.9412826529</c:v>
                </c:pt>
                <c:pt idx="17">
                  <c:v>229582.3471724386</c:v>
                </c:pt>
                <c:pt idx="18">
                  <c:v>252073.11147450929</c:v>
                </c:pt>
                <c:pt idx="19">
                  <c:v>276138.22927772492</c:v>
                </c:pt>
                <c:pt idx="20">
                  <c:v>301887.90532716567</c:v>
                </c:pt>
                <c:pt idx="21">
                  <c:v>329440.05870006728</c:v>
                </c:pt>
                <c:pt idx="22">
                  <c:v>358920.86280907202</c:v>
                </c:pt>
                <c:pt idx="23">
                  <c:v>390465.32320570707</c:v>
                </c:pt>
                <c:pt idx="24">
                  <c:v>424217.89583010657</c:v>
                </c:pt>
                <c:pt idx="25">
                  <c:v>460333.14853821404</c:v>
                </c:pt>
                <c:pt idx="26">
                  <c:v>498976.46893588902</c:v>
                </c:pt>
                <c:pt idx="27">
                  <c:v>540324.82176140125</c:v>
                </c:pt>
                <c:pt idx="28">
                  <c:v>584567.55928469938</c:v>
                </c:pt>
                <c:pt idx="29">
                  <c:v>631907.2884346284</c:v>
                </c:pt>
                <c:pt idx="30">
                  <c:v>682560.79862505244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0-D343-AD72-56C80FEB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31936"/>
        <c:axId val="2029832384"/>
      </c:lineChart>
      <c:catAx>
        <c:axId val="202983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32384"/>
        <c:crosses val="autoZero"/>
        <c:auto val="1"/>
        <c:lblAlgn val="ctr"/>
        <c:lblOffset val="100"/>
        <c:noMultiLvlLbl val="0"/>
      </c:catAx>
      <c:valAx>
        <c:axId val="20298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30</xdr:row>
      <xdr:rowOff>76200</xdr:rowOff>
    </xdr:from>
    <xdr:to>
      <xdr:col>11</xdr:col>
      <xdr:colOff>95250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98D6A-92CB-4475-EDEC-FAEE12FA1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13</xdr:row>
      <xdr:rowOff>101600</xdr:rowOff>
    </xdr:from>
    <xdr:to>
      <xdr:col>9</xdr:col>
      <xdr:colOff>482600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BA7BB-E9CC-FE01-7BFB-03262D822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20367</xdr:colOff>
      <xdr:row>26</xdr:row>
      <xdr:rowOff>132031</xdr:rowOff>
    </xdr:from>
    <xdr:to>
      <xdr:col>16</xdr:col>
      <xdr:colOff>575094</xdr:colOff>
      <xdr:row>47</xdr:row>
      <xdr:rowOff>23962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55BC68-96D8-72C7-FF1C-A35EF322D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D33E-3C63-BC49-A421-E8BABFEEE367}">
  <dimension ref="A1:D55"/>
  <sheetViews>
    <sheetView workbookViewId="0">
      <selection activeCell="D37" sqref="D37"/>
    </sheetView>
  </sheetViews>
  <sheetFormatPr baseColWidth="10" defaultRowHeight="16" x14ac:dyDescent="0.2"/>
  <cols>
    <col min="1" max="1" width="33" customWidth="1"/>
    <col min="2" max="2" width="13.5" customWidth="1"/>
    <col min="3" max="3" width="14.5" customWidth="1"/>
    <col min="4" max="4" width="14.1640625" customWidth="1"/>
  </cols>
  <sheetData>
    <row r="1" spans="1:2" ht="22" x14ac:dyDescent="0.3">
      <c r="A1" s="2" t="s">
        <v>0</v>
      </c>
    </row>
    <row r="3" spans="1:2" x14ac:dyDescent="0.2">
      <c r="A3" s="1" t="s">
        <v>1</v>
      </c>
    </row>
    <row r="4" spans="1:2" x14ac:dyDescent="0.2">
      <c r="A4" t="s">
        <v>2</v>
      </c>
      <c r="B4" s="3">
        <v>5000</v>
      </c>
    </row>
    <row r="5" spans="1:2" x14ac:dyDescent="0.2">
      <c r="A5" t="s">
        <v>3</v>
      </c>
      <c r="B5" s="3">
        <v>500</v>
      </c>
    </row>
    <row r="6" spans="1:2" x14ac:dyDescent="0.2">
      <c r="A6" t="s">
        <v>4</v>
      </c>
      <c r="B6" s="3">
        <v>200</v>
      </c>
    </row>
    <row r="7" spans="1:2" x14ac:dyDescent="0.2">
      <c r="A7" t="s">
        <v>5</v>
      </c>
      <c r="B7" s="3">
        <v>0</v>
      </c>
    </row>
    <row r="8" spans="1:2" x14ac:dyDescent="0.2">
      <c r="A8" s="1" t="s">
        <v>6</v>
      </c>
      <c r="B8" s="4">
        <f>SUM(B4:B7)</f>
        <v>5700</v>
      </c>
    </row>
    <row r="9" spans="1:2" x14ac:dyDescent="0.2">
      <c r="B9" s="3"/>
    </row>
    <row r="10" spans="1:2" x14ac:dyDescent="0.2">
      <c r="A10" s="1" t="s">
        <v>7</v>
      </c>
      <c r="B10" s="3"/>
    </row>
    <row r="11" spans="1:2" x14ac:dyDescent="0.2">
      <c r="A11" t="s">
        <v>8</v>
      </c>
      <c r="B11" s="3">
        <v>2000</v>
      </c>
    </row>
    <row r="12" spans="1:2" x14ac:dyDescent="0.2">
      <c r="A12" t="s">
        <v>9</v>
      </c>
      <c r="B12" s="3">
        <v>350</v>
      </c>
    </row>
    <row r="13" spans="1:2" x14ac:dyDescent="0.2">
      <c r="A13" t="s">
        <v>10</v>
      </c>
      <c r="B13" s="3">
        <v>250</v>
      </c>
    </row>
    <row r="14" spans="1:2" x14ac:dyDescent="0.2">
      <c r="A14" t="s">
        <v>11</v>
      </c>
      <c r="B14" s="3">
        <v>150</v>
      </c>
    </row>
    <row r="15" spans="1:2" x14ac:dyDescent="0.2">
      <c r="A15" t="s">
        <v>12</v>
      </c>
      <c r="B15" s="3">
        <v>100</v>
      </c>
    </row>
    <row r="16" spans="1:2" x14ac:dyDescent="0.2">
      <c r="A16" t="s">
        <v>13</v>
      </c>
      <c r="B16" s="3">
        <v>50</v>
      </c>
    </row>
    <row r="17" spans="1:2" x14ac:dyDescent="0.2">
      <c r="A17" t="s">
        <v>14</v>
      </c>
      <c r="B17" s="3">
        <v>300</v>
      </c>
    </row>
    <row r="18" spans="1:2" x14ac:dyDescent="0.2">
      <c r="A18" s="1" t="s">
        <v>15</v>
      </c>
      <c r="B18" s="4">
        <f>SUM(B11:B17)</f>
        <v>3200</v>
      </c>
    </row>
    <row r="19" spans="1:2" x14ac:dyDescent="0.2">
      <c r="B19" s="3"/>
    </row>
    <row r="20" spans="1:2" x14ac:dyDescent="0.2">
      <c r="A20" s="1" t="s">
        <v>16</v>
      </c>
      <c r="B20" s="3"/>
    </row>
    <row r="21" spans="1:2" x14ac:dyDescent="0.2">
      <c r="A21" t="s">
        <v>17</v>
      </c>
      <c r="B21" s="3">
        <v>600</v>
      </c>
    </row>
    <row r="22" spans="1:2" x14ac:dyDescent="0.2">
      <c r="A22" t="s">
        <v>18</v>
      </c>
      <c r="B22" s="3">
        <v>300</v>
      </c>
    </row>
    <row r="23" spans="1:2" x14ac:dyDescent="0.2">
      <c r="A23" t="s">
        <v>19</v>
      </c>
      <c r="B23" s="3">
        <v>200</v>
      </c>
    </row>
    <row r="24" spans="1:2" x14ac:dyDescent="0.2">
      <c r="A24" t="s">
        <v>20</v>
      </c>
      <c r="B24" s="3">
        <v>150</v>
      </c>
    </row>
    <row r="25" spans="1:2" x14ac:dyDescent="0.2">
      <c r="A25" t="s">
        <v>21</v>
      </c>
      <c r="B25" s="3">
        <v>200</v>
      </c>
    </row>
    <row r="26" spans="1:2" x14ac:dyDescent="0.2">
      <c r="A26" t="s">
        <v>22</v>
      </c>
      <c r="B26" s="3">
        <v>100</v>
      </c>
    </row>
    <row r="27" spans="1:2" x14ac:dyDescent="0.2">
      <c r="A27" t="s">
        <v>23</v>
      </c>
      <c r="B27" s="3">
        <v>100</v>
      </c>
    </row>
    <row r="28" spans="1:2" x14ac:dyDescent="0.2">
      <c r="A28" s="1" t="s">
        <v>24</v>
      </c>
      <c r="B28" s="4">
        <f>SUM(B21:B27)</f>
        <v>1650</v>
      </c>
    </row>
    <row r="29" spans="1:2" x14ac:dyDescent="0.2">
      <c r="B29" s="3"/>
    </row>
    <row r="30" spans="1:2" x14ac:dyDescent="0.2">
      <c r="A30" s="1" t="s">
        <v>25</v>
      </c>
      <c r="B30" s="3"/>
    </row>
    <row r="31" spans="1:2" x14ac:dyDescent="0.2">
      <c r="A31" t="s">
        <v>26</v>
      </c>
      <c r="B31" s="3">
        <v>500</v>
      </c>
    </row>
    <row r="32" spans="1:2" x14ac:dyDescent="0.2">
      <c r="A32" t="s">
        <v>27</v>
      </c>
      <c r="B32" s="3">
        <v>400</v>
      </c>
    </row>
    <row r="33" spans="1:4" x14ac:dyDescent="0.2">
      <c r="A33" t="s">
        <v>28</v>
      </c>
      <c r="B33" s="3">
        <v>200</v>
      </c>
    </row>
    <row r="34" spans="1:4" x14ac:dyDescent="0.2">
      <c r="A34" t="s">
        <v>29</v>
      </c>
      <c r="B34" s="3">
        <v>100</v>
      </c>
    </row>
    <row r="35" spans="1:4" x14ac:dyDescent="0.2">
      <c r="A35" s="1" t="s">
        <v>30</v>
      </c>
      <c r="B35" s="4">
        <f>SUM(B31:B34)</f>
        <v>1200</v>
      </c>
    </row>
    <row r="36" spans="1:4" x14ac:dyDescent="0.2">
      <c r="B36" s="3"/>
    </row>
    <row r="37" spans="1:4" x14ac:dyDescent="0.2">
      <c r="A37" s="1" t="s">
        <v>31</v>
      </c>
      <c r="B37" s="3"/>
    </row>
    <row r="38" spans="1:4" x14ac:dyDescent="0.2">
      <c r="A38" t="s">
        <v>32</v>
      </c>
      <c r="B38" s="3">
        <f>B8</f>
        <v>5700</v>
      </c>
    </row>
    <row r="39" spans="1:4" x14ac:dyDescent="0.2">
      <c r="A39" t="s">
        <v>33</v>
      </c>
      <c r="B39" s="3">
        <f>B18+B28</f>
        <v>4850</v>
      </c>
    </row>
    <row r="40" spans="1:4" x14ac:dyDescent="0.2">
      <c r="A40" t="s">
        <v>34</v>
      </c>
      <c r="B40" s="3">
        <f>B38-B39</f>
        <v>850</v>
      </c>
    </row>
    <row r="41" spans="1:4" x14ac:dyDescent="0.2">
      <c r="A41" t="s">
        <v>35</v>
      </c>
      <c r="B41" s="3">
        <f>B38-B39</f>
        <v>850</v>
      </c>
    </row>
    <row r="42" spans="1:4" x14ac:dyDescent="0.2">
      <c r="A42" s="1" t="s">
        <v>36</v>
      </c>
      <c r="B42" s="5">
        <f>B40/B38</f>
        <v>0.14912280701754385</v>
      </c>
    </row>
    <row r="44" spans="1:4" x14ac:dyDescent="0.2">
      <c r="A44" t="s">
        <v>37</v>
      </c>
    </row>
    <row r="45" spans="1:4" x14ac:dyDescent="0.2">
      <c r="A45" s="1" t="s">
        <v>38</v>
      </c>
      <c r="B45" t="s">
        <v>39</v>
      </c>
      <c r="C45" t="s">
        <v>40</v>
      </c>
      <c r="D45" t="s">
        <v>41</v>
      </c>
    </row>
    <row r="46" spans="1:4" x14ac:dyDescent="0.2">
      <c r="A46" s="6" t="s">
        <v>42</v>
      </c>
      <c r="B46" s="6">
        <f>B8*1.1</f>
        <v>6270.0000000000009</v>
      </c>
      <c r="C46" s="6">
        <f>B39*0.9</f>
        <v>4365</v>
      </c>
      <c r="D46" s="6">
        <f>B46-C46</f>
        <v>1905.0000000000009</v>
      </c>
    </row>
    <row r="47" spans="1:4" x14ac:dyDescent="0.2">
      <c r="A47" s="6" t="s">
        <v>43</v>
      </c>
      <c r="B47" s="6">
        <f>B8</f>
        <v>5700</v>
      </c>
      <c r="C47" s="6">
        <f>B39</f>
        <v>4850</v>
      </c>
      <c r="D47" s="6">
        <f>B47-C47</f>
        <v>850</v>
      </c>
    </row>
    <row r="48" spans="1:4" x14ac:dyDescent="0.2">
      <c r="A48" s="6" t="s">
        <v>44</v>
      </c>
      <c r="B48" s="6">
        <f>B8*0.9</f>
        <v>5130</v>
      </c>
      <c r="C48" s="6">
        <f>B39*1.1</f>
        <v>5335</v>
      </c>
      <c r="D48" s="6">
        <f>B48-C48</f>
        <v>-205</v>
      </c>
    </row>
    <row r="50" spans="1:2" x14ac:dyDescent="0.2">
      <c r="A50" s="1" t="s">
        <v>45</v>
      </c>
    </row>
    <row r="52" spans="1:2" x14ac:dyDescent="0.2">
      <c r="A52" t="s">
        <v>46</v>
      </c>
      <c r="B52" s="3">
        <f>B8</f>
        <v>5700</v>
      </c>
    </row>
    <row r="53" spans="1:2" x14ac:dyDescent="0.2">
      <c r="A53" t="s">
        <v>47</v>
      </c>
      <c r="B53" s="3">
        <f>B39</f>
        <v>4850</v>
      </c>
    </row>
    <row r="54" spans="1:2" x14ac:dyDescent="0.2">
      <c r="A54" t="s">
        <v>48</v>
      </c>
      <c r="B54" s="3">
        <f>B40</f>
        <v>850</v>
      </c>
    </row>
    <row r="55" spans="1:2" x14ac:dyDescent="0.2">
      <c r="A55" s="1" t="s">
        <v>49</v>
      </c>
      <c r="B55" s="3">
        <f>B41</f>
        <v>850</v>
      </c>
    </row>
  </sheetData>
  <conditionalFormatting sqref="B41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decimal" operator="greaterThan" allowBlank="1" showInputMessage="1" showErrorMessage="1" sqref="B4:B34" xr:uid="{5F8ED9B3-9866-2C48-B2C4-241E5C030ADC}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1435E37-2224-C642-921F-3028D39767C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'Budget Planner'!B46:B48</xm:f>
              <xm:sqref>E38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FE3A-3C76-6947-8276-627D08C235C3}">
  <dimension ref="A1:H47"/>
  <sheetViews>
    <sheetView topLeftCell="A12" workbookViewId="0">
      <selection activeCell="J8" sqref="J8"/>
    </sheetView>
  </sheetViews>
  <sheetFormatPr baseColWidth="10" defaultRowHeight="16" x14ac:dyDescent="0.2"/>
  <cols>
    <col min="1" max="1" width="25.83203125" customWidth="1"/>
    <col min="2" max="2" width="15.83203125" customWidth="1"/>
    <col min="3" max="3" width="14.1640625" customWidth="1"/>
    <col min="4" max="4" width="12.5" customWidth="1"/>
    <col min="5" max="5" width="13.1640625" customWidth="1"/>
    <col min="6" max="6" width="13.83203125" customWidth="1"/>
    <col min="7" max="7" width="19.1640625" customWidth="1"/>
    <col min="8" max="8" width="15.83203125" customWidth="1"/>
  </cols>
  <sheetData>
    <row r="1" spans="1:8" x14ac:dyDescent="0.2">
      <c r="A1" s="1" t="s">
        <v>50</v>
      </c>
    </row>
    <row r="3" spans="1:8" x14ac:dyDescent="0.2">
      <c r="A3" s="8" t="s">
        <v>51</v>
      </c>
      <c r="B3" s="8" t="s">
        <v>52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58</v>
      </c>
    </row>
    <row r="4" spans="1:8" x14ac:dyDescent="0.2">
      <c r="A4" s="9" t="s">
        <v>59</v>
      </c>
      <c r="B4" s="6">
        <v>2341.1999999999998</v>
      </c>
      <c r="C4" s="10">
        <v>0.18990000000000001</v>
      </c>
      <c r="D4" s="6">
        <v>75</v>
      </c>
      <c r="E4" s="6">
        <v>100</v>
      </c>
      <c r="F4" s="6">
        <f>D4+E4</f>
        <v>175</v>
      </c>
      <c r="G4" s="11">
        <f>NPER(C4/12,-F4,B4)</f>
        <v>15.1512393629953</v>
      </c>
      <c r="H4" s="6">
        <f>F4*G4-B4</f>
        <v>310.26688852417783</v>
      </c>
    </row>
    <row r="5" spans="1:8" x14ac:dyDescent="0.2">
      <c r="A5" s="9" t="s">
        <v>60</v>
      </c>
      <c r="B5" s="6">
        <v>876.45</v>
      </c>
      <c r="C5" s="10">
        <v>0.16489999999999999</v>
      </c>
      <c r="D5" s="6">
        <v>35</v>
      </c>
      <c r="E5" s="6">
        <v>50</v>
      </c>
      <c r="F5" s="6">
        <f>D5+E5</f>
        <v>85</v>
      </c>
      <c r="G5" s="11">
        <f>NPER(C5/12,-F5,B5)</f>
        <v>11.195190170508193</v>
      </c>
      <c r="H5" s="6">
        <f>F5*G5-B5</f>
        <v>75.141164493196356</v>
      </c>
    </row>
    <row r="6" spans="1:8" x14ac:dyDescent="0.2">
      <c r="A6" s="9" t="s">
        <v>61</v>
      </c>
      <c r="B6" s="6">
        <v>28450</v>
      </c>
      <c r="C6" s="10">
        <v>4.65E-2</v>
      </c>
      <c r="D6" s="6">
        <v>325</v>
      </c>
      <c r="E6" s="6">
        <v>100</v>
      </c>
      <c r="F6" s="6">
        <f>D6+E6</f>
        <v>425</v>
      </c>
      <c r="G6" s="11">
        <f>NPER(C6/12,-F6,B6)</f>
        <v>77.644407033042995</v>
      </c>
      <c r="H6" s="6">
        <f>F6*G6-B6</f>
        <v>4548.8729890432733</v>
      </c>
    </row>
    <row r="7" spans="1:8" x14ac:dyDescent="0.2">
      <c r="A7" s="9" t="s">
        <v>62</v>
      </c>
      <c r="B7" s="6">
        <v>18230.5</v>
      </c>
      <c r="C7" s="10">
        <v>4.99E-2</v>
      </c>
      <c r="D7" s="6">
        <v>485</v>
      </c>
      <c r="E7" s="6">
        <v>50</v>
      </c>
      <c r="F7" s="6">
        <f>D7+E7</f>
        <v>535</v>
      </c>
      <c r="G7" s="11">
        <f>NPER(C7/12,-F7,B7)</f>
        <v>36.821694383169444</v>
      </c>
      <c r="H7" s="6">
        <f>F7*G7-B7</f>
        <v>1469.1064949956526</v>
      </c>
    </row>
    <row r="9" spans="1:8" x14ac:dyDescent="0.2">
      <c r="A9" s="1" t="s">
        <v>63</v>
      </c>
      <c r="B9">
        <f>SUM(B4:B7)</f>
        <v>49898.15</v>
      </c>
      <c r="E9" s="3"/>
      <c r="F9" s="3">
        <f>SUM(F4:F7)</f>
        <v>1220</v>
      </c>
      <c r="G9" s="3"/>
      <c r="H9" s="3">
        <f>SUM(H4:H7)</f>
        <v>6403.3875370563001</v>
      </c>
    </row>
    <row r="11" spans="1:8" x14ac:dyDescent="0.2">
      <c r="A11" s="1" t="s">
        <v>64</v>
      </c>
    </row>
    <row r="13" spans="1:8" x14ac:dyDescent="0.2">
      <c r="A13" t="s">
        <v>65</v>
      </c>
      <c r="B13" t="s">
        <v>66</v>
      </c>
      <c r="C13" t="s">
        <v>67</v>
      </c>
      <c r="D13" t="s">
        <v>58</v>
      </c>
    </row>
    <row r="14" spans="1:8" ht="17" x14ac:dyDescent="0.25">
      <c r="A14" t="s">
        <v>68</v>
      </c>
      <c r="B14" t="s">
        <v>69</v>
      </c>
      <c r="C14" s="12">
        <f>MAX(G4:G7)+2</f>
        <v>79.644407033042995</v>
      </c>
      <c r="D14">
        <f>SUM(H4:H7)*1.08</f>
        <v>6915.6585400208041</v>
      </c>
    </row>
    <row r="15" spans="1:8" ht="17" x14ac:dyDescent="0.25">
      <c r="A15" t="s">
        <v>70</v>
      </c>
      <c r="B15" t="s">
        <v>71</v>
      </c>
      <c r="C15" s="12">
        <f>MAX(G4:G7)</f>
        <v>77.644407033042995</v>
      </c>
      <c r="D15">
        <f>SUM(H4:H7)*0.95</f>
        <v>6083.2181602034843</v>
      </c>
    </row>
    <row r="17" spans="1:5" x14ac:dyDescent="0.2">
      <c r="A17" t="s">
        <v>72</v>
      </c>
      <c r="B17" t="str">
        <f>IF(D14&lt;D15,"Avalanche saves $"&amp;TEXT(D14-D15,"#,##0")&amp;"!","Snowball saves $"&amp;TEXT(D15-D14,"#,##0")&amp;"!")</f>
        <v>Snowball saves $-832!</v>
      </c>
    </row>
    <row r="19" spans="1:5" x14ac:dyDescent="0.2">
      <c r="A19" s="1" t="s">
        <v>73</v>
      </c>
    </row>
    <row r="21" spans="1:5" x14ac:dyDescent="0.2">
      <c r="A21" t="s">
        <v>74</v>
      </c>
      <c r="B21" t="s">
        <v>75</v>
      </c>
    </row>
    <row r="22" spans="1:5" x14ac:dyDescent="0.2">
      <c r="A22" t="str">
        <f>A4</f>
        <v>Credit Card 1</v>
      </c>
      <c r="B22" s="13">
        <f ca="1">DATE(YEAR(TODAY()),MONTH(TODAY())+G4,DAY(TODAY()))</f>
        <v>46391</v>
      </c>
    </row>
    <row r="23" spans="1:5" x14ac:dyDescent="0.2">
      <c r="A23" t="str">
        <f>A5</f>
        <v>Credit Card 2</v>
      </c>
      <c r="B23" s="13">
        <f ca="1">DATE(YEAR(TODAY()),MONTH(TODAY())+G5,DAY(TODAY()))</f>
        <v>46269</v>
      </c>
    </row>
    <row r="24" spans="1:5" x14ac:dyDescent="0.2">
      <c r="A24" t="str">
        <f>A6</f>
        <v>Student Loan</v>
      </c>
      <c r="B24" s="13">
        <f ca="1">DATE(YEAR(TODAY()),MONTH(TODAY())+G6,DAY(TODAY()))</f>
        <v>48277</v>
      </c>
    </row>
    <row r="25" spans="1:5" x14ac:dyDescent="0.2">
      <c r="A25" t="str">
        <f>A7</f>
        <v>Car Loan</v>
      </c>
      <c r="B25" s="13">
        <f ca="1">DATE(YEAR(TODAY()),MONTH(TODAY())+G7,DAY(TODAY()))</f>
        <v>47030</v>
      </c>
    </row>
    <row r="27" spans="1:5" x14ac:dyDescent="0.2">
      <c r="A27" s="1" t="s">
        <v>76</v>
      </c>
    </row>
    <row r="29" spans="1:5" x14ac:dyDescent="0.2">
      <c r="A29" t="s">
        <v>77</v>
      </c>
      <c r="B29" t="s">
        <v>78</v>
      </c>
      <c r="C29" t="s">
        <v>79</v>
      </c>
      <c r="D29" t="s">
        <v>80</v>
      </c>
      <c r="E29" t="s">
        <v>52</v>
      </c>
    </row>
    <row r="30" spans="1:5" x14ac:dyDescent="0.2">
      <c r="A30">
        <v>1</v>
      </c>
      <c r="B30" s="3">
        <f>F4</f>
        <v>175</v>
      </c>
      <c r="C30" s="3">
        <f>E30*($C$4/12)</f>
        <v>37.049490000000006</v>
      </c>
      <c r="D30" s="3">
        <f>B30-C30</f>
        <v>137.95051000000001</v>
      </c>
      <c r="E30" s="3">
        <f>B4</f>
        <v>2341.1999999999998</v>
      </c>
    </row>
    <row r="31" spans="1:5" x14ac:dyDescent="0.2">
      <c r="A31">
        <v>2</v>
      </c>
      <c r="B31" s="3">
        <f>F4</f>
        <v>175</v>
      </c>
      <c r="C31" s="3">
        <f>E30*($C$4/12)</f>
        <v>37.049490000000006</v>
      </c>
      <c r="D31" s="3">
        <f>B31-C31</f>
        <v>137.95051000000001</v>
      </c>
      <c r="E31" s="3">
        <f>E30-D30</f>
        <v>2203.2494899999997</v>
      </c>
    </row>
    <row r="32" spans="1:5" x14ac:dyDescent="0.2">
      <c r="A32">
        <v>3</v>
      </c>
      <c r="B32" s="3">
        <f>F4</f>
        <v>175</v>
      </c>
      <c r="C32" s="3">
        <f>E31*($C$4/12)</f>
        <v>34.866423179249999</v>
      </c>
      <c r="D32" s="3">
        <f>B32-C32</f>
        <v>140.13357682074999</v>
      </c>
      <c r="E32" s="3">
        <f>E31-D31</f>
        <v>2065.2989799999996</v>
      </c>
    </row>
    <row r="33" spans="1:5" x14ac:dyDescent="0.2">
      <c r="A33">
        <v>4</v>
      </c>
      <c r="B33" s="3">
        <f>F4</f>
        <v>175</v>
      </c>
      <c r="C33" s="3">
        <f>E32*($C$4/12)</f>
        <v>32.683356358499999</v>
      </c>
      <c r="D33" s="3">
        <f>B33-C33</f>
        <v>142.31664364150001</v>
      </c>
      <c r="E33" s="3">
        <f>E32-D32</f>
        <v>1925.1654031792496</v>
      </c>
    </row>
    <row r="34" spans="1:5" x14ac:dyDescent="0.2">
      <c r="A34">
        <v>5</v>
      </c>
      <c r="B34" s="3">
        <f>F4</f>
        <v>175</v>
      </c>
      <c r="C34" s="3">
        <f>E33*($C$4/12)</f>
        <v>30.465742505311628</v>
      </c>
      <c r="D34" s="3">
        <f>B34-C34</f>
        <v>144.53425749468838</v>
      </c>
      <c r="E34" s="3">
        <f>E33-D33</f>
        <v>1782.8487595377496</v>
      </c>
    </row>
    <row r="35" spans="1:5" x14ac:dyDescent="0.2">
      <c r="A35">
        <v>6</v>
      </c>
      <c r="B35" s="3">
        <f>F4</f>
        <v>175</v>
      </c>
      <c r="C35" s="3">
        <f>E34*($C$4/12)</f>
        <v>28.213581619684891</v>
      </c>
      <c r="D35" s="3">
        <f>B35-C35</f>
        <v>146.7864183803151</v>
      </c>
      <c r="E35" s="3">
        <f>E34-D34</f>
        <v>1638.3145020430613</v>
      </c>
    </row>
    <row r="36" spans="1:5" x14ac:dyDescent="0.2">
      <c r="A36">
        <v>7</v>
      </c>
      <c r="B36" s="3">
        <f>F4</f>
        <v>175</v>
      </c>
      <c r="C36" s="3">
        <f>E35*($C$4/12)</f>
        <v>25.926326994831449</v>
      </c>
      <c r="D36" s="3">
        <f>B36-C36</f>
        <v>149.07367300516856</v>
      </c>
      <c r="E36" s="3">
        <f>E35-D35</f>
        <v>1491.5280836627462</v>
      </c>
    </row>
    <row r="37" spans="1:5" x14ac:dyDescent="0.2">
      <c r="A37">
        <v>8</v>
      </c>
      <c r="B37" s="3">
        <f>F4</f>
        <v>175</v>
      </c>
      <c r="C37" s="3">
        <f>E36*($C$4/12)</f>
        <v>23.603431923962962</v>
      </c>
      <c r="D37" s="3">
        <f>B37-C37</f>
        <v>151.39656807603703</v>
      </c>
      <c r="E37" s="3">
        <f>E36-D36</f>
        <v>1342.4544106575777</v>
      </c>
    </row>
    <row r="38" spans="1:5" x14ac:dyDescent="0.2">
      <c r="A38">
        <v>9</v>
      </c>
      <c r="B38" s="3">
        <f>F4</f>
        <v>175</v>
      </c>
      <c r="C38" s="3">
        <f>E37*($C$4/12)</f>
        <v>21.244341048656171</v>
      </c>
      <c r="D38" s="3">
        <f>B38-C38</f>
        <v>153.75565895134383</v>
      </c>
      <c r="E38" s="3">
        <f>E37-D37</f>
        <v>1191.0578425815406</v>
      </c>
    </row>
    <row r="39" spans="1:5" x14ac:dyDescent="0.2">
      <c r="A39">
        <v>10</v>
      </c>
      <c r="B39" s="3">
        <f>F4</f>
        <v>175</v>
      </c>
      <c r="C39" s="3">
        <f>E38*($C$4/12)</f>
        <v>18.848490358852882</v>
      </c>
      <c r="D39" s="3">
        <f>B39-C39</f>
        <v>156.15150964114713</v>
      </c>
      <c r="E39" s="3">
        <f>E38-D38</f>
        <v>1037.3021836301969</v>
      </c>
    </row>
    <row r="40" spans="1:5" x14ac:dyDescent="0.2">
      <c r="A40">
        <v>11</v>
      </c>
      <c r="B40" s="3">
        <f>F4</f>
        <v>175</v>
      </c>
      <c r="C40" s="3">
        <f>E39*($C$4/12)</f>
        <v>16.415307055947867</v>
      </c>
      <c r="D40" s="3">
        <f>B40-C40</f>
        <v>158.58469294405214</v>
      </c>
      <c r="E40" s="3">
        <f>E39-D39</f>
        <v>881.15067398904966</v>
      </c>
    </row>
    <row r="41" spans="1:5" x14ac:dyDescent="0.2">
      <c r="A41">
        <v>12</v>
      </c>
      <c r="B41" s="3">
        <f>F4</f>
        <v>175</v>
      </c>
      <c r="C41" s="3">
        <f>E40*($C$4/12)</f>
        <v>13.944209415876713</v>
      </c>
      <c r="D41" s="3">
        <f>B41-C41</f>
        <v>161.05579058412329</v>
      </c>
      <c r="E41" s="3">
        <f>E40-D40</f>
        <v>722.56598104499756</v>
      </c>
    </row>
    <row r="43" spans="1:5" x14ac:dyDescent="0.2">
      <c r="A43" t="s">
        <v>81</v>
      </c>
    </row>
    <row r="44" spans="1:5" x14ac:dyDescent="0.2">
      <c r="A44" t="s">
        <v>82</v>
      </c>
      <c r="B44" t="str">
        <f>INDEX(A4:A7,MATCH(MIN(G4:G7),G4:G7,0))</f>
        <v>Credit Card 2</v>
      </c>
    </row>
    <row r="45" spans="1:5" x14ac:dyDescent="0.2">
      <c r="A45" t="s">
        <v>83</v>
      </c>
      <c r="B45" t="str">
        <f>INDEX(A4:A7,MATCH(MAX(H4:H7),H4:H7,0))</f>
        <v>Student Loan</v>
      </c>
    </row>
    <row r="46" spans="1:5" x14ac:dyDescent="0.2">
      <c r="A46" t="s">
        <v>84</v>
      </c>
      <c r="B46" s="13">
        <f ca="1">DATE(YEAR(TODAY()),MONTH(TODAY())+MAX(G4:G7),DAY(TODAY()))</f>
        <v>48277</v>
      </c>
    </row>
    <row r="47" spans="1:5" x14ac:dyDescent="0.2">
      <c r="A47" t="s">
        <v>85</v>
      </c>
      <c r="B47" s="3">
        <f>F9</f>
        <v>1220</v>
      </c>
    </row>
  </sheetData>
  <conditionalFormatting sqref="E30:E4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{9175C30E-6435-6F41-A50D-2A1E23BFEA1C}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75C30E-6435-6F41-A50D-2A1E23BFEA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E30:E41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8765-BAE9-CB41-BDA3-B26AA110D515}">
  <dimension ref="A1:E92"/>
  <sheetViews>
    <sheetView topLeftCell="A51" zoomScale="106" zoomScaleNormal="157" workbookViewId="0">
      <selection activeCell="A87" sqref="A87:E92"/>
    </sheetView>
  </sheetViews>
  <sheetFormatPr baseColWidth="10" defaultRowHeight="16" x14ac:dyDescent="0.2"/>
  <cols>
    <col min="1" max="1" width="27.33203125" customWidth="1"/>
    <col min="2" max="2" width="20.83203125" customWidth="1"/>
    <col min="3" max="3" width="19.1640625" customWidth="1"/>
    <col min="4" max="4" width="15" customWidth="1"/>
    <col min="5" max="5" width="16" customWidth="1"/>
  </cols>
  <sheetData>
    <row r="1" spans="1:2" x14ac:dyDescent="0.2">
      <c r="A1" t="s">
        <v>86</v>
      </c>
    </row>
    <row r="3" spans="1:2" x14ac:dyDescent="0.2">
      <c r="A3" t="s">
        <v>87</v>
      </c>
    </row>
    <row r="4" spans="1:2" x14ac:dyDescent="0.2">
      <c r="A4" t="s">
        <v>88</v>
      </c>
      <c r="B4" s="3">
        <v>10000</v>
      </c>
    </row>
    <row r="5" spans="1:2" x14ac:dyDescent="0.2">
      <c r="A5" t="s">
        <v>89</v>
      </c>
      <c r="B5" s="3">
        <v>500</v>
      </c>
    </row>
    <row r="6" spans="1:2" x14ac:dyDescent="0.2">
      <c r="A6" t="s">
        <v>90</v>
      </c>
      <c r="B6" s="14">
        <v>7.0000000000000007E-2</v>
      </c>
    </row>
    <row r="7" spans="1:2" x14ac:dyDescent="0.2">
      <c r="A7" t="s">
        <v>91</v>
      </c>
      <c r="B7">
        <v>30</v>
      </c>
    </row>
    <row r="8" spans="1:2" x14ac:dyDescent="0.2">
      <c r="A8" t="s">
        <v>92</v>
      </c>
      <c r="B8" s="7">
        <v>5.0000000000000001E-3</v>
      </c>
    </row>
    <row r="10" spans="1:2" x14ac:dyDescent="0.2">
      <c r="A10" t="s">
        <v>93</v>
      </c>
    </row>
    <row r="11" spans="1:2" x14ac:dyDescent="0.2">
      <c r="A11" t="s">
        <v>94</v>
      </c>
      <c r="B11" s="15">
        <f>FV(B6/12,B7*12,-B5,-B4)</f>
        <v>691150.47264156758</v>
      </c>
    </row>
    <row r="12" spans="1:2" x14ac:dyDescent="0.2">
      <c r="A12" t="s">
        <v>95</v>
      </c>
      <c r="B12" s="3">
        <f>B4+(B5*B7*12)</f>
        <v>190000</v>
      </c>
    </row>
    <row r="13" spans="1:2" x14ac:dyDescent="0.2">
      <c r="A13" t="s">
        <v>96</v>
      </c>
      <c r="B13" s="15">
        <f>B11-B12</f>
        <v>501150.47264156758</v>
      </c>
    </row>
    <row r="14" spans="1:2" x14ac:dyDescent="0.2">
      <c r="A14" t="s">
        <v>97</v>
      </c>
      <c r="B14" s="16">
        <f>B11/B4</f>
        <v>69.115047264156757</v>
      </c>
    </row>
    <row r="15" spans="1:2" x14ac:dyDescent="0.2">
      <c r="A15" t="s">
        <v>98</v>
      </c>
      <c r="B15" s="14">
        <f>B6-B8</f>
        <v>6.5000000000000002E-2</v>
      </c>
    </row>
    <row r="17" spans="1:5" x14ac:dyDescent="0.2">
      <c r="A17" t="s">
        <v>99</v>
      </c>
    </row>
    <row r="19" spans="1:5" x14ac:dyDescent="0.2">
      <c r="A19" t="s">
        <v>100</v>
      </c>
      <c r="B19" t="s">
        <v>101</v>
      </c>
      <c r="C19" t="s">
        <v>102</v>
      </c>
      <c r="D19" t="s">
        <v>103</v>
      </c>
      <c r="E19" t="s">
        <v>104</v>
      </c>
    </row>
    <row r="20" spans="1:5" x14ac:dyDescent="0.2">
      <c r="A20">
        <v>0</v>
      </c>
      <c r="B20" s="3">
        <f>B4</f>
        <v>10000</v>
      </c>
      <c r="C20" s="3">
        <v>0</v>
      </c>
      <c r="D20" s="3">
        <v>0</v>
      </c>
      <c r="E20" s="3">
        <f>B4</f>
        <v>10000</v>
      </c>
    </row>
    <row r="21" spans="1:5" x14ac:dyDescent="0.2">
      <c r="A21">
        <v>1</v>
      </c>
      <c r="B21" s="3">
        <f>E20</f>
        <v>10000</v>
      </c>
      <c r="C21" s="3">
        <f>B5*12</f>
        <v>6000</v>
      </c>
      <c r="D21" s="3">
        <f>(B21+C21)*B6</f>
        <v>1120</v>
      </c>
      <c r="E21" s="3">
        <f>B21+C21+D21</f>
        <v>17120</v>
      </c>
    </row>
    <row r="22" spans="1:5" x14ac:dyDescent="0.2">
      <c r="A22">
        <v>2</v>
      </c>
      <c r="B22" s="3">
        <f>E21</f>
        <v>17120</v>
      </c>
      <c r="C22" s="3">
        <f>B5*12</f>
        <v>6000</v>
      </c>
      <c r="D22" s="3">
        <f>(B22+C22)*B6</f>
        <v>1618.4</v>
      </c>
      <c r="E22" s="3">
        <f>B22+C22+D22</f>
        <v>24738.400000000001</v>
      </c>
    </row>
    <row r="23" spans="1:5" x14ac:dyDescent="0.2">
      <c r="A23">
        <v>3</v>
      </c>
      <c r="B23" s="3">
        <f>E22</f>
        <v>24738.400000000001</v>
      </c>
      <c r="C23" s="3">
        <f>B5*12</f>
        <v>6000</v>
      </c>
      <c r="D23" s="3">
        <f>(B23+C23)*B6</f>
        <v>2151.6880000000001</v>
      </c>
      <c r="E23" s="3">
        <f>B23+C23+D23</f>
        <v>32890.088000000003</v>
      </c>
    </row>
    <row r="24" spans="1:5" x14ac:dyDescent="0.2">
      <c r="A24">
        <v>4</v>
      </c>
      <c r="B24" s="3">
        <f>E23</f>
        <v>32890.088000000003</v>
      </c>
      <c r="C24" s="3">
        <f>B5*12</f>
        <v>6000</v>
      </c>
      <c r="D24" s="3">
        <f>(B24+C24)*B6</f>
        <v>2722.3061600000005</v>
      </c>
      <c r="E24" s="3">
        <f>B24+C24+D24</f>
        <v>41612.394160000003</v>
      </c>
    </row>
    <row r="25" spans="1:5" x14ac:dyDescent="0.2">
      <c r="A25">
        <v>5</v>
      </c>
      <c r="B25" s="3">
        <f>E24</f>
        <v>41612.394160000003</v>
      </c>
      <c r="C25" s="3">
        <f>B5*12</f>
        <v>6000</v>
      </c>
      <c r="D25" s="3">
        <f>(B25+C25)*B6</f>
        <v>3332.8675912000003</v>
      </c>
      <c r="E25" s="3">
        <f>B25+C25+D25</f>
        <v>50945.261751200007</v>
      </c>
    </row>
    <row r="26" spans="1:5" x14ac:dyDescent="0.2">
      <c r="A26">
        <v>6</v>
      </c>
      <c r="B26" s="3">
        <f>E25</f>
        <v>50945.261751200007</v>
      </c>
      <c r="C26" s="3">
        <f>B5*12</f>
        <v>6000</v>
      </c>
      <c r="D26" s="3">
        <f>(B26+C26)*B6</f>
        <v>3986.1683225840011</v>
      </c>
      <c r="E26" s="3">
        <f>B26+C26+D26</f>
        <v>60931.430073784009</v>
      </c>
    </row>
    <row r="27" spans="1:5" x14ac:dyDescent="0.2">
      <c r="A27">
        <v>7</v>
      </c>
      <c r="B27" s="3">
        <f>E26</f>
        <v>60931.430073784009</v>
      </c>
      <c r="C27" s="3">
        <f>B5*12</f>
        <v>6000</v>
      </c>
      <c r="D27" s="3">
        <f>(B27+C27)*B6</f>
        <v>4685.2001051648813</v>
      </c>
      <c r="E27" s="3">
        <f>B27+C27+D27</f>
        <v>71616.630178948893</v>
      </c>
    </row>
    <row r="28" spans="1:5" x14ac:dyDescent="0.2">
      <c r="A28">
        <v>8</v>
      </c>
      <c r="B28" s="3">
        <f>E27</f>
        <v>71616.630178948893</v>
      </c>
      <c r="C28" s="3">
        <f>B5*12</f>
        <v>6000</v>
      </c>
      <c r="D28" s="3">
        <f>(B28+C28)*B6</f>
        <v>5433.1641125264232</v>
      </c>
      <c r="E28" s="3">
        <f>B28+C28+D28</f>
        <v>83049.794291475322</v>
      </c>
    </row>
    <row r="29" spans="1:5" x14ac:dyDescent="0.2">
      <c r="A29">
        <v>9</v>
      </c>
      <c r="B29" s="3">
        <f>E28</f>
        <v>83049.794291475322</v>
      </c>
      <c r="C29" s="3">
        <f>B5*12</f>
        <v>6000</v>
      </c>
      <c r="D29" s="3">
        <f>(B29+C29)*B6</f>
        <v>6233.4856004032736</v>
      </c>
      <c r="E29" s="3">
        <f>B29+C29+D29</f>
        <v>95283.279891878599</v>
      </c>
    </row>
    <row r="30" spans="1:5" x14ac:dyDescent="0.2">
      <c r="A30">
        <v>10</v>
      </c>
      <c r="B30" s="3">
        <f>E29</f>
        <v>95283.279891878599</v>
      </c>
      <c r="C30" s="3">
        <f>B5*12</f>
        <v>6000</v>
      </c>
      <c r="D30" s="3">
        <f>(B30+C30)*B6</f>
        <v>7089.8295924315025</v>
      </c>
      <c r="E30" s="3">
        <f>B30+C30+D30</f>
        <v>108373.1094843101</v>
      </c>
    </row>
    <row r="31" spans="1:5" x14ac:dyDescent="0.2">
      <c r="A31">
        <v>11</v>
      </c>
      <c r="B31" s="3">
        <f>E30</f>
        <v>108373.1094843101</v>
      </c>
      <c r="C31" s="3">
        <f>B5*12</f>
        <v>6000</v>
      </c>
      <c r="D31" s="3">
        <f>(B31+C31)*B6</f>
        <v>8006.1176639017076</v>
      </c>
      <c r="E31" s="3">
        <f>B31+C31+D31</f>
        <v>122379.22714821181</v>
      </c>
    </row>
    <row r="32" spans="1:5" x14ac:dyDescent="0.2">
      <c r="A32">
        <v>12</v>
      </c>
      <c r="B32" s="3">
        <f>E31</f>
        <v>122379.22714821181</v>
      </c>
      <c r="C32" s="3">
        <f>B5*12</f>
        <v>6000</v>
      </c>
      <c r="D32" s="3">
        <f>(B32+C32)*B6</f>
        <v>8986.5459003748274</v>
      </c>
      <c r="E32" s="3">
        <f>B32+C32+D32</f>
        <v>137365.77304858665</v>
      </c>
    </row>
    <row r="33" spans="1:5" x14ac:dyDescent="0.2">
      <c r="A33">
        <v>13</v>
      </c>
      <c r="B33" s="3">
        <f>E32</f>
        <v>137365.77304858665</v>
      </c>
      <c r="C33" s="3">
        <f>B5*12</f>
        <v>6000</v>
      </c>
      <c r="D33" s="3">
        <f>(B33+C33)*B6</f>
        <v>10035.604113401067</v>
      </c>
      <c r="E33" s="3">
        <f>B33+C33+D33</f>
        <v>153401.37716198771</v>
      </c>
    </row>
    <row r="34" spans="1:5" x14ac:dyDescent="0.2">
      <c r="A34">
        <v>14</v>
      </c>
      <c r="B34" s="3">
        <f>E33</f>
        <v>153401.37716198771</v>
      </c>
      <c r="C34" s="3">
        <f>B5*12</f>
        <v>6000</v>
      </c>
      <c r="D34" s="3">
        <f>(B34+C34)*B6</f>
        <v>11158.09640133914</v>
      </c>
      <c r="E34" s="3">
        <f>B34+C34+D34</f>
        <v>170559.47356332684</v>
      </c>
    </row>
    <row r="35" spans="1:5" x14ac:dyDescent="0.2">
      <c r="A35">
        <v>15</v>
      </c>
      <c r="B35" s="3">
        <f>E34</f>
        <v>170559.47356332684</v>
      </c>
      <c r="C35" s="3">
        <f>B5*12</f>
        <v>6000</v>
      </c>
      <c r="D35" s="3">
        <f>(B35+C35)*B6</f>
        <v>12359.163149432879</v>
      </c>
      <c r="E35" s="3">
        <f>B35+C35+D35</f>
        <v>188918.63671275973</v>
      </c>
    </row>
    <row r="36" spans="1:5" x14ac:dyDescent="0.2">
      <c r="A36">
        <v>16</v>
      </c>
      <c r="B36" s="3">
        <f>E35</f>
        <v>188918.63671275973</v>
      </c>
      <c r="C36" s="3">
        <f>B5*12</f>
        <v>6000</v>
      </c>
      <c r="D36" s="3">
        <f>(B36+C36)*B6</f>
        <v>13644.304569893182</v>
      </c>
      <c r="E36" s="3">
        <f>B36+C36+D36</f>
        <v>208562.9412826529</v>
      </c>
    </row>
    <row r="37" spans="1:5" x14ac:dyDescent="0.2">
      <c r="A37">
        <v>17</v>
      </c>
      <c r="B37" s="3">
        <f>E36</f>
        <v>208562.9412826529</v>
      </c>
      <c r="C37" s="3">
        <f>B5*12</f>
        <v>6000</v>
      </c>
      <c r="D37" s="3">
        <f>(B37+C37)*B6</f>
        <v>15019.405889785705</v>
      </c>
      <c r="E37" s="3">
        <f>B37+C37+D37</f>
        <v>229582.3471724386</v>
      </c>
    </row>
    <row r="38" spans="1:5" x14ac:dyDescent="0.2">
      <c r="A38">
        <v>18</v>
      </c>
      <c r="B38" s="3">
        <f>E37</f>
        <v>229582.3471724386</v>
      </c>
      <c r="C38" s="3">
        <f>B5*12</f>
        <v>6000</v>
      </c>
      <c r="D38" s="3">
        <f>(B38+C38)*B6</f>
        <v>16490.764302070704</v>
      </c>
      <c r="E38" s="3">
        <f>B38+C38+D38</f>
        <v>252073.11147450929</v>
      </c>
    </row>
    <row r="39" spans="1:5" x14ac:dyDescent="0.2">
      <c r="A39">
        <v>19</v>
      </c>
      <c r="B39" s="3">
        <f>E38</f>
        <v>252073.11147450929</v>
      </c>
      <c r="C39" s="3">
        <f>B5*12</f>
        <v>6000</v>
      </c>
      <c r="D39" s="3">
        <f>(B39+C39)*B6</f>
        <v>18065.117803215653</v>
      </c>
      <c r="E39" s="3">
        <f>B39+C39+D39</f>
        <v>276138.22927772492</v>
      </c>
    </row>
    <row r="40" spans="1:5" x14ac:dyDescent="0.2">
      <c r="A40">
        <v>20</v>
      </c>
      <c r="B40" s="3">
        <f>E39</f>
        <v>276138.22927772492</v>
      </c>
      <c r="C40" s="3">
        <f>B5*12</f>
        <v>6000</v>
      </c>
      <c r="D40" s="3">
        <f>(B40+C40)*B6</f>
        <v>19749.676049440746</v>
      </c>
      <c r="E40" s="3">
        <f>B40+C40+D40</f>
        <v>301887.90532716567</v>
      </c>
    </row>
    <row r="41" spans="1:5" x14ac:dyDescent="0.2">
      <c r="A41">
        <v>21</v>
      </c>
      <c r="B41" s="3">
        <f>E40</f>
        <v>301887.90532716567</v>
      </c>
      <c r="C41" s="3">
        <f>B5*12</f>
        <v>6000</v>
      </c>
      <c r="D41" s="3">
        <f>(B41+C41)*B6</f>
        <v>21552.153372901601</v>
      </c>
      <c r="E41" s="3">
        <f>B41+C41+D41</f>
        <v>329440.05870006728</v>
      </c>
    </row>
    <row r="42" spans="1:5" x14ac:dyDescent="0.2">
      <c r="A42">
        <v>22</v>
      </c>
      <c r="B42" s="3">
        <f>E41</f>
        <v>329440.05870006728</v>
      </c>
      <c r="C42" s="3">
        <f>B5*12</f>
        <v>6000</v>
      </c>
      <c r="D42" s="3">
        <f>(B42+C42)*B6</f>
        <v>23480.804109004712</v>
      </c>
      <c r="E42" s="3">
        <f>B42+C42+D42</f>
        <v>358920.86280907202</v>
      </c>
    </row>
    <row r="43" spans="1:5" x14ac:dyDescent="0.2">
      <c r="A43">
        <v>23</v>
      </c>
      <c r="B43" s="3">
        <f>E42</f>
        <v>358920.86280907202</v>
      </c>
      <c r="C43" s="3">
        <f>B5*12</f>
        <v>6000</v>
      </c>
      <c r="D43" s="3">
        <f>(B43+C43)*B6</f>
        <v>25544.460396635044</v>
      </c>
      <c r="E43" s="3">
        <f>B43+C43+D43</f>
        <v>390465.32320570707</v>
      </c>
    </row>
    <row r="44" spans="1:5" x14ac:dyDescent="0.2">
      <c r="A44">
        <v>24</v>
      </c>
      <c r="B44" s="3">
        <f>E43</f>
        <v>390465.32320570707</v>
      </c>
      <c r="C44" s="3">
        <f>B5*12</f>
        <v>6000</v>
      </c>
      <c r="D44" s="3">
        <f>(B44+C44)*B6</f>
        <v>27752.572624399498</v>
      </c>
      <c r="E44" s="3">
        <f>B44+C44+D44</f>
        <v>424217.89583010657</v>
      </c>
    </row>
    <row r="45" spans="1:5" x14ac:dyDescent="0.2">
      <c r="A45">
        <v>25</v>
      </c>
      <c r="B45" s="3">
        <f>E44</f>
        <v>424217.89583010657</v>
      </c>
      <c r="C45" s="3">
        <f>B5*12</f>
        <v>6000</v>
      </c>
      <c r="D45" s="3">
        <f>(B45+C45)*B6</f>
        <v>30115.252708107462</v>
      </c>
      <c r="E45" s="3">
        <f>B45+C45+D45</f>
        <v>460333.14853821404</v>
      </c>
    </row>
    <row r="46" spans="1:5" x14ac:dyDescent="0.2">
      <c r="A46">
        <v>26</v>
      </c>
      <c r="B46" s="3">
        <f>E45</f>
        <v>460333.14853821404</v>
      </c>
      <c r="C46" s="3">
        <f>B5*12</f>
        <v>6000</v>
      </c>
      <c r="D46" s="3">
        <f>(B46+C46)*B6</f>
        <v>32643.320397674986</v>
      </c>
      <c r="E46" s="3">
        <f>B46+C46+D46</f>
        <v>498976.46893588902</v>
      </c>
    </row>
    <row r="47" spans="1:5" x14ac:dyDescent="0.2">
      <c r="A47">
        <v>27</v>
      </c>
      <c r="B47" s="3">
        <f>E46</f>
        <v>498976.46893588902</v>
      </c>
      <c r="C47" s="3">
        <f>B5*12</f>
        <v>6000</v>
      </c>
      <c r="D47" s="3">
        <f>(B47+C47)*B6</f>
        <v>35348.352825512236</v>
      </c>
      <c r="E47" s="3">
        <f>B47+C47+D47</f>
        <v>540324.82176140125</v>
      </c>
    </row>
    <row r="48" spans="1:5" x14ac:dyDescent="0.2">
      <c r="A48">
        <v>28</v>
      </c>
      <c r="B48" s="3">
        <f>E47</f>
        <v>540324.82176140125</v>
      </c>
      <c r="C48" s="3">
        <f>B5*12</f>
        <v>6000</v>
      </c>
      <c r="D48" s="3">
        <f>(B48+C48)*B6</f>
        <v>38242.737523298092</v>
      </c>
      <c r="E48" s="3">
        <f>B48+C48+D48</f>
        <v>584567.55928469938</v>
      </c>
    </row>
    <row r="49" spans="1:5" x14ac:dyDescent="0.2">
      <c r="A49">
        <v>29</v>
      </c>
      <c r="B49" s="3">
        <f>E48</f>
        <v>584567.55928469938</v>
      </c>
      <c r="C49" s="3">
        <f>B5*12</f>
        <v>6000</v>
      </c>
      <c r="D49" s="3">
        <f>(B49+C49)*B6</f>
        <v>41339.729149928964</v>
      </c>
      <c r="E49" s="3">
        <f>B49+C49+D49</f>
        <v>631907.2884346284</v>
      </c>
    </row>
    <row r="50" spans="1:5" x14ac:dyDescent="0.2">
      <c r="A50">
        <v>30</v>
      </c>
      <c r="B50" s="3">
        <f>E49</f>
        <v>631907.2884346284</v>
      </c>
      <c r="C50" s="3">
        <f>B5*12</f>
        <v>6000</v>
      </c>
      <c r="D50" s="3">
        <f>(B50+C50)*B6</f>
        <v>44653.510190423993</v>
      </c>
      <c r="E50" s="3">
        <f>B50+C50+D50</f>
        <v>682560.79862505244</v>
      </c>
    </row>
    <row r="52" spans="1:5" x14ac:dyDescent="0.2">
      <c r="A52" t="s">
        <v>105</v>
      </c>
    </row>
    <row r="54" spans="1:5" x14ac:dyDescent="0.2">
      <c r="A54" t="s">
        <v>38</v>
      </c>
      <c r="B54" t="s">
        <v>106</v>
      </c>
      <c r="C54" t="s">
        <v>107</v>
      </c>
      <c r="D54" t="s">
        <v>96</v>
      </c>
    </row>
    <row r="55" spans="1:5" x14ac:dyDescent="0.2">
      <c r="A55" t="s">
        <v>108</v>
      </c>
      <c r="B55" s="14">
        <v>0.05</v>
      </c>
      <c r="C55" s="15">
        <f>FV(B55/12,$B$7*12,-$B$5,-$B$4)</f>
        <v>460806.76082080032</v>
      </c>
      <c r="D55" s="15">
        <f>C55-$B$12</f>
        <v>270806.76082080032</v>
      </c>
    </row>
    <row r="56" spans="1:5" x14ac:dyDescent="0.2">
      <c r="A56" t="s">
        <v>109</v>
      </c>
      <c r="B56" s="14">
        <v>7.0000000000000007E-2</v>
      </c>
      <c r="C56" s="15">
        <f>FV(B56/12,$B$7*12,-$B$5,-$B$4)</f>
        <v>691150.47264156758</v>
      </c>
      <c r="D56" s="15">
        <f>C56-$B$12</f>
        <v>501150.47264156758</v>
      </c>
    </row>
    <row r="57" spans="1:5" x14ac:dyDescent="0.2">
      <c r="A57" t="s">
        <v>110</v>
      </c>
      <c r="B57" s="14">
        <v>0.1</v>
      </c>
      <c r="C57" s="15">
        <f>FV(B57/12,$B$7*12,-$B$5,-$B$4)</f>
        <v>1328617.956131031</v>
      </c>
      <c r="D57" s="15">
        <f>C57-$B$12</f>
        <v>1138617.956131031</v>
      </c>
    </row>
    <row r="59" spans="1:5" x14ac:dyDescent="0.2">
      <c r="A59" t="s">
        <v>111</v>
      </c>
    </row>
    <row r="61" spans="1:5" x14ac:dyDescent="0.2">
      <c r="A61" t="s">
        <v>112</v>
      </c>
      <c r="B61">
        <v>60000</v>
      </c>
    </row>
    <row r="62" spans="1:5" x14ac:dyDescent="0.2">
      <c r="A62" t="s">
        <v>113</v>
      </c>
      <c r="B62" s="14">
        <v>0.04</v>
      </c>
    </row>
    <row r="63" spans="1:5" x14ac:dyDescent="0.2">
      <c r="A63" t="s">
        <v>114</v>
      </c>
      <c r="B63">
        <f>B61/B62</f>
        <v>1500000</v>
      </c>
    </row>
    <row r="64" spans="1:5" x14ac:dyDescent="0.2">
      <c r="A64" t="s">
        <v>115</v>
      </c>
      <c r="B64" s="15">
        <f>B11</f>
        <v>691150.47264156758</v>
      </c>
    </row>
    <row r="65" spans="1:3" x14ac:dyDescent="0.2">
      <c r="A65" t="s">
        <v>116</v>
      </c>
      <c r="B65" s="7">
        <f>B64/B63</f>
        <v>0.46076698176104508</v>
      </c>
    </row>
    <row r="66" spans="1:3" x14ac:dyDescent="0.2">
      <c r="A66" t="s">
        <v>117</v>
      </c>
      <c r="B66" t="str">
        <f>IF(B65&gt;=1,"✅ On Track!",IF(B65&gt;=0.75,"⚠️ Getting There","❌ Needs Attention"))</f>
        <v>❌ Needs Attention</v>
      </c>
    </row>
    <row r="68" spans="1:3" x14ac:dyDescent="0.2">
      <c r="A68" t="s">
        <v>118</v>
      </c>
    </row>
    <row r="70" spans="1:3" x14ac:dyDescent="0.2">
      <c r="A70" t="s">
        <v>119</v>
      </c>
      <c r="B70" t="s">
        <v>120</v>
      </c>
      <c r="C70" t="s">
        <v>107</v>
      </c>
    </row>
    <row r="71" spans="1:3" x14ac:dyDescent="0.2">
      <c r="A71">
        <v>1</v>
      </c>
      <c r="B71">
        <f ca="1">_xlfn.NORM.INV(RAND(),$B$6,0.15)</f>
        <v>0.3759136297439607</v>
      </c>
      <c r="C71" s="15">
        <f ca="1">FV(B71/12,$B$7*12,-$B$5,-$B$4)</f>
        <v>1725392261.5756259</v>
      </c>
    </row>
    <row r="72" spans="1:3" x14ac:dyDescent="0.2">
      <c r="A72">
        <v>2</v>
      </c>
      <c r="B72">
        <f ca="1">_xlfn.NORM.INV(RAND(),$B$6,0.15)</f>
        <v>0.15592562959292955</v>
      </c>
      <c r="C72" s="15">
        <f ca="1">FV(B72/12,$B$7*12,-$B$5,-$B$4)</f>
        <v>5019829.233868544</v>
      </c>
    </row>
    <row r="73" spans="1:3" x14ac:dyDescent="0.2">
      <c r="A73">
        <v>3</v>
      </c>
      <c r="B73">
        <f ca="1">_xlfn.NORM.INV(RAND(),$B$6,0.15)</f>
        <v>0.15204914114875717</v>
      </c>
      <c r="C73" s="15">
        <f ca="1">FV(B73/12,$B$7*12,-$B$5,-$B$4)</f>
        <v>4561407.5774182891</v>
      </c>
    </row>
    <row r="74" spans="1:3" x14ac:dyDescent="0.2">
      <c r="A74">
        <v>4</v>
      </c>
      <c r="B74">
        <f ca="1">_xlfn.NORM.INV(RAND(),$B$6,0.15)</f>
        <v>0.2567812575733347</v>
      </c>
      <c r="C74" s="15">
        <f ca="1">FV(B74/12,$B$7*12,-$B$5,-$B$4)</f>
        <v>68143735.187272727</v>
      </c>
    </row>
    <row r="75" spans="1:3" x14ac:dyDescent="0.2">
      <c r="A75">
        <v>5</v>
      </c>
      <c r="B75">
        <f ca="1">_xlfn.NORM.INV(RAND(),$B$6,0.15)</f>
        <v>-5.8481236605356979E-2</v>
      </c>
      <c r="C75" s="15">
        <f ca="1">FV(B75/12,$B$7*12,-$B$5,-$B$4)</f>
        <v>86645.862675819706</v>
      </c>
    </row>
    <row r="76" spans="1:3" x14ac:dyDescent="0.2">
      <c r="A76">
        <v>6</v>
      </c>
      <c r="B76">
        <f ca="1">_xlfn.NORM.INV(RAND(),$B$6,0.15)</f>
        <v>-5.1690079139848036E-2</v>
      </c>
      <c r="C76" s="15">
        <f ca="1">FV(B76/12,$B$7*12,-$B$5,-$B$4)</f>
        <v>93652.965218758734</v>
      </c>
    </row>
    <row r="77" spans="1:3" x14ac:dyDescent="0.2">
      <c r="A77">
        <v>7</v>
      </c>
      <c r="B77">
        <f ca="1">_xlfn.NORM.INV(RAND(),$B$6,0.15)</f>
        <v>-0.10621844211980749</v>
      </c>
      <c r="C77" s="15">
        <f ca="1">FV(B77/12,$B$7*12,-$B$5,-$B$4)</f>
        <v>54593.840066622608</v>
      </c>
    </row>
    <row r="78" spans="1:3" x14ac:dyDescent="0.2">
      <c r="A78">
        <v>8</v>
      </c>
      <c r="B78">
        <f ca="1">_xlfn.NORM.INV(RAND(),$B$6,0.15)</f>
        <v>4.9178343280663263E-2</v>
      </c>
      <c r="C78" s="15">
        <f ca="1">FV(B78/12,$B$7*12,-$B$5,-$B$4)</f>
        <v>453457.89333155472</v>
      </c>
    </row>
    <row r="79" spans="1:3" x14ac:dyDescent="0.2">
      <c r="A79">
        <v>9</v>
      </c>
      <c r="B79">
        <f ca="1">_xlfn.NORM.INV(RAND(),$B$6,0.15)</f>
        <v>2.095769444912382E-4</v>
      </c>
      <c r="C79" s="15">
        <f ca="1">FV(B79/12,$B$7*12,-$B$5,-$B$4)</f>
        <v>190628.53439969325</v>
      </c>
    </row>
    <row r="80" spans="1:3" x14ac:dyDescent="0.2">
      <c r="A80">
        <v>10</v>
      </c>
      <c r="B80">
        <f ca="1">_xlfn.NORM.INV(RAND(),$B$6,0.15)</f>
        <v>4.0411161249309158E-2</v>
      </c>
      <c r="C80" s="15">
        <f ca="1">FV(B80/12,$B$7*12,-$B$5,-$B$4)</f>
        <v>383124.16927282471</v>
      </c>
    </row>
    <row r="82" spans="1:2" x14ac:dyDescent="0.2">
      <c r="A82" t="s">
        <v>121</v>
      </c>
    </row>
    <row r="83" spans="1:2" x14ac:dyDescent="0.2">
      <c r="A83" t="s">
        <v>122</v>
      </c>
      <c r="B83">
        <f ca="1">PERCENTILE($C$71:$C$80,0.1)</f>
        <v>83440.66041489999</v>
      </c>
    </row>
    <row r="84" spans="1:2" x14ac:dyDescent="0.2">
      <c r="A84" t="s">
        <v>123</v>
      </c>
      <c r="B84">
        <f ca="1">PERCENTILE($C$71:$C$80,0.5)</f>
        <v>418291.03130218969</v>
      </c>
    </row>
    <row r="85" spans="1:2" x14ac:dyDescent="0.2">
      <c r="A85" t="s">
        <v>124</v>
      </c>
      <c r="B85">
        <f ca="1">PERCENTILE($C$71:$C$80,0.9)</f>
        <v>233868587.82610744</v>
      </c>
    </row>
    <row r="87" spans="1:2" x14ac:dyDescent="0.2">
      <c r="A87" t="s">
        <v>125</v>
      </c>
    </row>
    <row r="89" spans="1:2" x14ac:dyDescent="0.2">
      <c r="A89" t="s">
        <v>126</v>
      </c>
      <c r="B89" s="3">
        <f>B4</f>
        <v>10000</v>
      </c>
    </row>
    <row r="90" spans="1:2" x14ac:dyDescent="0.2">
      <c r="A90" t="s">
        <v>127</v>
      </c>
      <c r="B90" s="15">
        <f>B11</f>
        <v>691150.47264156758</v>
      </c>
    </row>
    <row r="91" spans="1:2" x14ac:dyDescent="0.2">
      <c r="A91" t="s">
        <v>128</v>
      </c>
      <c r="B91" s="15">
        <f>B13</f>
        <v>501150.47264156758</v>
      </c>
    </row>
    <row r="92" spans="1:2" x14ac:dyDescent="0.2">
      <c r="A92" t="s">
        <v>129</v>
      </c>
      <c r="B92" s="16">
        <f>B14</f>
        <v>69.115047264156757</v>
      </c>
    </row>
  </sheetData>
  <conditionalFormatting sqref="E20:E50">
    <cfRule type="colorScale" priority="2">
      <colorScale>
        <cfvo type="min"/>
        <cfvo type="max"/>
        <color rgb="FFFFEF9C"/>
        <color rgb="FF63BE7B"/>
      </colorScale>
    </cfRule>
  </conditionalFormatting>
  <conditionalFormatting sqref="B6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{60B81DF8-F9F3-704E-B2C1-68E0FB2F2248}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B81DF8-F9F3-704E-B2C1-68E0FB2F22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D1A7-6D0E-614A-94EC-770B2407C1BD}">
  <dimension ref="A1:D82"/>
  <sheetViews>
    <sheetView topLeftCell="A14" workbookViewId="0">
      <selection activeCell="F78" sqref="F78"/>
    </sheetView>
  </sheetViews>
  <sheetFormatPr baseColWidth="10" defaultRowHeight="16" x14ac:dyDescent="0.2"/>
  <cols>
    <col min="1" max="1" width="26.33203125" customWidth="1"/>
    <col min="2" max="2" width="20.33203125" customWidth="1"/>
  </cols>
  <sheetData>
    <row r="1" spans="1:2" x14ac:dyDescent="0.2">
      <c r="A1" t="s">
        <v>130</v>
      </c>
    </row>
    <row r="3" spans="1:2" x14ac:dyDescent="0.2">
      <c r="A3" t="s">
        <v>87</v>
      </c>
    </row>
    <row r="4" spans="1:2" x14ac:dyDescent="0.2">
      <c r="A4" t="s">
        <v>131</v>
      </c>
      <c r="B4" s="3">
        <v>4500</v>
      </c>
    </row>
    <row r="5" spans="1:2" x14ac:dyDescent="0.2">
      <c r="A5" t="s">
        <v>132</v>
      </c>
      <c r="B5">
        <v>6</v>
      </c>
    </row>
    <row r="6" spans="1:2" x14ac:dyDescent="0.2">
      <c r="A6" t="s">
        <v>133</v>
      </c>
      <c r="B6" s="3">
        <v>8500</v>
      </c>
    </row>
    <row r="7" spans="1:2" x14ac:dyDescent="0.2">
      <c r="A7" t="s">
        <v>89</v>
      </c>
      <c r="B7" s="3">
        <v>500</v>
      </c>
    </row>
    <row r="9" spans="1:2" x14ac:dyDescent="0.2">
      <c r="A9" t="s">
        <v>134</v>
      </c>
    </row>
    <row r="10" spans="1:2" x14ac:dyDescent="0.2">
      <c r="A10" t="s">
        <v>135</v>
      </c>
      <c r="B10" s="3">
        <f>B4*B5</f>
        <v>27000</v>
      </c>
    </row>
    <row r="11" spans="1:2" x14ac:dyDescent="0.2">
      <c r="A11" t="s">
        <v>136</v>
      </c>
      <c r="B11" s="3">
        <f>MAX(B10-B6,0)</f>
        <v>18500</v>
      </c>
    </row>
    <row r="12" spans="1:2" x14ac:dyDescent="0.2">
      <c r="A12" t="s">
        <v>137</v>
      </c>
      <c r="B12">
        <f>IF(B7&gt;0,B11/B7,"N/A")</f>
        <v>37</v>
      </c>
    </row>
    <row r="13" spans="1:2" x14ac:dyDescent="0.2">
      <c r="A13" t="s">
        <v>138</v>
      </c>
      <c r="B13" s="13">
        <f ca="1">IF(ISNUMBER(B12),DATE(YEAR(TODAY()),MONTH(TODAY())+B12,DAY(TODAY())),"N/A")</f>
        <v>47061</v>
      </c>
    </row>
    <row r="14" spans="1:2" x14ac:dyDescent="0.2">
      <c r="A14" t="s">
        <v>139</v>
      </c>
      <c r="B14">
        <f>B6/B10</f>
        <v>0.31481481481481483</v>
      </c>
    </row>
    <row r="16" spans="1:2" x14ac:dyDescent="0.2">
      <c r="A16" t="s">
        <v>140</v>
      </c>
    </row>
    <row r="18" spans="1:3" x14ac:dyDescent="0.2">
      <c r="A18" t="s">
        <v>141</v>
      </c>
      <c r="B18" s="3">
        <f>B6</f>
        <v>8500</v>
      </c>
      <c r="C18" t="str">
        <f>REPT("█",INT(B14*20))</f>
        <v>██████</v>
      </c>
    </row>
    <row r="19" spans="1:3" x14ac:dyDescent="0.2">
      <c r="A19" t="s">
        <v>142</v>
      </c>
      <c r="B19" s="3">
        <f>B10</f>
        <v>27000</v>
      </c>
      <c r="C19" t="str">
        <f>REPT("░",20)</f>
        <v>░░░░░░░░░░░░░░░░░░░░</v>
      </c>
    </row>
    <row r="20" spans="1:3" x14ac:dyDescent="0.2">
      <c r="A20" t="s">
        <v>49</v>
      </c>
      <c r="B20" s="3">
        <f>B11</f>
        <v>18500</v>
      </c>
    </row>
    <row r="22" spans="1:3" x14ac:dyDescent="0.2">
      <c r="A22" t="s">
        <v>143</v>
      </c>
    </row>
    <row r="24" spans="1:3" x14ac:dyDescent="0.2">
      <c r="A24" t="s">
        <v>144</v>
      </c>
      <c r="B24" s="3">
        <v>10000</v>
      </c>
    </row>
    <row r="25" spans="1:3" x14ac:dyDescent="0.2">
      <c r="A25" t="s">
        <v>145</v>
      </c>
      <c r="B25" s="3">
        <v>2000</v>
      </c>
    </row>
    <row r="26" spans="1:3" x14ac:dyDescent="0.2">
      <c r="A26" t="s">
        <v>146</v>
      </c>
      <c r="B26" s="3">
        <f>B4*0.7</f>
        <v>3150</v>
      </c>
    </row>
    <row r="27" spans="1:3" x14ac:dyDescent="0.2">
      <c r="A27" t="s">
        <v>147</v>
      </c>
      <c r="B27" s="3">
        <f>B6+B24</f>
        <v>18500</v>
      </c>
    </row>
    <row r="28" spans="1:3" x14ac:dyDescent="0.2">
      <c r="A28" t="s">
        <v>148</v>
      </c>
      <c r="B28">
        <f>(B27+(B25*6))/(B26-B25)</f>
        <v>26.521739130434781</v>
      </c>
    </row>
    <row r="29" spans="1:3" x14ac:dyDescent="0.2">
      <c r="A29" t="s">
        <v>117</v>
      </c>
      <c r="B29" t="str">
        <f>IF(B28&gt;=6,"✅ Well Protected",IF(B28&gt;=3,"⚠️ Adequate","❌ At Risk"))</f>
        <v>✅ Well Protected</v>
      </c>
    </row>
    <row r="31" spans="1:3" x14ac:dyDescent="0.2">
      <c r="A31" t="s">
        <v>149</v>
      </c>
    </row>
    <row r="33" spans="1:4" x14ac:dyDescent="0.2">
      <c r="A33" t="s">
        <v>150</v>
      </c>
      <c r="B33" s="3">
        <v>5000</v>
      </c>
    </row>
    <row r="34" spans="1:4" x14ac:dyDescent="0.2">
      <c r="A34" t="s">
        <v>151</v>
      </c>
      <c r="B34" s="3">
        <v>1500</v>
      </c>
    </row>
    <row r="35" spans="1:4" x14ac:dyDescent="0.2">
      <c r="A35" t="s">
        <v>152</v>
      </c>
      <c r="B35" s="3">
        <v>6000</v>
      </c>
    </row>
    <row r="36" spans="1:4" x14ac:dyDescent="0.2">
      <c r="A36" t="s">
        <v>153</v>
      </c>
      <c r="B36" s="3">
        <f>MIN(B33,B35)</f>
        <v>5000</v>
      </c>
    </row>
    <row r="37" spans="1:4" x14ac:dyDescent="0.2">
      <c r="A37" t="s">
        <v>154</v>
      </c>
      <c r="B37" s="3">
        <f>B6-B36</f>
        <v>3500</v>
      </c>
    </row>
    <row r="38" spans="1:4" x14ac:dyDescent="0.2">
      <c r="A38" t="s">
        <v>155</v>
      </c>
      <c r="B38">
        <f>B37/B4</f>
        <v>0.77777777777777779</v>
      </c>
    </row>
    <row r="39" spans="1:4" x14ac:dyDescent="0.2">
      <c r="A39" t="s">
        <v>117</v>
      </c>
      <c r="B39" t="str">
        <f>IF(B38&gt;=3,"✅ Still Protected",IF(B38&gt;=1,"⚠️ Depleted","❌ Insufficient"))</f>
        <v>❌ Insufficient</v>
      </c>
    </row>
    <row r="41" spans="1:4" x14ac:dyDescent="0.2">
      <c r="A41" t="s">
        <v>156</v>
      </c>
    </row>
    <row r="43" spans="1:4" x14ac:dyDescent="0.2">
      <c r="A43" t="s">
        <v>77</v>
      </c>
      <c r="B43" t="s">
        <v>157</v>
      </c>
      <c r="C43" t="s">
        <v>158</v>
      </c>
      <c r="D43" t="s">
        <v>159</v>
      </c>
    </row>
    <row r="44" spans="1:4" x14ac:dyDescent="0.2">
      <c r="A44">
        <v>0</v>
      </c>
      <c r="B44">
        <v>0</v>
      </c>
      <c r="C44" s="3">
        <f>B6</f>
        <v>8500</v>
      </c>
      <c r="D44">
        <f>C44/$B$10</f>
        <v>0.31481481481481483</v>
      </c>
    </row>
    <row r="45" spans="1:4" x14ac:dyDescent="0.2">
      <c r="A45">
        <v>1</v>
      </c>
      <c r="B45" s="3">
        <f>B7</f>
        <v>500</v>
      </c>
      <c r="C45" s="3">
        <f>C44+B45</f>
        <v>9000</v>
      </c>
      <c r="D45">
        <f>C45/$B$10</f>
        <v>0.33333333333333331</v>
      </c>
    </row>
    <row r="46" spans="1:4" x14ac:dyDescent="0.2">
      <c r="A46">
        <v>2</v>
      </c>
      <c r="B46" s="3">
        <f>B7</f>
        <v>500</v>
      </c>
      <c r="C46" s="3">
        <f>C45+B46</f>
        <v>9500</v>
      </c>
      <c r="D46">
        <f>C46/$B$10</f>
        <v>0.35185185185185186</v>
      </c>
    </row>
    <row r="47" spans="1:4" x14ac:dyDescent="0.2">
      <c r="A47">
        <v>3</v>
      </c>
      <c r="B47" s="3">
        <f>B7</f>
        <v>500</v>
      </c>
      <c r="C47" s="3">
        <f>C46+B47</f>
        <v>10000</v>
      </c>
      <c r="D47">
        <f>C47/$B$10</f>
        <v>0.37037037037037035</v>
      </c>
    </row>
    <row r="48" spans="1:4" x14ac:dyDescent="0.2">
      <c r="A48">
        <v>4</v>
      </c>
      <c r="B48" s="3">
        <f>B7</f>
        <v>500</v>
      </c>
      <c r="C48" s="3">
        <f>C47+B48</f>
        <v>10500</v>
      </c>
      <c r="D48">
        <f>C48/$B$10</f>
        <v>0.3888888888888889</v>
      </c>
    </row>
    <row r="49" spans="1:4" x14ac:dyDescent="0.2">
      <c r="A49">
        <v>5</v>
      </c>
      <c r="B49" s="3">
        <f>B7</f>
        <v>500</v>
      </c>
      <c r="C49" s="3">
        <f>C48+B49</f>
        <v>11000</v>
      </c>
      <c r="D49">
        <f>C49/$B$10</f>
        <v>0.40740740740740738</v>
      </c>
    </row>
    <row r="50" spans="1:4" x14ac:dyDescent="0.2">
      <c r="A50">
        <v>6</v>
      </c>
      <c r="B50" s="3">
        <f>B7</f>
        <v>500</v>
      </c>
      <c r="C50" s="3">
        <f>C49+B50</f>
        <v>11500</v>
      </c>
      <c r="D50">
        <f>C50/$B$10</f>
        <v>0.42592592592592593</v>
      </c>
    </row>
    <row r="51" spans="1:4" x14ac:dyDescent="0.2">
      <c r="A51">
        <v>7</v>
      </c>
      <c r="B51" s="3">
        <f>B7</f>
        <v>500</v>
      </c>
      <c r="C51" s="3">
        <f>C50+B51</f>
        <v>12000</v>
      </c>
      <c r="D51">
        <f>C51/$B$10</f>
        <v>0.44444444444444442</v>
      </c>
    </row>
    <row r="52" spans="1:4" x14ac:dyDescent="0.2">
      <c r="A52">
        <v>8</v>
      </c>
      <c r="B52" s="3">
        <f>B7</f>
        <v>500</v>
      </c>
      <c r="C52" s="3">
        <f>C51+B52</f>
        <v>12500</v>
      </c>
      <c r="D52">
        <f>C52/$B$10</f>
        <v>0.46296296296296297</v>
      </c>
    </row>
    <row r="53" spans="1:4" x14ac:dyDescent="0.2">
      <c r="A53">
        <v>9</v>
      </c>
      <c r="B53" s="3">
        <f>B7</f>
        <v>500</v>
      </c>
      <c r="C53" s="3">
        <f>C52+B53</f>
        <v>13000</v>
      </c>
      <c r="D53">
        <f>C53/$B$10</f>
        <v>0.48148148148148145</v>
      </c>
    </row>
    <row r="54" spans="1:4" x14ac:dyDescent="0.2">
      <c r="A54">
        <v>10</v>
      </c>
      <c r="B54" s="3">
        <f>B7</f>
        <v>500</v>
      </c>
      <c r="C54" s="3">
        <f>C53+B54</f>
        <v>13500</v>
      </c>
      <c r="D54">
        <f>C54/$B$10</f>
        <v>0.5</v>
      </c>
    </row>
    <row r="55" spans="1:4" x14ac:dyDescent="0.2">
      <c r="A55">
        <v>11</v>
      </c>
      <c r="B55" s="3">
        <f>B7</f>
        <v>500</v>
      </c>
      <c r="C55" s="3">
        <f>C54+B55</f>
        <v>14000</v>
      </c>
      <c r="D55">
        <f>C55/$B$10</f>
        <v>0.51851851851851849</v>
      </c>
    </row>
    <row r="56" spans="1:4" x14ac:dyDescent="0.2">
      <c r="A56">
        <v>12</v>
      </c>
      <c r="B56" s="3">
        <f>B7</f>
        <v>500</v>
      </c>
      <c r="C56" s="3">
        <f>C55+B56</f>
        <v>14500</v>
      </c>
      <c r="D56">
        <f>C56/$B$10</f>
        <v>0.53703703703703709</v>
      </c>
    </row>
    <row r="57" spans="1:4" x14ac:dyDescent="0.2">
      <c r="A57">
        <v>13</v>
      </c>
      <c r="B57" s="3">
        <f>B7</f>
        <v>500</v>
      </c>
      <c r="C57" s="3">
        <f>C56+B57</f>
        <v>15000</v>
      </c>
      <c r="D57">
        <f>C57/$B$10</f>
        <v>0.55555555555555558</v>
      </c>
    </row>
    <row r="58" spans="1:4" x14ac:dyDescent="0.2">
      <c r="A58">
        <v>14</v>
      </c>
      <c r="B58" s="3">
        <f>B7</f>
        <v>500</v>
      </c>
      <c r="C58" s="3">
        <f>C57+B58</f>
        <v>15500</v>
      </c>
      <c r="D58">
        <f>C58/$B$10</f>
        <v>0.57407407407407407</v>
      </c>
    </row>
    <row r="59" spans="1:4" x14ac:dyDescent="0.2">
      <c r="A59">
        <v>15</v>
      </c>
      <c r="B59" s="3">
        <f>B7</f>
        <v>500</v>
      </c>
      <c r="C59" s="3">
        <f>C58+B59</f>
        <v>16000</v>
      </c>
      <c r="D59">
        <f>C59/$B$10</f>
        <v>0.59259259259259256</v>
      </c>
    </row>
    <row r="60" spans="1:4" x14ac:dyDescent="0.2">
      <c r="A60">
        <v>16</v>
      </c>
      <c r="B60" s="3">
        <f>B7</f>
        <v>500</v>
      </c>
      <c r="C60" s="3">
        <f>C59+B60</f>
        <v>16500</v>
      </c>
      <c r="D60">
        <f>C60/$B$10</f>
        <v>0.61111111111111116</v>
      </c>
    </row>
    <row r="61" spans="1:4" x14ac:dyDescent="0.2">
      <c r="A61">
        <v>17</v>
      </c>
      <c r="B61" s="3">
        <f>B7</f>
        <v>500</v>
      </c>
      <c r="C61" s="3">
        <f>C60+B61</f>
        <v>17000</v>
      </c>
      <c r="D61">
        <f>C61/$B$10</f>
        <v>0.62962962962962965</v>
      </c>
    </row>
    <row r="62" spans="1:4" x14ac:dyDescent="0.2">
      <c r="A62">
        <v>18</v>
      </c>
      <c r="B62" s="3">
        <f>B7</f>
        <v>500</v>
      </c>
      <c r="C62" s="3">
        <f>C61+B62</f>
        <v>17500</v>
      </c>
      <c r="D62">
        <f>C62/$B$10</f>
        <v>0.64814814814814814</v>
      </c>
    </row>
    <row r="63" spans="1:4" x14ac:dyDescent="0.2">
      <c r="A63">
        <v>19</v>
      </c>
      <c r="B63" s="3">
        <f>B7</f>
        <v>500</v>
      </c>
      <c r="C63" s="3">
        <f>C62+B63</f>
        <v>18000</v>
      </c>
      <c r="D63">
        <f>C63/$B$10</f>
        <v>0.66666666666666663</v>
      </c>
    </row>
    <row r="64" spans="1:4" x14ac:dyDescent="0.2">
      <c r="A64">
        <v>20</v>
      </c>
      <c r="B64" s="3">
        <f>B7</f>
        <v>500</v>
      </c>
      <c r="C64" s="3">
        <f>C63+B64</f>
        <v>18500</v>
      </c>
      <c r="D64">
        <f>C64/$B$10</f>
        <v>0.68518518518518523</v>
      </c>
    </row>
    <row r="65" spans="1:4" x14ac:dyDescent="0.2">
      <c r="A65">
        <v>21</v>
      </c>
      <c r="B65" s="3">
        <f>B7</f>
        <v>500</v>
      </c>
      <c r="C65" s="3">
        <f>C64+B65</f>
        <v>19000</v>
      </c>
      <c r="D65">
        <f>C65/$B$10</f>
        <v>0.70370370370370372</v>
      </c>
    </row>
    <row r="66" spans="1:4" x14ac:dyDescent="0.2">
      <c r="A66">
        <v>22</v>
      </c>
      <c r="B66" s="3">
        <f>B7</f>
        <v>500</v>
      </c>
      <c r="C66" s="3">
        <f>C65+B66</f>
        <v>19500</v>
      </c>
      <c r="D66">
        <f>C66/$B$10</f>
        <v>0.72222222222222221</v>
      </c>
    </row>
    <row r="67" spans="1:4" x14ac:dyDescent="0.2">
      <c r="A67">
        <v>23</v>
      </c>
      <c r="B67" s="3">
        <f>B7</f>
        <v>500</v>
      </c>
      <c r="C67" s="3">
        <f>C66+B67</f>
        <v>20000</v>
      </c>
      <c r="D67">
        <f>C67/$B$10</f>
        <v>0.7407407407407407</v>
      </c>
    </row>
    <row r="68" spans="1:4" x14ac:dyDescent="0.2">
      <c r="A68">
        <v>24</v>
      </c>
      <c r="B68" s="3">
        <f>B7</f>
        <v>500</v>
      </c>
      <c r="C68" s="3">
        <f>C67+B68</f>
        <v>20500</v>
      </c>
      <c r="D68">
        <f>C68/$B$10</f>
        <v>0.7592592592592593</v>
      </c>
    </row>
    <row r="70" spans="1:4" x14ac:dyDescent="0.2">
      <c r="A70" t="s">
        <v>160</v>
      </c>
    </row>
    <row r="72" spans="1:4" x14ac:dyDescent="0.2">
      <c r="A72" t="s">
        <v>161</v>
      </c>
      <c r="B72" s="3">
        <f>B10</f>
        <v>27000</v>
      </c>
    </row>
    <row r="73" spans="1:4" x14ac:dyDescent="0.2">
      <c r="A73" t="s">
        <v>162</v>
      </c>
      <c r="B73" s="3">
        <f>B6</f>
        <v>8500</v>
      </c>
    </row>
    <row r="74" spans="1:4" x14ac:dyDescent="0.2">
      <c r="A74" t="s">
        <v>163</v>
      </c>
      <c r="B74">
        <f>B14</f>
        <v>0.31481481481481483</v>
      </c>
    </row>
    <row r="75" spans="1:4" x14ac:dyDescent="0.2">
      <c r="A75" t="s">
        <v>164</v>
      </c>
      <c r="B75">
        <f>B12</f>
        <v>37</v>
      </c>
    </row>
    <row r="76" spans="1:4" x14ac:dyDescent="0.2">
      <c r="A76" t="s">
        <v>165</v>
      </c>
      <c r="B76" t="str">
        <f>IF(B14&gt;=1,"FULLY FUNDED!",IF(B14&gt;=0.5,"HALFWAY THERE","BUILDING UP"))</f>
        <v>BUILDING UP</v>
      </c>
    </row>
    <row r="78" spans="1:4" x14ac:dyDescent="0.2">
      <c r="A78" t="s">
        <v>166</v>
      </c>
    </row>
    <row r="79" spans="1:4" x14ac:dyDescent="0.2">
      <c r="A79" t="str">
        <f>IF(B14&lt;0.5,"• Focus on building your emergency fund before other investments","• Great progress! Keep contributing monthly.")</f>
        <v>• Focus on building your emergency fund before other investments</v>
      </c>
    </row>
    <row r="80" spans="1:4" x14ac:dyDescent="0.2">
      <c r="A80" t="str">
        <f>IF(B4&gt;5000,"• Consider ways to reduce monthly expenses to build fund faster","• Your expense level is manageable.")</f>
        <v>• Your expense level is manageable.</v>
      </c>
    </row>
    <row r="81" spans="1:1" x14ac:dyDescent="0.2">
      <c r="A81" t="str">
        <f>IF(B7&lt;(B4*0.1),"• Try to save at least 10% of monthly expenses","• Your contribution rate is solid!")</f>
        <v>• Your contribution rate is solid!</v>
      </c>
    </row>
    <row r="82" spans="1:1" x14ac:dyDescent="0.2">
      <c r="A82" t="s">
        <v>167</v>
      </c>
    </row>
  </sheetData>
  <conditionalFormatting sqref="B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{F21F4DC7-0F16-F649-BD58-42F8EBEDEA55}</x14:id>
        </ext>
      </extLst>
    </cfRule>
  </conditionalFormatting>
  <conditionalFormatting sqref="D44:D68"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percent" val="0"/>
        <cfvo type="percent" val="50"/>
        <cfvo type="percent" val="100"/>
        <color rgb="FFFF0000"/>
        <color rgb="FFFFC000"/>
        <color theme="9" tint="-0.49998474074526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1F4DC7-0F16-F649-BD58-42F8EBEDEA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BFA5-0B04-2146-B574-66377FEA05A7}">
  <dimension ref="A1:B22"/>
  <sheetViews>
    <sheetView tabSelected="1" workbookViewId="0">
      <selection activeCell="D27" sqref="D27"/>
    </sheetView>
  </sheetViews>
  <sheetFormatPr baseColWidth="10" defaultRowHeight="16" x14ac:dyDescent="0.2"/>
  <cols>
    <col min="1" max="1" width="28.1640625" customWidth="1"/>
    <col min="2" max="2" width="21.5" customWidth="1"/>
  </cols>
  <sheetData>
    <row r="1" spans="1:2" x14ac:dyDescent="0.2">
      <c r="A1" t="s">
        <v>168</v>
      </c>
    </row>
    <row r="3" spans="1:2" x14ac:dyDescent="0.2">
      <c r="A3" t="s">
        <v>169</v>
      </c>
    </row>
    <row r="4" spans="1:2" x14ac:dyDescent="0.2">
      <c r="A4" t="s">
        <v>170</v>
      </c>
      <c r="B4">
        <f>'Budget Planner'!B8</f>
        <v>5700</v>
      </c>
    </row>
    <row r="5" spans="1:2" x14ac:dyDescent="0.2">
      <c r="A5" t="s">
        <v>171</v>
      </c>
      <c r="B5">
        <f>'Budget Planner'!B39</f>
        <v>4850</v>
      </c>
    </row>
    <row r="6" spans="1:2" x14ac:dyDescent="0.2">
      <c r="A6" t="s">
        <v>172</v>
      </c>
      <c r="B6">
        <f>'Budget Planner'!B41</f>
        <v>850</v>
      </c>
    </row>
    <row r="7" spans="1:2" x14ac:dyDescent="0.2">
      <c r="A7" t="s">
        <v>173</v>
      </c>
      <c r="B7" s="7">
        <f>'Budget Planner'!B42</f>
        <v>0.14912280701754385</v>
      </c>
    </row>
    <row r="9" spans="1:2" x14ac:dyDescent="0.2">
      <c r="A9" t="s">
        <v>174</v>
      </c>
    </row>
    <row r="10" spans="1:2" x14ac:dyDescent="0.2">
      <c r="A10" t="s">
        <v>175</v>
      </c>
      <c r="B10">
        <f>'Debt Payoff'!B9</f>
        <v>49898.15</v>
      </c>
    </row>
    <row r="11" spans="1:2" x14ac:dyDescent="0.2">
      <c r="A11" t="s">
        <v>176</v>
      </c>
      <c r="B11">
        <f>'Debt Payoff'!F9</f>
        <v>1220</v>
      </c>
    </row>
    <row r="12" spans="1:2" x14ac:dyDescent="0.2">
      <c r="A12" t="s">
        <v>177</v>
      </c>
      <c r="B12" t="str">
        <f>MAX('Debt Payoff'!G4:G7)&amp;" months"</f>
        <v>77.644407033043 months</v>
      </c>
    </row>
    <row r="14" spans="1:2" x14ac:dyDescent="0.2">
      <c r="A14" t="s">
        <v>178</v>
      </c>
    </row>
    <row r="15" spans="1:2" x14ac:dyDescent="0.2">
      <c r="A15" t="s">
        <v>179</v>
      </c>
      <c r="B15">
        <f>Investment!B4</f>
        <v>10000</v>
      </c>
    </row>
    <row r="16" spans="1:2" x14ac:dyDescent="0.2">
      <c r="A16" t="s">
        <v>180</v>
      </c>
      <c r="B16" s="15">
        <f>Investment!B11</f>
        <v>691150.47264156758</v>
      </c>
    </row>
    <row r="17" spans="1:2" x14ac:dyDescent="0.2">
      <c r="A17" t="s">
        <v>181</v>
      </c>
      <c r="B17" t="str">
        <f>Investment!B14&amp;"x"</f>
        <v>69.1150472641568x</v>
      </c>
    </row>
    <row r="19" spans="1:2" x14ac:dyDescent="0.2">
      <c r="A19" t="s">
        <v>182</v>
      </c>
    </row>
    <row r="20" spans="1:2" x14ac:dyDescent="0.2">
      <c r="A20" t="s">
        <v>142</v>
      </c>
      <c r="B20">
        <f>'Emergency Fund'!B10</f>
        <v>27000</v>
      </c>
    </row>
    <row r="21" spans="1:2" x14ac:dyDescent="0.2">
      <c r="A21" t="s">
        <v>141</v>
      </c>
      <c r="B21">
        <f>'Emergency Fund'!B6</f>
        <v>8500</v>
      </c>
    </row>
    <row r="22" spans="1:2" x14ac:dyDescent="0.2">
      <c r="A22" t="s">
        <v>183</v>
      </c>
      <c r="B22">
        <f>'Emergency Fund'!B14</f>
        <v>0.31481481481481483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 Planner</vt:lpstr>
      <vt:lpstr>Debt Payoff</vt:lpstr>
      <vt:lpstr>Investment</vt:lpstr>
      <vt:lpstr>Emergency Fund</vt:lpstr>
      <vt:lpstr>Dasboard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Jogani, Vinay</dc:creator>
  <cp:lastModifiedBy>Jogani, Vinay</cp:lastModifiedBy>
  <dcterms:created xsi:type="dcterms:W3CDTF">2025-10-04T23:58:03Z</dcterms:created>
  <dcterms:modified xsi:type="dcterms:W3CDTF">2025-10-05T03:11:44Z</dcterms:modified>
</cp:coreProperties>
</file>