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a8c83f8db0133/Desktop/"/>
    </mc:Choice>
  </mc:AlternateContent>
  <xr:revisionPtr revIDLastSave="1" documentId="8_{8DABFD7A-A9EE-412F-A71B-C36B59A35075}" xr6:coauthVersionLast="47" xr6:coauthVersionMax="47" xr10:uidLastSave="{CE27F9F1-8A06-4DA9-A5B0-AEE15C323C78}"/>
  <bookViews>
    <workbookView xWindow="-109" yWindow="-109" windowWidth="26301" windowHeight="14169" xr2:uid="{09892462-304D-4602-A9DA-70F0ED2AE9C1}"/>
  </bookViews>
  <sheets>
    <sheet name="Balance Sheet" sheetId="1" r:id="rId1"/>
    <sheet name="CFS" sheetId="7" r:id="rId2"/>
    <sheet name="Schedules_Populated" sheetId="6" r:id="rId3"/>
    <sheet name="Profit &amp; Loss Statement" sheetId="2" r:id="rId4"/>
    <sheet name="Revenue Model" sheetId="4" r:id="rId5"/>
    <sheet name="Assumptions" sheetId="3" r:id="rId6"/>
    <sheet name="WACC" sheetId="9" r:id="rId7"/>
    <sheet name="FCFF" sheetId="10" r:id="rId8"/>
    <sheet name="Relative Valuation" sheetId="11" r:id="rId9"/>
  </sheets>
  <definedNames>
    <definedName name="_xlnm._FilterDatabase" localSheetId="6" hidden="1">WACC!$A$1:$C$469</definedName>
    <definedName name="solver_adj" localSheetId="4" hidden="1">'Revenue Model'!$G$13:$K$13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'Revenue Model'!$G$13:$K$13</definedName>
    <definedName name="solver_lhs2" localSheetId="4" hidden="1">'Revenue Model'!$G$13:$K$13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'Revenue Model'!$M$13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3</definedName>
    <definedName name="solver_rhs1" localSheetId="4" hidden="1">30%</definedName>
    <definedName name="solver_rhs2" localSheetId="4" hidden="1">7%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0.3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11" l="1"/>
  <c r="D9" i="11"/>
  <c r="N28" i="10"/>
  <c r="O28" i="10" s="1"/>
  <c r="L28" i="10"/>
  <c r="K28" i="10" s="1"/>
  <c r="J32" i="10"/>
  <c r="J33" i="10" s="1"/>
  <c r="J29" i="10"/>
  <c r="J30" i="10"/>
  <c r="C31" i="10"/>
  <c r="E21" i="10"/>
  <c r="F21" i="10" s="1"/>
  <c r="G21" i="10" s="1"/>
  <c r="H21" i="10" s="1"/>
  <c r="I21" i="10" s="1"/>
  <c r="J21" i="10" s="1"/>
  <c r="K21" i="10" s="1"/>
  <c r="L21" i="10" s="1"/>
  <c r="M21" i="10" s="1"/>
  <c r="N21" i="10" s="1"/>
  <c r="O21" i="10" s="1"/>
  <c r="P21" i="10" s="1"/>
  <c r="Q21" i="10" s="1"/>
  <c r="D21" i="10"/>
  <c r="C21" i="10"/>
  <c r="C18" i="10"/>
  <c r="C16" i="10"/>
  <c r="H20" i="9"/>
  <c r="H14" i="9"/>
  <c r="E8" i="9"/>
  <c r="D3" i="9"/>
  <c r="B19" i="7"/>
  <c r="O31" i="1"/>
  <c r="N31" i="1"/>
  <c r="M31" i="1"/>
  <c r="L31" i="1"/>
  <c r="K31" i="1"/>
  <c r="K30" i="1"/>
  <c r="J34" i="3"/>
  <c r="K34" i="3" s="1"/>
  <c r="J28" i="3"/>
  <c r="I40" i="3"/>
  <c r="J40" i="3" s="1"/>
  <c r="H40" i="3"/>
  <c r="G40" i="3"/>
  <c r="F40" i="3"/>
  <c r="I39" i="3"/>
  <c r="H39" i="3"/>
  <c r="G39" i="3"/>
  <c r="J39" i="3" s="1"/>
  <c r="F39" i="3"/>
  <c r="I38" i="3"/>
  <c r="J38" i="3" s="1"/>
  <c r="H38" i="3"/>
  <c r="G38" i="3"/>
  <c r="F38" i="3"/>
  <c r="I36" i="3"/>
  <c r="H36" i="3"/>
  <c r="G36" i="3"/>
  <c r="F36" i="3"/>
  <c r="I35" i="3"/>
  <c r="H35" i="3"/>
  <c r="G35" i="3"/>
  <c r="F35" i="3"/>
  <c r="I34" i="3"/>
  <c r="H34" i="3"/>
  <c r="G34" i="3"/>
  <c r="F34" i="3"/>
  <c r="I31" i="3"/>
  <c r="H31" i="3"/>
  <c r="G31" i="3"/>
  <c r="F31" i="3"/>
  <c r="I30" i="3"/>
  <c r="H30" i="3"/>
  <c r="G30" i="3"/>
  <c r="F30" i="3"/>
  <c r="I29" i="3"/>
  <c r="J29" i="3" s="1"/>
  <c r="H29" i="3"/>
  <c r="G29" i="3"/>
  <c r="F29" i="3"/>
  <c r="I28" i="3"/>
  <c r="H28" i="3"/>
  <c r="G28" i="3"/>
  <c r="F28" i="3"/>
  <c r="I27" i="3"/>
  <c r="J27" i="3" s="1"/>
  <c r="H27" i="3"/>
  <c r="G27" i="3"/>
  <c r="F27" i="3"/>
  <c r="I24" i="3"/>
  <c r="J24" i="3" s="1"/>
  <c r="H24" i="3"/>
  <c r="G24" i="3"/>
  <c r="F24" i="3"/>
  <c r="I23" i="3"/>
  <c r="J23" i="3" s="1"/>
  <c r="H23" i="3"/>
  <c r="G23" i="3"/>
  <c r="F23" i="3"/>
  <c r="I22" i="3"/>
  <c r="H22" i="3"/>
  <c r="G22" i="3"/>
  <c r="J22" i="3" s="1"/>
  <c r="F22" i="3"/>
  <c r="E40" i="3"/>
  <c r="E39" i="3"/>
  <c r="E38" i="3"/>
  <c r="E35" i="3"/>
  <c r="E36" i="3"/>
  <c r="E34" i="3"/>
  <c r="E29" i="3"/>
  <c r="E30" i="3"/>
  <c r="E31" i="3"/>
  <c r="E28" i="3"/>
  <c r="E27" i="3"/>
  <c r="E24" i="3"/>
  <c r="E23" i="3"/>
  <c r="E22" i="3"/>
  <c r="K40" i="3" l="1"/>
  <c r="K41" i="1"/>
  <c r="K38" i="3"/>
  <c r="K39" i="1"/>
  <c r="K29" i="3"/>
  <c r="K14" i="1"/>
  <c r="K12" i="1"/>
  <c r="K27" i="3"/>
  <c r="K39" i="3"/>
  <c r="K40" i="1"/>
  <c r="K22" i="3"/>
  <c r="K6" i="1"/>
  <c r="B12" i="7"/>
  <c r="J31" i="3"/>
  <c r="K24" i="3"/>
  <c r="K9" i="1"/>
  <c r="K7" i="1"/>
  <c r="K23" i="3"/>
  <c r="K28" i="3"/>
  <c r="K13" i="1"/>
  <c r="J30" i="3"/>
  <c r="L34" i="3"/>
  <c r="L30" i="1"/>
  <c r="N17" i="2"/>
  <c r="M17" i="2"/>
  <c r="L17" i="2"/>
  <c r="K17" i="2"/>
  <c r="J17" i="2"/>
  <c r="J52" i="6"/>
  <c r="K52" i="6" s="1"/>
  <c r="L52" i="6" s="1"/>
  <c r="I60" i="6"/>
  <c r="I91" i="6"/>
  <c r="I50" i="6"/>
  <c r="I89" i="6"/>
  <c r="H89" i="6"/>
  <c r="J89" i="6" s="1"/>
  <c r="G89" i="6"/>
  <c r="F89" i="6"/>
  <c r="E89" i="6"/>
  <c r="J103" i="6"/>
  <c r="J104" i="6" s="1"/>
  <c r="J105" i="6" s="1"/>
  <c r="J100" i="6"/>
  <c r="J101" i="6" s="1"/>
  <c r="J102" i="6" s="1"/>
  <c r="J80" i="6" s="1"/>
  <c r="J97" i="6"/>
  <c r="J98" i="6" s="1"/>
  <c r="J99" i="6" s="1"/>
  <c r="M34" i="3" l="1"/>
  <c r="M30" i="1"/>
  <c r="L24" i="3"/>
  <c r="L9" i="1"/>
  <c r="L27" i="3"/>
  <c r="L12" i="1"/>
  <c r="K30" i="3"/>
  <c r="K15" i="1"/>
  <c r="B8" i="7" s="1"/>
  <c r="K31" i="3"/>
  <c r="K16" i="1"/>
  <c r="L28" i="3"/>
  <c r="L13" i="1"/>
  <c r="L14" i="1"/>
  <c r="L29" i="3"/>
  <c r="M14" i="1" s="1"/>
  <c r="J106" i="6"/>
  <c r="L23" i="3"/>
  <c r="L7" i="1"/>
  <c r="L22" i="3"/>
  <c r="L6" i="1"/>
  <c r="L38" i="3"/>
  <c r="L39" i="1"/>
  <c r="J76" i="6"/>
  <c r="J88" i="6" s="1"/>
  <c r="C12" i="7"/>
  <c r="L39" i="3"/>
  <c r="L40" i="1"/>
  <c r="L40" i="3"/>
  <c r="L41" i="1"/>
  <c r="M52" i="6"/>
  <c r="K89" i="6"/>
  <c r="L89" i="6" s="1"/>
  <c r="M89" i="6" s="1"/>
  <c r="K16" i="4"/>
  <c r="L16" i="4" s="1"/>
  <c r="M16" i="4" s="1"/>
  <c r="N16" i="4" s="1"/>
  <c r="J16" i="4"/>
  <c r="I18" i="4"/>
  <c r="I12" i="4"/>
  <c r="I10" i="3" s="1"/>
  <c r="I4" i="4"/>
  <c r="I20" i="4" s="1"/>
  <c r="I3" i="4"/>
  <c r="I6" i="4" s="1"/>
  <c r="I21" i="4" s="1"/>
  <c r="D4" i="9"/>
  <c r="E4" i="9"/>
  <c r="E3" i="9"/>
  <c r="E926" i="9"/>
  <c r="D926" i="9"/>
  <c r="E925" i="9"/>
  <c r="D925" i="9"/>
  <c r="E924" i="9"/>
  <c r="D924" i="9"/>
  <c r="E923" i="9"/>
  <c r="D923" i="9"/>
  <c r="E922" i="9"/>
  <c r="D922" i="9"/>
  <c r="E921" i="9"/>
  <c r="D921" i="9"/>
  <c r="E920" i="9"/>
  <c r="D920" i="9"/>
  <c r="E919" i="9"/>
  <c r="D919" i="9"/>
  <c r="E918" i="9"/>
  <c r="D918" i="9"/>
  <c r="E917" i="9"/>
  <c r="D917" i="9"/>
  <c r="E916" i="9"/>
  <c r="D916" i="9"/>
  <c r="E915" i="9"/>
  <c r="D915" i="9"/>
  <c r="E914" i="9"/>
  <c r="D914" i="9"/>
  <c r="E913" i="9"/>
  <c r="D913" i="9"/>
  <c r="E912" i="9"/>
  <c r="D912" i="9"/>
  <c r="E911" i="9"/>
  <c r="D911" i="9"/>
  <c r="E910" i="9"/>
  <c r="D910" i="9"/>
  <c r="E909" i="9"/>
  <c r="D909" i="9"/>
  <c r="E908" i="9"/>
  <c r="D908" i="9"/>
  <c r="E907" i="9"/>
  <c r="D907" i="9"/>
  <c r="E906" i="9"/>
  <c r="D906" i="9"/>
  <c r="E905" i="9"/>
  <c r="D905" i="9"/>
  <c r="E904" i="9"/>
  <c r="D904" i="9"/>
  <c r="E903" i="9"/>
  <c r="D903" i="9"/>
  <c r="E902" i="9"/>
  <c r="D902" i="9"/>
  <c r="E901" i="9"/>
  <c r="D901" i="9"/>
  <c r="E900" i="9"/>
  <c r="D900" i="9"/>
  <c r="E899" i="9"/>
  <c r="D899" i="9"/>
  <c r="E898" i="9"/>
  <c r="D898" i="9"/>
  <c r="E897" i="9"/>
  <c r="D897" i="9"/>
  <c r="E896" i="9"/>
  <c r="D896" i="9"/>
  <c r="E895" i="9"/>
  <c r="D895" i="9"/>
  <c r="E894" i="9"/>
  <c r="D894" i="9"/>
  <c r="E893" i="9"/>
  <c r="D893" i="9"/>
  <c r="E892" i="9"/>
  <c r="D892" i="9"/>
  <c r="E891" i="9"/>
  <c r="D891" i="9"/>
  <c r="E890" i="9"/>
  <c r="D890" i="9"/>
  <c r="E889" i="9"/>
  <c r="D889" i="9"/>
  <c r="E888" i="9"/>
  <c r="D888" i="9"/>
  <c r="E887" i="9"/>
  <c r="D887" i="9"/>
  <c r="E886" i="9"/>
  <c r="D886" i="9"/>
  <c r="E885" i="9"/>
  <c r="D885" i="9"/>
  <c r="E884" i="9"/>
  <c r="D884" i="9"/>
  <c r="E883" i="9"/>
  <c r="D883" i="9"/>
  <c r="E882" i="9"/>
  <c r="D882" i="9"/>
  <c r="E881" i="9"/>
  <c r="D881" i="9"/>
  <c r="E880" i="9"/>
  <c r="D880" i="9"/>
  <c r="E879" i="9"/>
  <c r="D879" i="9"/>
  <c r="E878" i="9"/>
  <c r="D878" i="9"/>
  <c r="E877" i="9"/>
  <c r="D877" i="9"/>
  <c r="E876" i="9"/>
  <c r="D876" i="9"/>
  <c r="E875" i="9"/>
  <c r="D875" i="9"/>
  <c r="E874" i="9"/>
  <c r="D874" i="9"/>
  <c r="E873" i="9"/>
  <c r="D873" i="9"/>
  <c r="E872" i="9"/>
  <c r="D872" i="9"/>
  <c r="E871" i="9"/>
  <c r="D871" i="9"/>
  <c r="E870" i="9"/>
  <c r="D870" i="9"/>
  <c r="E869" i="9"/>
  <c r="D869" i="9"/>
  <c r="E868" i="9"/>
  <c r="D868" i="9"/>
  <c r="E867" i="9"/>
  <c r="D867" i="9"/>
  <c r="E866" i="9"/>
  <c r="D866" i="9"/>
  <c r="E865" i="9"/>
  <c r="D865" i="9"/>
  <c r="E864" i="9"/>
  <c r="D864" i="9"/>
  <c r="E863" i="9"/>
  <c r="D863" i="9"/>
  <c r="E862" i="9"/>
  <c r="D862" i="9"/>
  <c r="E861" i="9"/>
  <c r="D861" i="9"/>
  <c r="E860" i="9"/>
  <c r="D860" i="9"/>
  <c r="E859" i="9"/>
  <c r="D859" i="9"/>
  <c r="E858" i="9"/>
  <c r="D858" i="9"/>
  <c r="E857" i="9"/>
  <c r="D857" i="9"/>
  <c r="E856" i="9"/>
  <c r="D856" i="9"/>
  <c r="E855" i="9"/>
  <c r="D855" i="9"/>
  <c r="E854" i="9"/>
  <c r="D854" i="9"/>
  <c r="E853" i="9"/>
  <c r="D853" i="9"/>
  <c r="E852" i="9"/>
  <c r="D852" i="9"/>
  <c r="E851" i="9"/>
  <c r="D851" i="9"/>
  <c r="E850" i="9"/>
  <c r="D850" i="9"/>
  <c r="E849" i="9"/>
  <c r="D849" i="9"/>
  <c r="E848" i="9"/>
  <c r="D848" i="9"/>
  <c r="E847" i="9"/>
  <c r="D847" i="9"/>
  <c r="E846" i="9"/>
  <c r="D846" i="9"/>
  <c r="E845" i="9"/>
  <c r="D845" i="9"/>
  <c r="E844" i="9"/>
  <c r="D844" i="9"/>
  <c r="E843" i="9"/>
  <c r="D843" i="9"/>
  <c r="E842" i="9"/>
  <c r="D842" i="9"/>
  <c r="E841" i="9"/>
  <c r="D841" i="9"/>
  <c r="E840" i="9"/>
  <c r="D840" i="9"/>
  <c r="E839" i="9"/>
  <c r="D839" i="9"/>
  <c r="E838" i="9"/>
  <c r="D838" i="9"/>
  <c r="E837" i="9"/>
  <c r="D837" i="9"/>
  <c r="E836" i="9"/>
  <c r="D836" i="9"/>
  <c r="E835" i="9"/>
  <c r="D835" i="9"/>
  <c r="E834" i="9"/>
  <c r="D834" i="9"/>
  <c r="E833" i="9"/>
  <c r="D833" i="9"/>
  <c r="E832" i="9"/>
  <c r="D832" i="9"/>
  <c r="E831" i="9"/>
  <c r="D831" i="9"/>
  <c r="E830" i="9"/>
  <c r="D830" i="9"/>
  <c r="E829" i="9"/>
  <c r="D829" i="9"/>
  <c r="E828" i="9"/>
  <c r="D828" i="9"/>
  <c r="E827" i="9"/>
  <c r="D827" i="9"/>
  <c r="E826" i="9"/>
  <c r="D826" i="9"/>
  <c r="E825" i="9"/>
  <c r="D825" i="9"/>
  <c r="E824" i="9"/>
  <c r="D824" i="9"/>
  <c r="E823" i="9"/>
  <c r="D823" i="9"/>
  <c r="E822" i="9"/>
  <c r="D822" i="9"/>
  <c r="E821" i="9"/>
  <c r="D821" i="9"/>
  <c r="E820" i="9"/>
  <c r="D820" i="9"/>
  <c r="E819" i="9"/>
  <c r="D819" i="9"/>
  <c r="E818" i="9"/>
  <c r="D818" i="9"/>
  <c r="E817" i="9"/>
  <c r="D817" i="9"/>
  <c r="E816" i="9"/>
  <c r="D816" i="9"/>
  <c r="E815" i="9"/>
  <c r="D815" i="9"/>
  <c r="E814" i="9"/>
  <c r="D814" i="9"/>
  <c r="E813" i="9"/>
  <c r="D813" i="9"/>
  <c r="E812" i="9"/>
  <c r="D812" i="9"/>
  <c r="E811" i="9"/>
  <c r="D811" i="9"/>
  <c r="E810" i="9"/>
  <c r="D810" i="9"/>
  <c r="E809" i="9"/>
  <c r="D809" i="9"/>
  <c r="E808" i="9"/>
  <c r="D808" i="9"/>
  <c r="E807" i="9"/>
  <c r="D807" i="9"/>
  <c r="E806" i="9"/>
  <c r="D806" i="9"/>
  <c r="E805" i="9"/>
  <c r="D805" i="9"/>
  <c r="E804" i="9"/>
  <c r="D804" i="9"/>
  <c r="E803" i="9"/>
  <c r="D803" i="9"/>
  <c r="E802" i="9"/>
  <c r="D802" i="9"/>
  <c r="E801" i="9"/>
  <c r="D801" i="9"/>
  <c r="E800" i="9"/>
  <c r="D800" i="9"/>
  <c r="E799" i="9"/>
  <c r="D799" i="9"/>
  <c r="E798" i="9"/>
  <c r="D798" i="9"/>
  <c r="E797" i="9"/>
  <c r="D797" i="9"/>
  <c r="E796" i="9"/>
  <c r="D796" i="9"/>
  <c r="E795" i="9"/>
  <c r="D795" i="9"/>
  <c r="E794" i="9"/>
  <c r="D794" i="9"/>
  <c r="E793" i="9"/>
  <c r="D793" i="9"/>
  <c r="E792" i="9"/>
  <c r="D792" i="9"/>
  <c r="E791" i="9"/>
  <c r="D791" i="9"/>
  <c r="E790" i="9"/>
  <c r="D790" i="9"/>
  <c r="E789" i="9"/>
  <c r="D789" i="9"/>
  <c r="E788" i="9"/>
  <c r="D788" i="9"/>
  <c r="E787" i="9"/>
  <c r="D787" i="9"/>
  <c r="E786" i="9"/>
  <c r="D786" i="9"/>
  <c r="E785" i="9"/>
  <c r="D785" i="9"/>
  <c r="E784" i="9"/>
  <c r="D784" i="9"/>
  <c r="E783" i="9"/>
  <c r="D783" i="9"/>
  <c r="E782" i="9"/>
  <c r="D782" i="9"/>
  <c r="E781" i="9"/>
  <c r="D781" i="9"/>
  <c r="E780" i="9"/>
  <c r="D780" i="9"/>
  <c r="E779" i="9"/>
  <c r="D779" i="9"/>
  <c r="E778" i="9"/>
  <c r="D778" i="9"/>
  <c r="E777" i="9"/>
  <c r="D777" i="9"/>
  <c r="E776" i="9"/>
  <c r="D776" i="9"/>
  <c r="E775" i="9"/>
  <c r="D775" i="9"/>
  <c r="E774" i="9"/>
  <c r="D774" i="9"/>
  <c r="E773" i="9"/>
  <c r="D773" i="9"/>
  <c r="E772" i="9"/>
  <c r="D772" i="9"/>
  <c r="E771" i="9"/>
  <c r="D771" i="9"/>
  <c r="E770" i="9"/>
  <c r="D770" i="9"/>
  <c r="E769" i="9"/>
  <c r="D769" i="9"/>
  <c r="E768" i="9"/>
  <c r="D768" i="9"/>
  <c r="E767" i="9"/>
  <c r="D767" i="9"/>
  <c r="E766" i="9"/>
  <c r="D766" i="9"/>
  <c r="E765" i="9"/>
  <c r="D765" i="9"/>
  <c r="E764" i="9"/>
  <c r="D764" i="9"/>
  <c r="E763" i="9"/>
  <c r="D763" i="9"/>
  <c r="E762" i="9"/>
  <c r="D762" i="9"/>
  <c r="E761" i="9"/>
  <c r="D761" i="9"/>
  <c r="E760" i="9"/>
  <c r="D760" i="9"/>
  <c r="E759" i="9"/>
  <c r="D759" i="9"/>
  <c r="E758" i="9"/>
  <c r="D758" i="9"/>
  <c r="E757" i="9"/>
  <c r="D757" i="9"/>
  <c r="E756" i="9"/>
  <c r="D756" i="9"/>
  <c r="E755" i="9"/>
  <c r="D755" i="9"/>
  <c r="E754" i="9"/>
  <c r="D754" i="9"/>
  <c r="E753" i="9"/>
  <c r="D753" i="9"/>
  <c r="E752" i="9"/>
  <c r="D752" i="9"/>
  <c r="E751" i="9"/>
  <c r="D751" i="9"/>
  <c r="E750" i="9"/>
  <c r="D750" i="9"/>
  <c r="E749" i="9"/>
  <c r="D749" i="9"/>
  <c r="E748" i="9"/>
  <c r="D748" i="9"/>
  <c r="E747" i="9"/>
  <c r="D747" i="9"/>
  <c r="E746" i="9"/>
  <c r="D746" i="9"/>
  <c r="E745" i="9"/>
  <c r="D745" i="9"/>
  <c r="E744" i="9"/>
  <c r="D744" i="9"/>
  <c r="E743" i="9"/>
  <c r="D743" i="9"/>
  <c r="E742" i="9"/>
  <c r="D742" i="9"/>
  <c r="E741" i="9"/>
  <c r="D741" i="9"/>
  <c r="E740" i="9"/>
  <c r="D740" i="9"/>
  <c r="E739" i="9"/>
  <c r="D739" i="9"/>
  <c r="E738" i="9"/>
  <c r="D738" i="9"/>
  <c r="E737" i="9"/>
  <c r="D737" i="9"/>
  <c r="E736" i="9"/>
  <c r="D736" i="9"/>
  <c r="E735" i="9"/>
  <c r="D735" i="9"/>
  <c r="E734" i="9"/>
  <c r="D734" i="9"/>
  <c r="E733" i="9"/>
  <c r="D733" i="9"/>
  <c r="E732" i="9"/>
  <c r="D732" i="9"/>
  <c r="E731" i="9"/>
  <c r="D731" i="9"/>
  <c r="E730" i="9"/>
  <c r="D730" i="9"/>
  <c r="E729" i="9"/>
  <c r="D729" i="9"/>
  <c r="E728" i="9"/>
  <c r="D728" i="9"/>
  <c r="E727" i="9"/>
  <c r="D727" i="9"/>
  <c r="E726" i="9"/>
  <c r="D726" i="9"/>
  <c r="E725" i="9"/>
  <c r="D725" i="9"/>
  <c r="E724" i="9"/>
  <c r="D724" i="9"/>
  <c r="E723" i="9"/>
  <c r="D723" i="9"/>
  <c r="E722" i="9"/>
  <c r="D722" i="9"/>
  <c r="E721" i="9"/>
  <c r="D721" i="9"/>
  <c r="E720" i="9"/>
  <c r="D720" i="9"/>
  <c r="E719" i="9"/>
  <c r="D719" i="9"/>
  <c r="E718" i="9"/>
  <c r="D718" i="9"/>
  <c r="E717" i="9"/>
  <c r="D717" i="9"/>
  <c r="E716" i="9"/>
  <c r="D716" i="9"/>
  <c r="E715" i="9"/>
  <c r="D715" i="9"/>
  <c r="E714" i="9"/>
  <c r="D714" i="9"/>
  <c r="E713" i="9"/>
  <c r="D713" i="9"/>
  <c r="E712" i="9"/>
  <c r="D712" i="9"/>
  <c r="E711" i="9"/>
  <c r="D711" i="9"/>
  <c r="E710" i="9"/>
  <c r="D710" i="9"/>
  <c r="E709" i="9"/>
  <c r="D709" i="9"/>
  <c r="E708" i="9"/>
  <c r="D708" i="9"/>
  <c r="E707" i="9"/>
  <c r="D707" i="9"/>
  <c r="E706" i="9"/>
  <c r="D706" i="9"/>
  <c r="E705" i="9"/>
  <c r="D705" i="9"/>
  <c r="E704" i="9"/>
  <c r="D704" i="9"/>
  <c r="E703" i="9"/>
  <c r="D703" i="9"/>
  <c r="E702" i="9"/>
  <c r="D702" i="9"/>
  <c r="E701" i="9"/>
  <c r="D701" i="9"/>
  <c r="E700" i="9"/>
  <c r="D700" i="9"/>
  <c r="E699" i="9"/>
  <c r="D699" i="9"/>
  <c r="E698" i="9"/>
  <c r="D698" i="9"/>
  <c r="E697" i="9"/>
  <c r="D697" i="9"/>
  <c r="E696" i="9"/>
  <c r="D696" i="9"/>
  <c r="E695" i="9"/>
  <c r="D695" i="9"/>
  <c r="E694" i="9"/>
  <c r="D694" i="9"/>
  <c r="E693" i="9"/>
  <c r="D693" i="9"/>
  <c r="E692" i="9"/>
  <c r="D692" i="9"/>
  <c r="E691" i="9"/>
  <c r="D691" i="9"/>
  <c r="E690" i="9"/>
  <c r="D690" i="9"/>
  <c r="E689" i="9"/>
  <c r="D689" i="9"/>
  <c r="E688" i="9"/>
  <c r="D688" i="9"/>
  <c r="E687" i="9"/>
  <c r="D687" i="9"/>
  <c r="E686" i="9"/>
  <c r="D686" i="9"/>
  <c r="E685" i="9"/>
  <c r="D685" i="9"/>
  <c r="E684" i="9"/>
  <c r="D684" i="9"/>
  <c r="E683" i="9"/>
  <c r="D683" i="9"/>
  <c r="E682" i="9"/>
  <c r="D682" i="9"/>
  <c r="E681" i="9"/>
  <c r="D681" i="9"/>
  <c r="E680" i="9"/>
  <c r="D680" i="9"/>
  <c r="E679" i="9"/>
  <c r="D679" i="9"/>
  <c r="E678" i="9"/>
  <c r="D678" i="9"/>
  <c r="E677" i="9"/>
  <c r="D677" i="9"/>
  <c r="E676" i="9"/>
  <c r="D676" i="9"/>
  <c r="E675" i="9"/>
  <c r="D675" i="9"/>
  <c r="E674" i="9"/>
  <c r="D674" i="9"/>
  <c r="E673" i="9"/>
  <c r="D673" i="9"/>
  <c r="E672" i="9"/>
  <c r="D672" i="9"/>
  <c r="E671" i="9"/>
  <c r="D671" i="9"/>
  <c r="E670" i="9"/>
  <c r="D670" i="9"/>
  <c r="E669" i="9"/>
  <c r="D669" i="9"/>
  <c r="E668" i="9"/>
  <c r="D668" i="9"/>
  <c r="E667" i="9"/>
  <c r="D667" i="9"/>
  <c r="E666" i="9"/>
  <c r="D666" i="9"/>
  <c r="E665" i="9"/>
  <c r="D665" i="9"/>
  <c r="E664" i="9"/>
  <c r="D664" i="9"/>
  <c r="E663" i="9"/>
  <c r="D663" i="9"/>
  <c r="E662" i="9"/>
  <c r="D662" i="9"/>
  <c r="E661" i="9"/>
  <c r="D661" i="9"/>
  <c r="E660" i="9"/>
  <c r="D660" i="9"/>
  <c r="E659" i="9"/>
  <c r="D659" i="9"/>
  <c r="E658" i="9"/>
  <c r="D658" i="9"/>
  <c r="E657" i="9"/>
  <c r="D657" i="9"/>
  <c r="E656" i="9"/>
  <c r="D656" i="9"/>
  <c r="E655" i="9"/>
  <c r="D655" i="9"/>
  <c r="E654" i="9"/>
  <c r="D654" i="9"/>
  <c r="E653" i="9"/>
  <c r="D653" i="9"/>
  <c r="E652" i="9"/>
  <c r="D652" i="9"/>
  <c r="E651" i="9"/>
  <c r="D651" i="9"/>
  <c r="E650" i="9"/>
  <c r="D650" i="9"/>
  <c r="E649" i="9"/>
  <c r="D649" i="9"/>
  <c r="E648" i="9"/>
  <c r="D648" i="9"/>
  <c r="E647" i="9"/>
  <c r="D647" i="9"/>
  <c r="E646" i="9"/>
  <c r="D646" i="9"/>
  <c r="E645" i="9"/>
  <c r="D645" i="9"/>
  <c r="E644" i="9"/>
  <c r="D644" i="9"/>
  <c r="E643" i="9"/>
  <c r="D643" i="9"/>
  <c r="E642" i="9"/>
  <c r="D642" i="9"/>
  <c r="E641" i="9"/>
  <c r="D641" i="9"/>
  <c r="E640" i="9"/>
  <c r="D640" i="9"/>
  <c r="E639" i="9"/>
  <c r="D639" i="9"/>
  <c r="E638" i="9"/>
  <c r="D638" i="9"/>
  <c r="E637" i="9"/>
  <c r="D637" i="9"/>
  <c r="E636" i="9"/>
  <c r="D636" i="9"/>
  <c r="E635" i="9"/>
  <c r="D635" i="9"/>
  <c r="E634" i="9"/>
  <c r="D634" i="9"/>
  <c r="E633" i="9"/>
  <c r="D633" i="9"/>
  <c r="E632" i="9"/>
  <c r="D632" i="9"/>
  <c r="E631" i="9"/>
  <c r="D631" i="9"/>
  <c r="E630" i="9"/>
  <c r="D630" i="9"/>
  <c r="E629" i="9"/>
  <c r="D629" i="9"/>
  <c r="E628" i="9"/>
  <c r="D628" i="9"/>
  <c r="E627" i="9"/>
  <c r="D627" i="9"/>
  <c r="E626" i="9"/>
  <c r="D626" i="9"/>
  <c r="E625" i="9"/>
  <c r="D625" i="9"/>
  <c r="E624" i="9"/>
  <c r="D624" i="9"/>
  <c r="E623" i="9"/>
  <c r="D623" i="9"/>
  <c r="E622" i="9"/>
  <c r="D622" i="9"/>
  <c r="E621" i="9"/>
  <c r="D621" i="9"/>
  <c r="E620" i="9"/>
  <c r="D620" i="9"/>
  <c r="E619" i="9"/>
  <c r="D619" i="9"/>
  <c r="E618" i="9"/>
  <c r="D618" i="9"/>
  <c r="E617" i="9"/>
  <c r="D617" i="9"/>
  <c r="E616" i="9"/>
  <c r="D616" i="9"/>
  <c r="E615" i="9"/>
  <c r="D615" i="9"/>
  <c r="E614" i="9"/>
  <c r="D614" i="9"/>
  <c r="E613" i="9"/>
  <c r="D613" i="9"/>
  <c r="E612" i="9"/>
  <c r="D612" i="9"/>
  <c r="E611" i="9"/>
  <c r="D611" i="9"/>
  <c r="E610" i="9"/>
  <c r="D610" i="9"/>
  <c r="E609" i="9"/>
  <c r="D609" i="9"/>
  <c r="E608" i="9"/>
  <c r="D608" i="9"/>
  <c r="E607" i="9"/>
  <c r="D607" i="9"/>
  <c r="E606" i="9"/>
  <c r="D606" i="9"/>
  <c r="E605" i="9"/>
  <c r="D605" i="9"/>
  <c r="E604" i="9"/>
  <c r="D604" i="9"/>
  <c r="E603" i="9"/>
  <c r="D603" i="9"/>
  <c r="E602" i="9"/>
  <c r="D602" i="9"/>
  <c r="E601" i="9"/>
  <c r="D601" i="9"/>
  <c r="E600" i="9"/>
  <c r="D600" i="9"/>
  <c r="E599" i="9"/>
  <c r="D599" i="9"/>
  <c r="E598" i="9"/>
  <c r="D598" i="9"/>
  <c r="E597" i="9"/>
  <c r="D597" i="9"/>
  <c r="E596" i="9"/>
  <c r="D596" i="9"/>
  <c r="E595" i="9"/>
  <c r="D595" i="9"/>
  <c r="E594" i="9"/>
  <c r="D594" i="9"/>
  <c r="E593" i="9"/>
  <c r="D593" i="9"/>
  <c r="E592" i="9"/>
  <c r="D592" i="9"/>
  <c r="E591" i="9"/>
  <c r="D591" i="9"/>
  <c r="E590" i="9"/>
  <c r="D590" i="9"/>
  <c r="E589" i="9"/>
  <c r="D589" i="9"/>
  <c r="E588" i="9"/>
  <c r="D588" i="9"/>
  <c r="E587" i="9"/>
  <c r="D587" i="9"/>
  <c r="E586" i="9"/>
  <c r="D586" i="9"/>
  <c r="E585" i="9"/>
  <c r="D585" i="9"/>
  <c r="E584" i="9"/>
  <c r="D584" i="9"/>
  <c r="E583" i="9"/>
  <c r="D583" i="9"/>
  <c r="E582" i="9"/>
  <c r="D582" i="9"/>
  <c r="E581" i="9"/>
  <c r="D581" i="9"/>
  <c r="E580" i="9"/>
  <c r="D580" i="9"/>
  <c r="E579" i="9"/>
  <c r="D579" i="9"/>
  <c r="E578" i="9"/>
  <c r="D578" i="9"/>
  <c r="E577" i="9"/>
  <c r="D577" i="9"/>
  <c r="E576" i="9"/>
  <c r="D576" i="9"/>
  <c r="E575" i="9"/>
  <c r="D575" i="9"/>
  <c r="E574" i="9"/>
  <c r="D574" i="9"/>
  <c r="E573" i="9"/>
  <c r="D573" i="9"/>
  <c r="E572" i="9"/>
  <c r="D572" i="9"/>
  <c r="E571" i="9"/>
  <c r="D571" i="9"/>
  <c r="E570" i="9"/>
  <c r="D570" i="9"/>
  <c r="E569" i="9"/>
  <c r="D569" i="9"/>
  <c r="E568" i="9"/>
  <c r="D568" i="9"/>
  <c r="E567" i="9"/>
  <c r="D567" i="9"/>
  <c r="E566" i="9"/>
  <c r="D566" i="9"/>
  <c r="E565" i="9"/>
  <c r="D565" i="9"/>
  <c r="E564" i="9"/>
  <c r="D564" i="9"/>
  <c r="E563" i="9"/>
  <c r="D563" i="9"/>
  <c r="E562" i="9"/>
  <c r="D562" i="9"/>
  <c r="E561" i="9"/>
  <c r="D561" i="9"/>
  <c r="E560" i="9"/>
  <c r="D560" i="9"/>
  <c r="E559" i="9"/>
  <c r="D559" i="9"/>
  <c r="E558" i="9"/>
  <c r="D558" i="9"/>
  <c r="E557" i="9"/>
  <c r="D557" i="9"/>
  <c r="E556" i="9"/>
  <c r="D556" i="9"/>
  <c r="E555" i="9"/>
  <c r="D555" i="9"/>
  <c r="E554" i="9"/>
  <c r="D554" i="9"/>
  <c r="E553" i="9"/>
  <c r="D553" i="9"/>
  <c r="E552" i="9"/>
  <c r="D552" i="9"/>
  <c r="E551" i="9"/>
  <c r="D551" i="9"/>
  <c r="E550" i="9"/>
  <c r="D550" i="9"/>
  <c r="E549" i="9"/>
  <c r="D549" i="9"/>
  <c r="E548" i="9"/>
  <c r="D548" i="9"/>
  <c r="E547" i="9"/>
  <c r="D547" i="9"/>
  <c r="E546" i="9"/>
  <c r="D546" i="9"/>
  <c r="E545" i="9"/>
  <c r="D545" i="9"/>
  <c r="E544" i="9"/>
  <c r="D544" i="9"/>
  <c r="E543" i="9"/>
  <c r="D543" i="9"/>
  <c r="E542" i="9"/>
  <c r="D542" i="9"/>
  <c r="E541" i="9"/>
  <c r="D541" i="9"/>
  <c r="E540" i="9"/>
  <c r="D540" i="9"/>
  <c r="E539" i="9"/>
  <c r="D539" i="9"/>
  <c r="E538" i="9"/>
  <c r="D538" i="9"/>
  <c r="E537" i="9"/>
  <c r="D537" i="9"/>
  <c r="E536" i="9"/>
  <c r="D536" i="9"/>
  <c r="E535" i="9"/>
  <c r="D535" i="9"/>
  <c r="E534" i="9"/>
  <c r="D534" i="9"/>
  <c r="E533" i="9"/>
  <c r="D533" i="9"/>
  <c r="E532" i="9"/>
  <c r="D532" i="9"/>
  <c r="E531" i="9"/>
  <c r="D531" i="9"/>
  <c r="E530" i="9"/>
  <c r="D530" i="9"/>
  <c r="E529" i="9"/>
  <c r="D529" i="9"/>
  <c r="E528" i="9"/>
  <c r="D528" i="9"/>
  <c r="E527" i="9"/>
  <c r="D527" i="9"/>
  <c r="E526" i="9"/>
  <c r="D526" i="9"/>
  <c r="E525" i="9"/>
  <c r="D525" i="9"/>
  <c r="E524" i="9"/>
  <c r="D524" i="9"/>
  <c r="E523" i="9"/>
  <c r="D523" i="9"/>
  <c r="E522" i="9"/>
  <c r="D522" i="9"/>
  <c r="E521" i="9"/>
  <c r="D521" i="9"/>
  <c r="E520" i="9"/>
  <c r="D520" i="9"/>
  <c r="E519" i="9"/>
  <c r="D519" i="9"/>
  <c r="E518" i="9"/>
  <c r="D518" i="9"/>
  <c r="E517" i="9"/>
  <c r="D517" i="9"/>
  <c r="E516" i="9"/>
  <c r="D516" i="9"/>
  <c r="E515" i="9"/>
  <c r="D515" i="9"/>
  <c r="E514" i="9"/>
  <c r="D514" i="9"/>
  <c r="E513" i="9"/>
  <c r="D513" i="9"/>
  <c r="E512" i="9"/>
  <c r="D512" i="9"/>
  <c r="E511" i="9"/>
  <c r="D511" i="9"/>
  <c r="E510" i="9"/>
  <c r="D510" i="9"/>
  <c r="E509" i="9"/>
  <c r="D509" i="9"/>
  <c r="E508" i="9"/>
  <c r="D508" i="9"/>
  <c r="E507" i="9"/>
  <c r="D507" i="9"/>
  <c r="E506" i="9"/>
  <c r="D506" i="9"/>
  <c r="E505" i="9"/>
  <c r="D505" i="9"/>
  <c r="E504" i="9"/>
  <c r="D504" i="9"/>
  <c r="E503" i="9"/>
  <c r="D503" i="9"/>
  <c r="E502" i="9"/>
  <c r="D502" i="9"/>
  <c r="E501" i="9"/>
  <c r="D501" i="9"/>
  <c r="E500" i="9"/>
  <c r="D500" i="9"/>
  <c r="E499" i="9"/>
  <c r="D499" i="9"/>
  <c r="E498" i="9"/>
  <c r="D498" i="9"/>
  <c r="E497" i="9"/>
  <c r="D497" i="9"/>
  <c r="E496" i="9"/>
  <c r="D496" i="9"/>
  <c r="E495" i="9"/>
  <c r="D495" i="9"/>
  <c r="E494" i="9"/>
  <c r="D494" i="9"/>
  <c r="E493" i="9"/>
  <c r="D493" i="9"/>
  <c r="E492" i="9"/>
  <c r="D492" i="9"/>
  <c r="E491" i="9"/>
  <c r="D491" i="9"/>
  <c r="E490" i="9"/>
  <c r="D490" i="9"/>
  <c r="E489" i="9"/>
  <c r="D489" i="9"/>
  <c r="E488" i="9"/>
  <c r="D488" i="9"/>
  <c r="E487" i="9"/>
  <c r="D487" i="9"/>
  <c r="E486" i="9"/>
  <c r="D486" i="9"/>
  <c r="E485" i="9"/>
  <c r="D485" i="9"/>
  <c r="E484" i="9"/>
  <c r="D484" i="9"/>
  <c r="E483" i="9"/>
  <c r="D483" i="9"/>
  <c r="E482" i="9"/>
  <c r="D482" i="9"/>
  <c r="E481" i="9"/>
  <c r="D481" i="9"/>
  <c r="E480" i="9"/>
  <c r="D480" i="9"/>
  <c r="E479" i="9"/>
  <c r="D479" i="9"/>
  <c r="E478" i="9"/>
  <c r="D478" i="9"/>
  <c r="E477" i="9"/>
  <c r="D477" i="9"/>
  <c r="E476" i="9"/>
  <c r="D476" i="9"/>
  <c r="E475" i="9"/>
  <c r="D475" i="9"/>
  <c r="E474" i="9"/>
  <c r="D474" i="9"/>
  <c r="E473" i="9"/>
  <c r="D473" i="9"/>
  <c r="E472" i="9"/>
  <c r="D472" i="9"/>
  <c r="E471" i="9"/>
  <c r="D471" i="9"/>
  <c r="E470" i="9"/>
  <c r="D470" i="9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I15" i="3"/>
  <c r="I13" i="3"/>
  <c r="I9" i="3"/>
  <c r="I11" i="3" s="1"/>
  <c r="I4" i="3"/>
  <c r="I3" i="3"/>
  <c r="I6" i="3" s="1"/>
  <c r="H91" i="6"/>
  <c r="J91" i="6" s="1"/>
  <c r="J90" i="6" s="1"/>
  <c r="G91" i="6"/>
  <c r="I84" i="6"/>
  <c r="I86" i="6" s="1"/>
  <c r="J84" i="6" s="1"/>
  <c r="I82" i="6"/>
  <c r="I78" i="6"/>
  <c r="I94" i="6"/>
  <c r="I73" i="6"/>
  <c r="I72" i="6"/>
  <c r="I71" i="6"/>
  <c r="I53" i="6"/>
  <c r="I47" i="6"/>
  <c r="I46" i="6"/>
  <c r="I43" i="6"/>
  <c r="I42" i="6"/>
  <c r="I18" i="6"/>
  <c r="I37" i="6" s="1"/>
  <c r="I17" i="6"/>
  <c r="I36" i="6" s="1"/>
  <c r="I15" i="6"/>
  <c r="I34" i="6" s="1"/>
  <c r="I14" i="6"/>
  <c r="I33" i="6" s="1"/>
  <c r="I12" i="6"/>
  <c r="I31" i="6" s="1"/>
  <c r="I9" i="6"/>
  <c r="I29" i="6" s="1"/>
  <c r="I7" i="6"/>
  <c r="I27" i="6" s="1"/>
  <c r="I6" i="6"/>
  <c r="I26" i="6" s="1"/>
  <c r="I5" i="6"/>
  <c r="I25" i="6" s="1"/>
  <c r="N23" i="6"/>
  <c r="N30" i="6" s="1"/>
  <c r="N41" i="6" s="1"/>
  <c r="N70" i="6" s="1"/>
  <c r="C3" i="4"/>
  <c r="C4" i="4" s="1"/>
  <c r="C20" i="4" s="1"/>
  <c r="D3" i="4"/>
  <c r="D4" i="4" s="1"/>
  <c r="D20" i="4" s="1"/>
  <c r="C7" i="4"/>
  <c r="D7" i="4"/>
  <c r="C12" i="4"/>
  <c r="C18" i="4" s="1"/>
  <c r="D12" i="4"/>
  <c r="D18" i="4" s="1"/>
  <c r="D13" i="4"/>
  <c r="D23" i="4"/>
  <c r="N2" i="3"/>
  <c r="N2" i="4" s="1"/>
  <c r="J51" i="1"/>
  <c r="I19" i="6" s="1"/>
  <c r="I38" i="6" s="1"/>
  <c r="J48" i="1"/>
  <c r="I16" i="6" s="1"/>
  <c r="I35" i="6" s="1"/>
  <c r="J24" i="1"/>
  <c r="I8" i="6" s="1"/>
  <c r="I28" i="6" s="1"/>
  <c r="N3" i="2"/>
  <c r="I24" i="2"/>
  <c r="K91" i="6" l="1"/>
  <c r="L91" i="6" s="1"/>
  <c r="M91" i="6" s="1"/>
  <c r="K97" i="6"/>
  <c r="K98" i="6" s="1"/>
  <c r="J77" i="6"/>
  <c r="J78" i="6" s="1"/>
  <c r="J71" i="6" s="1"/>
  <c r="K5" i="1" s="1"/>
  <c r="M38" i="3"/>
  <c r="M39" i="1"/>
  <c r="M40" i="3"/>
  <c r="M41" i="1"/>
  <c r="M29" i="3"/>
  <c r="M27" i="3"/>
  <c r="M12" i="1"/>
  <c r="M22" i="3"/>
  <c r="M6" i="1"/>
  <c r="N21" i="3"/>
  <c r="J12" i="4"/>
  <c r="M39" i="3"/>
  <c r="M40" i="1"/>
  <c r="M28" i="3"/>
  <c r="M13" i="1"/>
  <c r="M24" i="3"/>
  <c r="M9" i="1"/>
  <c r="I48" i="6"/>
  <c r="M23" i="3"/>
  <c r="M7" i="1"/>
  <c r="D12" i="7"/>
  <c r="L16" i="1"/>
  <c r="L31" i="3"/>
  <c r="M16" i="1" s="1"/>
  <c r="N34" i="3"/>
  <c r="O30" i="1" s="1"/>
  <c r="N30" i="1"/>
  <c r="C8" i="10"/>
  <c r="B9" i="7"/>
  <c r="B10" i="7" s="1"/>
  <c r="D6" i="4"/>
  <c r="D21" i="4" s="1"/>
  <c r="L30" i="3"/>
  <c r="M15" i="1" s="1"/>
  <c r="L15" i="1"/>
  <c r="N52" i="6"/>
  <c r="N89" i="6"/>
  <c r="K100" i="6"/>
  <c r="K101" i="6" s="1"/>
  <c r="K102" i="6" s="1"/>
  <c r="K80" i="6" s="1"/>
  <c r="J81" i="6"/>
  <c r="J82" i="6"/>
  <c r="J72" i="6" s="1"/>
  <c r="K8" i="1" s="1"/>
  <c r="K99" i="6"/>
  <c r="I10" i="6"/>
  <c r="I44" i="6"/>
  <c r="I20" i="6"/>
  <c r="D24" i="4"/>
  <c r="C6" i="4"/>
  <c r="C21" i="4" s="1"/>
  <c r="D25" i="4" s="1"/>
  <c r="D40" i="3"/>
  <c r="D39" i="3"/>
  <c r="D38" i="3"/>
  <c r="D36" i="3"/>
  <c r="D35" i="3"/>
  <c r="D34" i="3"/>
  <c r="D31" i="3"/>
  <c r="D30" i="3"/>
  <c r="D29" i="3"/>
  <c r="D28" i="3"/>
  <c r="D27" i="3"/>
  <c r="D24" i="3"/>
  <c r="D23" i="3"/>
  <c r="D22" i="3"/>
  <c r="C40" i="3"/>
  <c r="C39" i="3"/>
  <c r="C38" i="3"/>
  <c r="C36" i="3"/>
  <c r="C35" i="3"/>
  <c r="C34" i="3"/>
  <c r="C31" i="3"/>
  <c r="C30" i="3"/>
  <c r="C29" i="3"/>
  <c r="C28" i="3"/>
  <c r="C27" i="3"/>
  <c r="C24" i="3"/>
  <c r="C23" i="3"/>
  <c r="C22" i="3"/>
  <c r="E469" i="9"/>
  <c r="D469" i="9"/>
  <c r="E468" i="9"/>
  <c r="D468" i="9"/>
  <c r="E467" i="9"/>
  <c r="D467" i="9"/>
  <c r="E466" i="9"/>
  <c r="D466" i="9"/>
  <c r="E465" i="9"/>
  <c r="D465" i="9"/>
  <c r="E464" i="9"/>
  <c r="D464" i="9"/>
  <c r="E463" i="9"/>
  <c r="D463" i="9"/>
  <c r="E462" i="9"/>
  <c r="D462" i="9"/>
  <c r="E461" i="9"/>
  <c r="D461" i="9"/>
  <c r="E460" i="9"/>
  <c r="D460" i="9"/>
  <c r="E459" i="9"/>
  <c r="D459" i="9"/>
  <c r="E458" i="9"/>
  <c r="D458" i="9"/>
  <c r="E457" i="9"/>
  <c r="D457" i="9"/>
  <c r="E456" i="9"/>
  <c r="D456" i="9"/>
  <c r="E455" i="9"/>
  <c r="D455" i="9"/>
  <c r="E454" i="9"/>
  <c r="D454" i="9"/>
  <c r="E453" i="9"/>
  <c r="D453" i="9"/>
  <c r="E452" i="9"/>
  <c r="D452" i="9"/>
  <c r="E451" i="9"/>
  <c r="D451" i="9"/>
  <c r="E450" i="9"/>
  <c r="D450" i="9"/>
  <c r="E449" i="9"/>
  <c r="D449" i="9"/>
  <c r="E448" i="9"/>
  <c r="D448" i="9"/>
  <c r="E447" i="9"/>
  <c r="D447" i="9"/>
  <c r="E446" i="9"/>
  <c r="D446" i="9"/>
  <c r="E445" i="9"/>
  <c r="D445" i="9"/>
  <c r="E444" i="9"/>
  <c r="D444" i="9"/>
  <c r="E443" i="9"/>
  <c r="D443" i="9"/>
  <c r="E442" i="9"/>
  <c r="D442" i="9"/>
  <c r="E441" i="9"/>
  <c r="D441" i="9"/>
  <c r="E440" i="9"/>
  <c r="D440" i="9"/>
  <c r="E439" i="9"/>
  <c r="D439" i="9"/>
  <c r="E438" i="9"/>
  <c r="D438" i="9"/>
  <c r="E437" i="9"/>
  <c r="D437" i="9"/>
  <c r="E436" i="9"/>
  <c r="D436" i="9"/>
  <c r="E435" i="9"/>
  <c r="D435" i="9"/>
  <c r="E434" i="9"/>
  <c r="D434" i="9"/>
  <c r="E433" i="9"/>
  <c r="D433" i="9"/>
  <c r="E432" i="9"/>
  <c r="D432" i="9"/>
  <c r="E431" i="9"/>
  <c r="D431" i="9"/>
  <c r="E430" i="9"/>
  <c r="D430" i="9"/>
  <c r="E429" i="9"/>
  <c r="D429" i="9"/>
  <c r="E428" i="9"/>
  <c r="D428" i="9"/>
  <c r="E427" i="9"/>
  <c r="D427" i="9"/>
  <c r="E426" i="9"/>
  <c r="D426" i="9"/>
  <c r="E425" i="9"/>
  <c r="D425" i="9"/>
  <c r="E424" i="9"/>
  <c r="D424" i="9"/>
  <c r="E423" i="9"/>
  <c r="D423" i="9"/>
  <c r="E422" i="9"/>
  <c r="D422" i="9"/>
  <c r="E421" i="9"/>
  <c r="D421" i="9"/>
  <c r="E420" i="9"/>
  <c r="D420" i="9"/>
  <c r="E419" i="9"/>
  <c r="D419" i="9"/>
  <c r="E418" i="9"/>
  <c r="D418" i="9"/>
  <c r="E417" i="9"/>
  <c r="D417" i="9"/>
  <c r="E416" i="9"/>
  <c r="D416" i="9"/>
  <c r="E415" i="9"/>
  <c r="D415" i="9"/>
  <c r="E414" i="9"/>
  <c r="D414" i="9"/>
  <c r="E413" i="9"/>
  <c r="D413" i="9"/>
  <c r="E412" i="9"/>
  <c r="D412" i="9"/>
  <c r="E411" i="9"/>
  <c r="D411" i="9"/>
  <c r="E410" i="9"/>
  <c r="D410" i="9"/>
  <c r="E409" i="9"/>
  <c r="D409" i="9"/>
  <c r="E408" i="9"/>
  <c r="D408" i="9"/>
  <c r="E407" i="9"/>
  <c r="D407" i="9"/>
  <c r="E406" i="9"/>
  <c r="D406" i="9"/>
  <c r="E405" i="9"/>
  <c r="D405" i="9"/>
  <c r="E404" i="9"/>
  <c r="D404" i="9"/>
  <c r="E403" i="9"/>
  <c r="D403" i="9"/>
  <c r="E402" i="9"/>
  <c r="D402" i="9"/>
  <c r="E401" i="9"/>
  <c r="D401" i="9"/>
  <c r="E400" i="9"/>
  <c r="D400" i="9"/>
  <c r="E399" i="9"/>
  <c r="D399" i="9"/>
  <c r="E398" i="9"/>
  <c r="D398" i="9"/>
  <c r="E397" i="9"/>
  <c r="D397" i="9"/>
  <c r="E396" i="9"/>
  <c r="D396" i="9"/>
  <c r="E395" i="9"/>
  <c r="D395" i="9"/>
  <c r="E394" i="9"/>
  <c r="D394" i="9"/>
  <c r="E393" i="9"/>
  <c r="D393" i="9"/>
  <c r="E392" i="9"/>
  <c r="D392" i="9"/>
  <c r="E391" i="9"/>
  <c r="D391" i="9"/>
  <c r="E390" i="9"/>
  <c r="D390" i="9"/>
  <c r="E389" i="9"/>
  <c r="D389" i="9"/>
  <c r="E388" i="9"/>
  <c r="D388" i="9"/>
  <c r="E387" i="9"/>
  <c r="D387" i="9"/>
  <c r="E386" i="9"/>
  <c r="D386" i="9"/>
  <c r="E385" i="9"/>
  <c r="D385" i="9"/>
  <c r="E384" i="9"/>
  <c r="D384" i="9"/>
  <c r="E383" i="9"/>
  <c r="D383" i="9"/>
  <c r="E382" i="9"/>
  <c r="D382" i="9"/>
  <c r="E381" i="9"/>
  <c r="D381" i="9"/>
  <c r="E380" i="9"/>
  <c r="D380" i="9"/>
  <c r="E379" i="9"/>
  <c r="D379" i="9"/>
  <c r="E378" i="9"/>
  <c r="D378" i="9"/>
  <c r="E377" i="9"/>
  <c r="D377" i="9"/>
  <c r="E376" i="9"/>
  <c r="D376" i="9"/>
  <c r="E375" i="9"/>
  <c r="D375" i="9"/>
  <c r="E374" i="9"/>
  <c r="D374" i="9"/>
  <c r="E373" i="9"/>
  <c r="D373" i="9"/>
  <c r="E372" i="9"/>
  <c r="D372" i="9"/>
  <c r="E371" i="9"/>
  <c r="D371" i="9"/>
  <c r="E370" i="9"/>
  <c r="D370" i="9"/>
  <c r="E369" i="9"/>
  <c r="D369" i="9"/>
  <c r="E368" i="9"/>
  <c r="D368" i="9"/>
  <c r="E367" i="9"/>
  <c r="D367" i="9"/>
  <c r="E366" i="9"/>
  <c r="D366" i="9"/>
  <c r="E365" i="9"/>
  <c r="D365" i="9"/>
  <c r="E364" i="9"/>
  <c r="D364" i="9"/>
  <c r="E363" i="9"/>
  <c r="D363" i="9"/>
  <c r="E362" i="9"/>
  <c r="D362" i="9"/>
  <c r="E361" i="9"/>
  <c r="D361" i="9"/>
  <c r="E360" i="9"/>
  <c r="D360" i="9"/>
  <c r="E359" i="9"/>
  <c r="D359" i="9"/>
  <c r="E358" i="9"/>
  <c r="D358" i="9"/>
  <c r="E357" i="9"/>
  <c r="D357" i="9"/>
  <c r="E356" i="9"/>
  <c r="D356" i="9"/>
  <c r="E355" i="9"/>
  <c r="D355" i="9"/>
  <c r="E354" i="9"/>
  <c r="D354" i="9"/>
  <c r="E353" i="9"/>
  <c r="D353" i="9"/>
  <c r="E352" i="9"/>
  <c r="D352" i="9"/>
  <c r="E351" i="9"/>
  <c r="D351" i="9"/>
  <c r="E350" i="9"/>
  <c r="D350" i="9"/>
  <c r="E349" i="9"/>
  <c r="D349" i="9"/>
  <c r="E348" i="9"/>
  <c r="D348" i="9"/>
  <c r="E347" i="9"/>
  <c r="D347" i="9"/>
  <c r="E346" i="9"/>
  <c r="D346" i="9"/>
  <c r="E345" i="9"/>
  <c r="D345" i="9"/>
  <c r="E344" i="9"/>
  <c r="D344" i="9"/>
  <c r="E343" i="9"/>
  <c r="D343" i="9"/>
  <c r="E342" i="9"/>
  <c r="D342" i="9"/>
  <c r="E341" i="9"/>
  <c r="D341" i="9"/>
  <c r="E340" i="9"/>
  <c r="D340" i="9"/>
  <c r="E339" i="9"/>
  <c r="D339" i="9"/>
  <c r="E338" i="9"/>
  <c r="D338" i="9"/>
  <c r="E337" i="9"/>
  <c r="D337" i="9"/>
  <c r="E336" i="9"/>
  <c r="D336" i="9"/>
  <c r="E335" i="9"/>
  <c r="D335" i="9"/>
  <c r="E334" i="9"/>
  <c r="D334" i="9"/>
  <c r="E333" i="9"/>
  <c r="D333" i="9"/>
  <c r="E332" i="9"/>
  <c r="D332" i="9"/>
  <c r="E331" i="9"/>
  <c r="D331" i="9"/>
  <c r="E330" i="9"/>
  <c r="D330" i="9"/>
  <c r="E329" i="9"/>
  <c r="D329" i="9"/>
  <c r="E328" i="9"/>
  <c r="D328" i="9"/>
  <c r="E327" i="9"/>
  <c r="D327" i="9"/>
  <c r="E326" i="9"/>
  <c r="D326" i="9"/>
  <c r="E325" i="9"/>
  <c r="D325" i="9"/>
  <c r="E324" i="9"/>
  <c r="D324" i="9"/>
  <c r="E323" i="9"/>
  <c r="D323" i="9"/>
  <c r="E322" i="9"/>
  <c r="D322" i="9"/>
  <c r="E321" i="9"/>
  <c r="D321" i="9"/>
  <c r="E320" i="9"/>
  <c r="D320" i="9"/>
  <c r="E319" i="9"/>
  <c r="D319" i="9"/>
  <c r="E318" i="9"/>
  <c r="D318" i="9"/>
  <c r="E317" i="9"/>
  <c r="D317" i="9"/>
  <c r="E316" i="9"/>
  <c r="D316" i="9"/>
  <c r="E315" i="9"/>
  <c r="D315" i="9"/>
  <c r="E314" i="9"/>
  <c r="D314" i="9"/>
  <c r="E313" i="9"/>
  <c r="D313" i="9"/>
  <c r="E312" i="9"/>
  <c r="D312" i="9"/>
  <c r="E311" i="9"/>
  <c r="D311" i="9"/>
  <c r="E310" i="9"/>
  <c r="D310" i="9"/>
  <c r="E309" i="9"/>
  <c r="D309" i="9"/>
  <c r="E308" i="9"/>
  <c r="D308" i="9"/>
  <c r="E307" i="9"/>
  <c r="D307" i="9"/>
  <c r="E306" i="9"/>
  <c r="D306" i="9"/>
  <c r="E305" i="9"/>
  <c r="D305" i="9"/>
  <c r="E304" i="9"/>
  <c r="D304" i="9"/>
  <c r="E303" i="9"/>
  <c r="D303" i="9"/>
  <c r="E302" i="9"/>
  <c r="D302" i="9"/>
  <c r="E301" i="9"/>
  <c r="D301" i="9"/>
  <c r="E300" i="9"/>
  <c r="D300" i="9"/>
  <c r="E299" i="9"/>
  <c r="D299" i="9"/>
  <c r="E298" i="9"/>
  <c r="D298" i="9"/>
  <c r="E297" i="9"/>
  <c r="D297" i="9"/>
  <c r="E296" i="9"/>
  <c r="D296" i="9"/>
  <c r="E295" i="9"/>
  <c r="D295" i="9"/>
  <c r="E294" i="9"/>
  <c r="D294" i="9"/>
  <c r="E293" i="9"/>
  <c r="D293" i="9"/>
  <c r="E292" i="9"/>
  <c r="D292" i="9"/>
  <c r="E291" i="9"/>
  <c r="D291" i="9"/>
  <c r="E290" i="9"/>
  <c r="D290" i="9"/>
  <c r="E289" i="9"/>
  <c r="D289" i="9"/>
  <c r="E288" i="9"/>
  <c r="D288" i="9"/>
  <c r="E287" i="9"/>
  <c r="D287" i="9"/>
  <c r="E286" i="9"/>
  <c r="D286" i="9"/>
  <c r="E285" i="9"/>
  <c r="D285" i="9"/>
  <c r="E284" i="9"/>
  <c r="D284" i="9"/>
  <c r="E283" i="9"/>
  <c r="D283" i="9"/>
  <c r="E282" i="9"/>
  <c r="D282" i="9"/>
  <c r="E281" i="9"/>
  <c r="D281" i="9"/>
  <c r="E280" i="9"/>
  <c r="D280" i="9"/>
  <c r="E279" i="9"/>
  <c r="D279" i="9"/>
  <c r="E278" i="9"/>
  <c r="D278" i="9"/>
  <c r="E277" i="9"/>
  <c r="D277" i="9"/>
  <c r="E276" i="9"/>
  <c r="D276" i="9"/>
  <c r="E275" i="9"/>
  <c r="D275" i="9"/>
  <c r="E274" i="9"/>
  <c r="D274" i="9"/>
  <c r="E273" i="9"/>
  <c r="D273" i="9"/>
  <c r="E272" i="9"/>
  <c r="D272" i="9"/>
  <c r="E271" i="9"/>
  <c r="D271" i="9"/>
  <c r="E270" i="9"/>
  <c r="D270" i="9"/>
  <c r="E269" i="9"/>
  <c r="D269" i="9"/>
  <c r="E268" i="9"/>
  <c r="D268" i="9"/>
  <c r="E267" i="9"/>
  <c r="D267" i="9"/>
  <c r="E266" i="9"/>
  <c r="D266" i="9"/>
  <c r="E265" i="9"/>
  <c r="D265" i="9"/>
  <c r="E264" i="9"/>
  <c r="D264" i="9"/>
  <c r="E263" i="9"/>
  <c r="D263" i="9"/>
  <c r="E262" i="9"/>
  <c r="D262" i="9"/>
  <c r="E261" i="9"/>
  <c r="D261" i="9"/>
  <c r="E260" i="9"/>
  <c r="D260" i="9"/>
  <c r="E259" i="9"/>
  <c r="D259" i="9"/>
  <c r="E258" i="9"/>
  <c r="D258" i="9"/>
  <c r="E257" i="9"/>
  <c r="D257" i="9"/>
  <c r="E256" i="9"/>
  <c r="D256" i="9"/>
  <c r="E255" i="9"/>
  <c r="D255" i="9"/>
  <c r="E254" i="9"/>
  <c r="D254" i="9"/>
  <c r="E253" i="9"/>
  <c r="D253" i="9"/>
  <c r="E252" i="9"/>
  <c r="D252" i="9"/>
  <c r="E251" i="9"/>
  <c r="D251" i="9"/>
  <c r="E250" i="9"/>
  <c r="D250" i="9"/>
  <c r="E249" i="9"/>
  <c r="D249" i="9"/>
  <c r="E248" i="9"/>
  <c r="D248" i="9"/>
  <c r="E247" i="9"/>
  <c r="D247" i="9"/>
  <c r="E246" i="9"/>
  <c r="D246" i="9"/>
  <c r="E245" i="9"/>
  <c r="D245" i="9"/>
  <c r="E244" i="9"/>
  <c r="D244" i="9"/>
  <c r="E243" i="9"/>
  <c r="D243" i="9"/>
  <c r="E242" i="9"/>
  <c r="D242" i="9"/>
  <c r="E241" i="9"/>
  <c r="D241" i="9"/>
  <c r="E240" i="9"/>
  <c r="D240" i="9"/>
  <c r="E239" i="9"/>
  <c r="D239" i="9"/>
  <c r="E238" i="9"/>
  <c r="D238" i="9"/>
  <c r="E237" i="9"/>
  <c r="D237" i="9"/>
  <c r="E236" i="9"/>
  <c r="D236" i="9"/>
  <c r="E235" i="9"/>
  <c r="D235" i="9"/>
  <c r="E234" i="9"/>
  <c r="D234" i="9"/>
  <c r="E233" i="9"/>
  <c r="D233" i="9"/>
  <c r="E232" i="9"/>
  <c r="D232" i="9"/>
  <c r="E231" i="9"/>
  <c r="D231" i="9"/>
  <c r="E230" i="9"/>
  <c r="D230" i="9"/>
  <c r="E229" i="9"/>
  <c r="D229" i="9"/>
  <c r="E228" i="9"/>
  <c r="D228" i="9"/>
  <c r="E227" i="9"/>
  <c r="D227" i="9"/>
  <c r="E226" i="9"/>
  <c r="D226" i="9"/>
  <c r="E225" i="9"/>
  <c r="D225" i="9"/>
  <c r="E224" i="9"/>
  <c r="D224" i="9"/>
  <c r="E223" i="9"/>
  <c r="D223" i="9"/>
  <c r="E222" i="9"/>
  <c r="D222" i="9"/>
  <c r="E221" i="9"/>
  <c r="D221" i="9"/>
  <c r="E220" i="9"/>
  <c r="D220" i="9"/>
  <c r="E219" i="9"/>
  <c r="D219" i="9"/>
  <c r="E218" i="9"/>
  <c r="D218" i="9"/>
  <c r="E217" i="9"/>
  <c r="D217" i="9"/>
  <c r="E216" i="9"/>
  <c r="D216" i="9"/>
  <c r="E215" i="9"/>
  <c r="D215" i="9"/>
  <c r="E214" i="9"/>
  <c r="D214" i="9"/>
  <c r="E213" i="9"/>
  <c r="D213" i="9"/>
  <c r="E212" i="9"/>
  <c r="D212" i="9"/>
  <c r="E211" i="9"/>
  <c r="D211" i="9"/>
  <c r="E210" i="9"/>
  <c r="D210" i="9"/>
  <c r="E209" i="9"/>
  <c r="D209" i="9"/>
  <c r="E208" i="9"/>
  <c r="D208" i="9"/>
  <c r="E207" i="9"/>
  <c r="D207" i="9"/>
  <c r="E206" i="9"/>
  <c r="D206" i="9"/>
  <c r="E205" i="9"/>
  <c r="D205" i="9"/>
  <c r="E204" i="9"/>
  <c r="D204" i="9"/>
  <c r="E203" i="9"/>
  <c r="D203" i="9"/>
  <c r="E202" i="9"/>
  <c r="D202" i="9"/>
  <c r="E201" i="9"/>
  <c r="D201" i="9"/>
  <c r="E200" i="9"/>
  <c r="D200" i="9"/>
  <c r="E199" i="9"/>
  <c r="D199" i="9"/>
  <c r="E198" i="9"/>
  <c r="D198" i="9"/>
  <c r="E197" i="9"/>
  <c r="D197" i="9"/>
  <c r="E196" i="9"/>
  <c r="D196" i="9"/>
  <c r="E195" i="9"/>
  <c r="D195" i="9"/>
  <c r="E194" i="9"/>
  <c r="D194" i="9"/>
  <c r="E193" i="9"/>
  <c r="D193" i="9"/>
  <c r="E192" i="9"/>
  <c r="D192" i="9"/>
  <c r="E191" i="9"/>
  <c r="D191" i="9"/>
  <c r="E190" i="9"/>
  <c r="D190" i="9"/>
  <c r="E189" i="9"/>
  <c r="D189" i="9"/>
  <c r="E188" i="9"/>
  <c r="D188" i="9"/>
  <c r="E187" i="9"/>
  <c r="D187" i="9"/>
  <c r="E186" i="9"/>
  <c r="D186" i="9"/>
  <c r="E185" i="9"/>
  <c r="D185" i="9"/>
  <c r="E184" i="9"/>
  <c r="D184" i="9"/>
  <c r="E183" i="9"/>
  <c r="D183" i="9"/>
  <c r="E182" i="9"/>
  <c r="D182" i="9"/>
  <c r="E181" i="9"/>
  <c r="D181" i="9"/>
  <c r="E180" i="9"/>
  <c r="D180" i="9"/>
  <c r="E179" i="9"/>
  <c r="D179" i="9"/>
  <c r="E178" i="9"/>
  <c r="D178" i="9"/>
  <c r="E177" i="9"/>
  <c r="D177" i="9"/>
  <c r="E176" i="9"/>
  <c r="D176" i="9"/>
  <c r="E175" i="9"/>
  <c r="D175" i="9"/>
  <c r="E174" i="9"/>
  <c r="D174" i="9"/>
  <c r="E173" i="9"/>
  <c r="D173" i="9"/>
  <c r="E172" i="9"/>
  <c r="D172" i="9"/>
  <c r="E171" i="9"/>
  <c r="D171" i="9"/>
  <c r="E170" i="9"/>
  <c r="D170" i="9"/>
  <c r="E169" i="9"/>
  <c r="D169" i="9"/>
  <c r="E168" i="9"/>
  <c r="D168" i="9"/>
  <c r="E167" i="9"/>
  <c r="D167" i="9"/>
  <c r="E166" i="9"/>
  <c r="D166" i="9"/>
  <c r="E165" i="9"/>
  <c r="D165" i="9"/>
  <c r="E164" i="9"/>
  <c r="D164" i="9"/>
  <c r="E163" i="9"/>
  <c r="D163" i="9"/>
  <c r="E162" i="9"/>
  <c r="D162" i="9"/>
  <c r="E161" i="9"/>
  <c r="D161" i="9"/>
  <c r="E160" i="9"/>
  <c r="D160" i="9"/>
  <c r="E159" i="9"/>
  <c r="D159" i="9"/>
  <c r="E158" i="9"/>
  <c r="D158" i="9"/>
  <c r="E157" i="9"/>
  <c r="D157" i="9"/>
  <c r="E156" i="9"/>
  <c r="D156" i="9"/>
  <c r="E155" i="9"/>
  <c r="D155" i="9"/>
  <c r="E154" i="9"/>
  <c r="D154" i="9"/>
  <c r="E153" i="9"/>
  <c r="D153" i="9"/>
  <c r="E152" i="9"/>
  <c r="D152" i="9"/>
  <c r="E151" i="9"/>
  <c r="D151" i="9"/>
  <c r="E150" i="9"/>
  <c r="D150" i="9"/>
  <c r="E149" i="9"/>
  <c r="D149" i="9"/>
  <c r="E148" i="9"/>
  <c r="D148" i="9"/>
  <c r="E147" i="9"/>
  <c r="D147" i="9"/>
  <c r="E146" i="9"/>
  <c r="D146" i="9"/>
  <c r="E145" i="9"/>
  <c r="D145" i="9"/>
  <c r="E144" i="9"/>
  <c r="D144" i="9"/>
  <c r="E143" i="9"/>
  <c r="D143" i="9"/>
  <c r="E142" i="9"/>
  <c r="D142" i="9"/>
  <c r="E141" i="9"/>
  <c r="D141" i="9"/>
  <c r="E140" i="9"/>
  <c r="D140" i="9"/>
  <c r="E139" i="9"/>
  <c r="D139" i="9"/>
  <c r="E138" i="9"/>
  <c r="D138" i="9"/>
  <c r="E137" i="9"/>
  <c r="D137" i="9"/>
  <c r="E136" i="9"/>
  <c r="D136" i="9"/>
  <c r="E135" i="9"/>
  <c r="D135" i="9"/>
  <c r="E134" i="9"/>
  <c r="D134" i="9"/>
  <c r="E133" i="9"/>
  <c r="D133" i="9"/>
  <c r="E132" i="9"/>
  <c r="D132" i="9"/>
  <c r="E131" i="9"/>
  <c r="D131" i="9"/>
  <c r="E130" i="9"/>
  <c r="D130" i="9"/>
  <c r="E129" i="9"/>
  <c r="D129" i="9"/>
  <c r="E128" i="9"/>
  <c r="D128" i="9"/>
  <c r="E127" i="9"/>
  <c r="D127" i="9"/>
  <c r="E126" i="9"/>
  <c r="D126" i="9"/>
  <c r="E125" i="9"/>
  <c r="D125" i="9"/>
  <c r="E124" i="9"/>
  <c r="D124" i="9"/>
  <c r="E123" i="9"/>
  <c r="D123" i="9"/>
  <c r="E122" i="9"/>
  <c r="D122" i="9"/>
  <c r="E121" i="9"/>
  <c r="D121" i="9"/>
  <c r="E120" i="9"/>
  <c r="D120" i="9"/>
  <c r="E119" i="9"/>
  <c r="D119" i="9"/>
  <c r="E118" i="9"/>
  <c r="D118" i="9"/>
  <c r="E117" i="9"/>
  <c r="D117" i="9"/>
  <c r="E116" i="9"/>
  <c r="D116" i="9"/>
  <c r="E115" i="9"/>
  <c r="D115" i="9"/>
  <c r="E114" i="9"/>
  <c r="D114" i="9"/>
  <c r="E113" i="9"/>
  <c r="D113" i="9"/>
  <c r="E112" i="9"/>
  <c r="D112" i="9"/>
  <c r="E111" i="9"/>
  <c r="D111" i="9"/>
  <c r="E110" i="9"/>
  <c r="D110" i="9"/>
  <c r="E109" i="9"/>
  <c r="D109" i="9"/>
  <c r="E108" i="9"/>
  <c r="D108" i="9"/>
  <c r="E107" i="9"/>
  <c r="D107" i="9"/>
  <c r="E106" i="9"/>
  <c r="D106" i="9"/>
  <c r="E105" i="9"/>
  <c r="D105" i="9"/>
  <c r="E104" i="9"/>
  <c r="D104" i="9"/>
  <c r="E103" i="9"/>
  <c r="D103" i="9"/>
  <c r="E102" i="9"/>
  <c r="D102" i="9"/>
  <c r="E101" i="9"/>
  <c r="D101" i="9"/>
  <c r="E100" i="9"/>
  <c r="D100" i="9"/>
  <c r="E99" i="9"/>
  <c r="D99" i="9"/>
  <c r="E98" i="9"/>
  <c r="D98" i="9"/>
  <c r="E97" i="9"/>
  <c r="D97" i="9"/>
  <c r="E96" i="9"/>
  <c r="D96" i="9"/>
  <c r="E95" i="9"/>
  <c r="D95" i="9"/>
  <c r="E94" i="9"/>
  <c r="D94" i="9"/>
  <c r="E93" i="9"/>
  <c r="D93" i="9"/>
  <c r="E92" i="9"/>
  <c r="D92" i="9"/>
  <c r="E91" i="9"/>
  <c r="D91" i="9"/>
  <c r="E90" i="9"/>
  <c r="D90" i="9"/>
  <c r="E89" i="9"/>
  <c r="D89" i="9"/>
  <c r="E88" i="9"/>
  <c r="D88" i="9"/>
  <c r="E87" i="9"/>
  <c r="D87" i="9"/>
  <c r="E86" i="9"/>
  <c r="D86" i="9"/>
  <c r="E85" i="9"/>
  <c r="D85" i="9"/>
  <c r="E84" i="9"/>
  <c r="D84" i="9"/>
  <c r="E83" i="9"/>
  <c r="D83" i="9"/>
  <c r="E82" i="9"/>
  <c r="D82" i="9"/>
  <c r="E81" i="9"/>
  <c r="D81" i="9"/>
  <c r="E80" i="9"/>
  <c r="D80" i="9"/>
  <c r="E79" i="9"/>
  <c r="D79" i="9"/>
  <c r="E78" i="9"/>
  <c r="D78" i="9"/>
  <c r="E77" i="9"/>
  <c r="D77" i="9"/>
  <c r="E76" i="9"/>
  <c r="D76" i="9"/>
  <c r="E75" i="9"/>
  <c r="D75" i="9"/>
  <c r="E74" i="9"/>
  <c r="D74" i="9"/>
  <c r="E73" i="9"/>
  <c r="D73" i="9"/>
  <c r="E72" i="9"/>
  <c r="D72" i="9"/>
  <c r="E71" i="9"/>
  <c r="D71" i="9"/>
  <c r="E70" i="9"/>
  <c r="D70" i="9"/>
  <c r="E69" i="9"/>
  <c r="D69" i="9"/>
  <c r="E68" i="9"/>
  <c r="D68" i="9"/>
  <c r="E67" i="9"/>
  <c r="D67" i="9"/>
  <c r="E66" i="9"/>
  <c r="D66" i="9"/>
  <c r="E65" i="9"/>
  <c r="D65" i="9"/>
  <c r="E64" i="9"/>
  <c r="D64" i="9"/>
  <c r="E63" i="9"/>
  <c r="D63" i="9"/>
  <c r="E62" i="9"/>
  <c r="D62" i="9"/>
  <c r="E61" i="9"/>
  <c r="D61" i="9"/>
  <c r="E60" i="9"/>
  <c r="D60" i="9"/>
  <c r="E59" i="9"/>
  <c r="D59" i="9"/>
  <c r="E58" i="9"/>
  <c r="D58" i="9"/>
  <c r="E57" i="9"/>
  <c r="D57" i="9"/>
  <c r="E56" i="9"/>
  <c r="D56" i="9"/>
  <c r="E55" i="9"/>
  <c r="D55" i="9"/>
  <c r="E54" i="9"/>
  <c r="D54" i="9"/>
  <c r="E53" i="9"/>
  <c r="D53" i="9"/>
  <c r="E52" i="9"/>
  <c r="D52" i="9"/>
  <c r="E51" i="9"/>
  <c r="D51" i="9"/>
  <c r="E50" i="9"/>
  <c r="D50" i="9"/>
  <c r="E49" i="9"/>
  <c r="D49" i="9"/>
  <c r="E48" i="9"/>
  <c r="D48" i="9"/>
  <c r="E47" i="9"/>
  <c r="D47" i="9"/>
  <c r="E46" i="9"/>
  <c r="D46" i="9"/>
  <c r="E45" i="9"/>
  <c r="D45" i="9"/>
  <c r="E44" i="9"/>
  <c r="D44" i="9"/>
  <c r="E43" i="9"/>
  <c r="D43" i="9"/>
  <c r="E42" i="9"/>
  <c r="D42" i="9"/>
  <c r="E41" i="9"/>
  <c r="D41" i="9"/>
  <c r="E40" i="9"/>
  <c r="D40" i="9"/>
  <c r="E39" i="9"/>
  <c r="D39" i="9"/>
  <c r="E38" i="9"/>
  <c r="D38" i="9"/>
  <c r="E37" i="9"/>
  <c r="D37" i="9"/>
  <c r="E36" i="9"/>
  <c r="D36" i="9"/>
  <c r="E35" i="9"/>
  <c r="D35" i="9"/>
  <c r="E34" i="9"/>
  <c r="D34" i="9"/>
  <c r="E33" i="9"/>
  <c r="D33" i="9"/>
  <c r="E32" i="9"/>
  <c r="D32" i="9"/>
  <c r="E31" i="9"/>
  <c r="D31" i="9"/>
  <c r="E30" i="9"/>
  <c r="D30" i="9"/>
  <c r="E29" i="9"/>
  <c r="D29" i="9"/>
  <c r="E28" i="9"/>
  <c r="D28" i="9"/>
  <c r="E27" i="9"/>
  <c r="D27" i="9"/>
  <c r="E26" i="9"/>
  <c r="D26" i="9"/>
  <c r="E25" i="9"/>
  <c r="D25" i="9"/>
  <c r="E24" i="9"/>
  <c r="D24" i="9"/>
  <c r="E23" i="9"/>
  <c r="D23" i="9"/>
  <c r="E22" i="9"/>
  <c r="D22" i="9"/>
  <c r="E21" i="9"/>
  <c r="D21" i="9"/>
  <c r="E20" i="9"/>
  <c r="D20" i="9"/>
  <c r="E19" i="9"/>
  <c r="D19" i="9"/>
  <c r="E18" i="9"/>
  <c r="D18" i="9"/>
  <c r="G17" i="9"/>
  <c r="E17" i="9"/>
  <c r="D17" i="9"/>
  <c r="E16" i="9"/>
  <c r="D16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D8" i="9"/>
  <c r="E7" i="9"/>
  <c r="D7" i="9"/>
  <c r="E6" i="9"/>
  <c r="D6" i="9"/>
  <c r="H8" i="9" s="1"/>
  <c r="H12" i="9" s="1"/>
  <c r="H17" i="9" s="1"/>
  <c r="E5" i="9"/>
  <c r="D5" i="9"/>
  <c r="H5" i="9" s="1"/>
  <c r="N91" i="6" l="1"/>
  <c r="K90" i="6"/>
  <c r="L100" i="6" s="1"/>
  <c r="I21" i="6"/>
  <c r="D8" i="7"/>
  <c r="N28" i="3"/>
  <c r="O13" i="1" s="1"/>
  <c r="N13" i="1"/>
  <c r="N38" i="3"/>
  <c r="O39" i="1" s="1"/>
  <c r="N39" i="1"/>
  <c r="J64" i="6"/>
  <c r="J63" i="6"/>
  <c r="N27" i="3"/>
  <c r="O12" i="1" s="1"/>
  <c r="N12" i="1"/>
  <c r="C8" i="7"/>
  <c r="F12" i="7"/>
  <c r="J10" i="3"/>
  <c r="K12" i="4"/>
  <c r="E12" i="7"/>
  <c r="M30" i="3"/>
  <c r="N39" i="3"/>
  <c r="O40" i="1" s="1"/>
  <c r="N40" i="1"/>
  <c r="N40" i="3"/>
  <c r="O41" i="1" s="1"/>
  <c r="N41" i="1"/>
  <c r="N29" i="3"/>
  <c r="O14" i="1" s="1"/>
  <c r="N14" i="1"/>
  <c r="J58" i="6"/>
  <c r="J59" i="6"/>
  <c r="M31" i="3"/>
  <c r="N23" i="3"/>
  <c r="O7" i="1" s="1"/>
  <c r="N7" i="1"/>
  <c r="N24" i="3"/>
  <c r="O9" i="1" s="1"/>
  <c r="N9" i="1"/>
  <c r="N22" i="3"/>
  <c r="O6" i="1" s="1"/>
  <c r="N6" i="1"/>
  <c r="L101" i="6"/>
  <c r="L102" i="6" s="1"/>
  <c r="L80" i="6" s="1"/>
  <c r="K81" i="6"/>
  <c r="K76" i="6"/>
  <c r="H15" i="3"/>
  <c r="G15" i="3"/>
  <c r="F15" i="3"/>
  <c r="E15" i="3"/>
  <c r="D15" i="3"/>
  <c r="C15" i="3"/>
  <c r="H13" i="3"/>
  <c r="G13" i="3"/>
  <c r="F13" i="3"/>
  <c r="F14" i="3" s="1"/>
  <c r="E13" i="3"/>
  <c r="E14" i="3" s="1"/>
  <c r="D13" i="3"/>
  <c r="D14" i="3" s="1"/>
  <c r="D10" i="3"/>
  <c r="C10" i="3"/>
  <c r="H9" i="3"/>
  <c r="G9" i="3"/>
  <c r="F9" i="3"/>
  <c r="E9" i="3"/>
  <c r="D9" i="3"/>
  <c r="C9" i="3"/>
  <c r="H4" i="3"/>
  <c r="G4" i="3"/>
  <c r="F4" i="3"/>
  <c r="E4" i="3"/>
  <c r="D4" i="3"/>
  <c r="C4" i="3"/>
  <c r="H3" i="3"/>
  <c r="G3" i="3"/>
  <c r="G6" i="3" s="1"/>
  <c r="F3" i="3"/>
  <c r="E3" i="3"/>
  <c r="D3" i="3"/>
  <c r="C3" i="3"/>
  <c r="H84" i="6"/>
  <c r="I93" i="6" s="1"/>
  <c r="H94" i="6"/>
  <c r="H82" i="6"/>
  <c r="H78" i="6"/>
  <c r="H73" i="6"/>
  <c r="H72" i="6"/>
  <c r="H71" i="6"/>
  <c r="H53" i="6"/>
  <c r="H47" i="6"/>
  <c r="H46" i="6"/>
  <c r="H48" i="6" s="1"/>
  <c r="I56" i="6" s="1"/>
  <c r="H43" i="6"/>
  <c r="H42" i="6"/>
  <c r="H44" i="6" s="1"/>
  <c r="I55" i="6" s="1"/>
  <c r="H18" i="6"/>
  <c r="H37" i="6" s="1"/>
  <c r="H17" i="6"/>
  <c r="H36" i="6" s="1"/>
  <c r="H15" i="6"/>
  <c r="H34" i="6" s="1"/>
  <c r="H14" i="6"/>
  <c r="H33" i="6" s="1"/>
  <c r="H12" i="6"/>
  <c r="H31" i="6" s="1"/>
  <c r="H9" i="6"/>
  <c r="H29" i="6" s="1"/>
  <c r="H7" i="6"/>
  <c r="H27" i="6" s="1"/>
  <c r="H6" i="6"/>
  <c r="H26" i="6" s="1"/>
  <c r="H5" i="6"/>
  <c r="H25" i="6" s="1"/>
  <c r="M23" i="6"/>
  <c r="M30" i="6" s="1"/>
  <c r="M41" i="6" s="1"/>
  <c r="M70" i="6" s="1"/>
  <c r="J65" i="6" l="1"/>
  <c r="J48" i="6" s="1"/>
  <c r="K63" i="6" s="1"/>
  <c r="E5" i="3"/>
  <c r="J5" i="3" s="1"/>
  <c r="G14" i="3"/>
  <c r="F5" i="3"/>
  <c r="H11" i="3"/>
  <c r="H14" i="3"/>
  <c r="N31" i="3"/>
  <c r="O16" i="1" s="1"/>
  <c r="N16" i="1"/>
  <c r="G5" i="3"/>
  <c r="J60" i="6"/>
  <c r="J44" i="6" s="1"/>
  <c r="N30" i="3"/>
  <c r="O15" i="1" s="1"/>
  <c r="N15" i="1"/>
  <c r="F8" i="7" s="1"/>
  <c r="H5" i="3"/>
  <c r="J14" i="3"/>
  <c r="K10" i="3"/>
  <c r="L12" i="4"/>
  <c r="I5" i="3"/>
  <c r="I14" i="3"/>
  <c r="L90" i="6"/>
  <c r="M100" i="6" s="1"/>
  <c r="K88" i="6"/>
  <c r="K82" i="6"/>
  <c r="K72" i="6" s="1"/>
  <c r="L8" i="1" s="1"/>
  <c r="H86" i="6"/>
  <c r="H10" i="6"/>
  <c r="D11" i="3"/>
  <c r="F6" i="3"/>
  <c r="C11" i="3"/>
  <c r="E6" i="3"/>
  <c r="H6" i="3"/>
  <c r="C6" i="3"/>
  <c r="D5" i="3"/>
  <c r="D6" i="3"/>
  <c r="H12" i="4"/>
  <c r="H10" i="3" s="1"/>
  <c r="H3" i="4"/>
  <c r="H24" i="2"/>
  <c r="I51" i="1"/>
  <c r="H19" i="6" s="1"/>
  <c r="H38" i="6" s="1"/>
  <c r="I48" i="1"/>
  <c r="H16" i="6" s="1"/>
  <c r="H35" i="6" s="1"/>
  <c r="I24" i="1"/>
  <c r="H8" i="6" s="1"/>
  <c r="H28" i="6" s="1"/>
  <c r="M3" i="2"/>
  <c r="M2" i="3" s="1"/>
  <c r="G3" i="4"/>
  <c r="F3" i="4"/>
  <c r="F4" i="4" s="1"/>
  <c r="E3" i="4"/>
  <c r="K64" i="6" l="1"/>
  <c r="K65" i="6" s="1"/>
  <c r="K48" i="6" s="1"/>
  <c r="M12" i="4"/>
  <c r="L10" i="3"/>
  <c r="K59" i="6"/>
  <c r="H15" i="9"/>
  <c r="K58" i="6"/>
  <c r="K14" i="3"/>
  <c r="E8" i="7"/>
  <c r="K5" i="3"/>
  <c r="H6" i="4"/>
  <c r="H21" i="4" s="1"/>
  <c r="I25" i="4" s="1"/>
  <c r="H4" i="4"/>
  <c r="H20" i="4" s="1"/>
  <c r="I24" i="4" s="1"/>
  <c r="H20" i="6"/>
  <c r="L97" i="6"/>
  <c r="K77" i="6"/>
  <c r="L81" i="6"/>
  <c r="M101" i="6"/>
  <c r="M102" i="6" s="1"/>
  <c r="M80" i="6" s="1"/>
  <c r="H18" i="4"/>
  <c r="M2" i="4"/>
  <c r="M21" i="3"/>
  <c r="G4" i="4"/>
  <c r="E4" i="4"/>
  <c r="G73" i="6"/>
  <c r="F73" i="6"/>
  <c r="E73" i="6"/>
  <c r="D73" i="6"/>
  <c r="G72" i="6"/>
  <c r="F72" i="6"/>
  <c r="E72" i="6"/>
  <c r="D72" i="6"/>
  <c r="G71" i="6"/>
  <c r="F71" i="6"/>
  <c r="E71" i="6"/>
  <c r="D71" i="6"/>
  <c r="C73" i="6"/>
  <c r="C72" i="6"/>
  <c r="C71" i="6"/>
  <c r="G47" i="6"/>
  <c r="F47" i="6"/>
  <c r="E47" i="6"/>
  <c r="D47" i="6"/>
  <c r="G46" i="6"/>
  <c r="F46" i="6"/>
  <c r="E46" i="6"/>
  <c r="D46" i="6"/>
  <c r="C47" i="6"/>
  <c r="C46" i="6"/>
  <c r="G43" i="6"/>
  <c r="F43" i="6"/>
  <c r="E43" i="6"/>
  <c r="D43" i="6"/>
  <c r="G42" i="6"/>
  <c r="F42" i="6"/>
  <c r="E42" i="6"/>
  <c r="D42" i="6"/>
  <c r="C43" i="6"/>
  <c r="C42" i="6"/>
  <c r="F19" i="6"/>
  <c r="F38" i="6" s="1"/>
  <c r="E19" i="6"/>
  <c r="E38" i="6" s="1"/>
  <c r="D19" i="6"/>
  <c r="D38" i="6" s="1"/>
  <c r="G18" i="6"/>
  <c r="G37" i="6" s="1"/>
  <c r="F18" i="6"/>
  <c r="F37" i="6" s="1"/>
  <c r="E18" i="6"/>
  <c r="E37" i="6" s="1"/>
  <c r="D18" i="6"/>
  <c r="D37" i="6" s="1"/>
  <c r="G17" i="6"/>
  <c r="G36" i="6" s="1"/>
  <c r="F17" i="6"/>
  <c r="F36" i="6" s="1"/>
  <c r="E17" i="6"/>
  <c r="E36" i="6" s="1"/>
  <c r="D17" i="6"/>
  <c r="D36" i="6" s="1"/>
  <c r="G16" i="6"/>
  <c r="G35" i="6" s="1"/>
  <c r="F16" i="6"/>
  <c r="F35" i="6" s="1"/>
  <c r="E16" i="6"/>
  <c r="E35" i="6" s="1"/>
  <c r="D16" i="6"/>
  <c r="D35" i="6" s="1"/>
  <c r="G15" i="6"/>
  <c r="G34" i="6" s="1"/>
  <c r="F15" i="6"/>
  <c r="F34" i="6" s="1"/>
  <c r="E15" i="6"/>
  <c r="E34" i="6" s="1"/>
  <c r="D15" i="6"/>
  <c r="D34" i="6" s="1"/>
  <c r="G14" i="6"/>
  <c r="G33" i="6" s="1"/>
  <c r="F14" i="6"/>
  <c r="F33" i="6" s="1"/>
  <c r="E14" i="6"/>
  <c r="E33" i="6" s="1"/>
  <c r="D14" i="6"/>
  <c r="D33" i="6" s="1"/>
  <c r="G12" i="6"/>
  <c r="G31" i="6" s="1"/>
  <c r="F12" i="6"/>
  <c r="F31" i="6" s="1"/>
  <c r="E12" i="6"/>
  <c r="E31" i="6" s="1"/>
  <c r="D12" i="6"/>
  <c r="D31" i="6" s="1"/>
  <c r="G9" i="6"/>
  <c r="G29" i="6" s="1"/>
  <c r="F9" i="6"/>
  <c r="F29" i="6" s="1"/>
  <c r="E9" i="6"/>
  <c r="E29" i="6" s="1"/>
  <c r="D9" i="6"/>
  <c r="D29" i="6" s="1"/>
  <c r="G8" i="6"/>
  <c r="G28" i="6" s="1"/>
  <c r="D8" i="6"/>
  <c r="D28" i="6" s="1"/>
  <c r="G7" i="6"/>
  <c r="G27" i="6" s="1"/>
  <c r="F7" i="6"/>
  <c r="F27" i="6" s="1"/>
  <c r="E7" i="6"/>
  <c r="E27" i="6" s="1"/>
  <c r="D7" i="6"/>
  <c r="D27" i="6" s="1"/>
  <c r="G6" i="6"/>
  <c r="G26" i="6" s="1"/>
  <c r="F6" i="6"/>
  <c r="F26" i="6" s="1"/>
  <c r="E6" i="6"/>
  <c r="E26" i="6" s="1"/>
  <c r="D6" i="6"/>
  <c r="D26" i="6" s="1"/>
  <c r="G5" i="6"/>
  <c r="G25" i="6" s="1"/>
  <c r="F5" i="6"/>
  <c r="F25" i="6" s="1"/>
  <c r="E5" i="6"/>
  <c r="E25" i="6" s="1"/>
  <c r="D5" i="6"/>
  <c r="D25" i="6" s="1"/>
  <c r="C19" i="6"/>
  <c r="C38" i="6" s="1"/>
  <c r="C18" i="6"/>
  <c r="C37" i="6" s="1"/>
  <c r="C17" i="6"/>
  <c r="C36" i="6" s="1"/>
  <c r="C16" i="6"/>
  <c r="C35" i="6" s="1"/>
  <c r="C15" i="6"/>
  <c r="C34" i="6" s="1"/>
  <c r="C14" i="6"/>
  <c r="C33" i="6" s="1"/>
  <c r="C12" i="6"/>
  <c r="C31" i="6" s="1"/>
  <c r="C9" i="6"/>
  <c r="C29" i="6" s="1"/>
  <c r="C8" i="6"/>
  <c r="C28" i="6" s="1"/>
  <c r="C7" i="6"/>
  <c r="C27" i="6" s="1"/>
  <c r="C6" i="6"/>
  <c r="C26" i="6" s="1"/>
  <c r="C5" i="6"/>
  <c r="C25" i="6" s="1"/>
  <c r="G94" i="6"/>
  <c r="F94" i="6"/>
  <c r="E94" i="6"/>
  <c r="D94" i="6"/>
  <c r="C94" i="6"/>
  <c r="D89" i="6"/>
  <c r="F86" i="6"/>
  <c r="C86" i="6"/>
  <c r="G84" i="6"/>
  <c r="E84" i="6"/>
  <c r="F93" i="6" s="1"/>
  <c r="D84" i="6"/>
  <c r="G82" i="6"/>
  <c r="F82" i="6"/>
  <c r="E81" i="6"/>
  <c r="D81" i="6"/>
  <c r="E80" i="6"/>
  <c r="F91" i="6" s="1"/>
  <c r="D80" i="6"/>
  <c r="C80" i="6"/>
  <c r="C82" i="6" s="1"/>
  <c r="G78" i="6"/>
  <c r="F78" i="6"/>
  <c r="E78" i="6"/>
  <c r="D78" i="6"/>
  <c r="C78" i="6"/>
  <c r="G53" i="6"/>
  <c r="F53" i="6"/>
  <c r="E53" i="6"/>
  <c r="D53" i="6"/>
  <c r="L23" i="6"/>
  <c r="L30" i="6" s="1"/>
  <c r="L41" i="6" s="1"/>
  <c r="L70" i="6" s="1"/>
  <c r="K23" i="6"/>
  <c r="K30" i="6" s="1"/>
  <c r="K41" i="6" s="1"/>
  <c r="K70" i="6" s="1"/>
  <c r="J23" i="6"/>
  <c r="J30" i="6" s="1"/>
  <c r="J41" i="6" s="1"/>
  <c r="J70" i="6" s="1"/>
  <c r="I23" i="6"/>
  <c r="I30" i="6" s="1"/>
  <c r="I41" i="6" s="1"/>
  <c r="I70" i="6" s="1"/>
  <c r="H23" i="6"/>
  <c r="H30" i="6" s="1"/>
  <c r="H41" i="6" s="1"/>
  <c r="H70" i="6" s="1"/>
  <c r="G23" i="6"/>
  <c r="G30" i="6" s="1"/>
  <c r="G41" i="6" s="1"/>
  <c r="G70" i="6" s="1"/>
  <c r="F23" i="6"/>
  <c r="F30" i="6" s="1"/>
  <c r="F41" i="6" s="1"/>
  <c r="F70" i="6" s="1"/>
  <c r="E23" i="6"/>
  <c r="E30" i="6" s="1"/>
  <c r="E41" i="6" s="1"/>
  <c r="E70" i="6" s="1"/>
  <c r="D23" i="6"/>
  <c r="D30" i="6" s="1"/>
  <c r="D41" i="6" s="1"/>
  <c r="D70" i="6" s="1"/>
  <c r="C23" i="6"/>
  <c r="C30" i="6" s="1"/>
  <c r="C41" i="6" s="1"/>
  <c r="C70" i="6" s="1"/>
  <c r="G7" i="4"/>
  <c r="G6" i="4" s="1"/>
  <c r="J35" i="6" l="1"/>
  <c r="K35" i="6"/>
  <c r="J31" i="6"/>
  <c r="J34" i="6"/>
  <c r="K34" i="6" s="1"/>
  <c r="L34" i="6" s="1"/>
  <c r="M34" i="6" s="1"/>
  <c r="N34" i="6" s="1"/>
  <c r="J36" i="6"/>
  <c r="H18" i="9"/>
  <c r="H19" i="9" s="1"/>
  <c r="C29" i="10"/>
  <c r="L63" i="6"/>
  <c r="L64" i="6"/>
  <c r="J27" i="6"/>
  <c r="J26" i="6"/>
  <c r="M14" i="3"/>
  <c r="L5" i="3"/>
  <c r="M5" i="3" s="1"/>
  <c r="N12" i="4"/>
  <c r="M10" i="3"/>
  <c r="K60" i="6"/>
  <c r="K44" i="6" s="1"/>
  <c r="J25" i="6"/>
  <c r="J29" i="6"/>
  <c r="J33" i="6"/>
  <c r="K33" i="6" s="1"/>
  <c r="L33" i="6" s="1"/>
  <c r="M33" i="6" s="1"/>
  <c r="N33" i="6" s="1"/>
  <c r="J37" i="6"/>
  <c r="L14" i="3"/>
  <c r="M90" i="6"/>
  <c r="N100" i="6" s="1"/>
  <c r="L82" i="6"/>
  <c r="L72" i="6" s="1"/>
  <c r="M8" i="1" s="1"/>
  <c r="K78" i="6"/>
  <c r="K71" i="6" s="1"/>
  <c r="L5" i="1" s="1"/>
  <c r="L98" i="6"/>
  <c r="L99" i="6" s="1"/>
  <c r="D91" i="6"/>
  <c r="E91" i="6"/>
  <c r="G93" i="6"/>
  <c r="H93" i="6"/>
  <c r="D93" i="6"/>
  <c r="E93" i="6"/>
  <c r="G44" i="6"/>
  <c r="H55" i="6" s="1"/>
  <c r="J55" i="6" s="1"/>
  <c r="E48" i="6"/>
  <c r="J46" i="6" s="1"/>
  <c r="D48" i="6"/>
  <c r="E56" i="6" s="1"/>
  <c r="E44" i="6"/>
  <c r="G48" i="6"/>
  <c r="H56" i="6" s="1"/>
  <c r="F44" i="6"/>
  <c r="G55" i="6" s="1"/>
  <c r="E20" i="6"/>
  <c r="D44" i="6"/>
  <c r="F48" i="6"/>
  <c r="F20" i="6"/>
  <c r="C48" i="6"/>
  <c r="D56" i="6" s="1"/>
  <c r="D86" i="6"/>
  <c r="G10" i="6"/>
  <c r="D10" i="6"/>
  <c r="D20" i="6"/>
  <c r="C44" i="6"/>
  <c r="D55" i="6" s="1"/>
  <c r="C10" i="6"/>
  <c r="D82" i="6"/>
  <c r="E86" i="6"/>
  <c r="C20" i="6"/>
  <c r="E82" i="6"/>
  <c r="G86" i="6"/>
  <c r="E12" i="4"/>
  <c r="F12" i="4"/>
  <c r="F10" i="3" s="1"/>
  <c r="F11" i="3" s="1"/>
  <c r="G12" i="4"/>
  <c r="G10" i="3" s="1"/>
  <c r="G11" i="3" s="1"/>
  <c r="E7" i="4"/>
  <c r="E6" i="4" s="1"/>
  <c r="F7" i="4"/>
  <c r="F6" i="4" s="1"/>
  <c r="G24" i="2"/>
  <c r="G14" i="2"/>
  <c r="H14" i="2"/>
  <c r="I14" i="2"/>
  <c r="G7" i="2"/>
  <c r="D3" i="2"/>
  <c r="D2" i="3" s="1"/>
  <c r="E3" i="2"/>
  <c r="E2" i="3" s="1"/>
  <c r="F3" i="2"/>
  <c r="F2" i="3" s="1"/>
  <c r="G3" i="2"/>
  <c r="G2" i="3" s="1"/>
  <c r="H3" i="2"/>
  <c r="H2" i="3" s="1"/>
  <c r="I3" i="2"/>
  <c r="I2" i="3" s="1"/>
  <c r="J3" i="2"/>
  <c r="J2" i="3" s="1"/>
  <c r="K3" i="2"/>
  <c r="K2" i="3" s="1"/>
  <c r="K21" i="3" s="1"/>
  <c r="L3" i="2"/>
  <c r="L2" i="3" s="1"/>
  <c r="C3" i="2"/>
  <c r="C2" i="3" s="1"/>
  <c r="F24" i="2"/>
  <c r="E24" i="2"/>
  <c r="D24" i="2"/>
  <c r="C24" i="2"/>
  <c r="F14" i="2"/>
  <c r="E14" i="2"/>
  <c r="D14" i="2"/>
  <c r="C13" i="2"/>
  <c r="F7" i="2"/>
  <c r="E7" i="2"/>
  <c r="D7" i="2"/>
  <c r="C7" i="2"/>
  <c r="G24" i="1"/>
  <c r="F8" i="6" s="1"/>
  <c r="F24" i="1"/>
  <c r="I52" i="1"/>
  <c r="J52" i="1"/>
  <c r="D52" i="1"/>
  <c r="E52" i="1"/>
  <c r="F52" i="1"/>
  <c r="I42" i="1"/>
  <c r="J42" i="1"/>
  <c r="D42" i="1"/>
  <c r="E42" i="1"/>
  <c r="F42" i="1"/>
  <c r="H33" i="1"/>
  <c r="I33" i="1"/>
  <c r="D33" i="1"/>
  <c r="E33" i="1"/>
  <c r="F33" i="1"/>
  <c r="D26" i="1"/>
  <c r="E26" i="1"/>
  <c r="I26" i="1"/>
  <c r="I17" i="1"/>
  <c r="J17" i="1"/>
  <c r="D17" i="1"/>
  <c r="E17" i="1"/>
  <c r="F17" i="1"/>
  <c r="G17" i="1"/>
  <c r="G42" i="1"/>
  <c r="G33" i="1"/>
  <c r="G52" i="1"/>
  <c r="H51" i="1"/>
  <c r="G19" i="6" s="1"/>
  <c r="H42" i="1"/>
  <c r="H26" i="1"/>
  <c r="H17" i="1"/>
  <c r="L65" i="6" l="1"/>
  <c r="L48" i="6" s="1"/>
  <c r="L46" i="6" s="1"/>
  <c r="C21" i="6"/>
  <c r="J43" i="6"/>
  <c r="J14" i="6" s="1"/>
  <c r="K46" i="1" s="1"/>
  <c r="K38" i="1"/>
  <c r="J66" i="6"/>
  <c r="K46" i="6"/>
  <c r="N5" i="3"/>
  <c r="C14" i="2"/>
  <c r="C13" i="3"/>
  <c r="C14" i="3" s="1"/>
  <c r="C2" i="4"/>
  <c r="C21" i="3"/>
  <c r="E8" i="3"/>
  <c r="E21" i="3"/>
  <c r="K25" i="6"/>
  <c r="J47" i="6"/>
  <c r="K29" i="6"/>
  <c r="D2" i="4"/>
  <c r="D21" i="3"/>
  <c r="J93" i="6"/>
  <c r="J92" i="6" s="1"/>
  <c r="K26" i="6"/>
  <c r="K31" i="6"/>
  <c r="L2" i="4"/>
  <c r="L21" i="3"/>
  <c r="F55" i="6"/>
  <c r="K42" i="6"/>
  <c r="K43" i="6"/>
  <c r="K14" i="6" s="1"/>
  <c r="L46" i="1" s="1"/>
  <c r="L58" i="6"/>
  <c r="L59" i="6"/>
  <c r="K27" i="6"/>
  <c r="L35" i="6"/>
  <c r="J2" i="4"/>
  <c r="J21" i="3"/>
  <c r="E10" i="3"/>
  <c r="E11" i="3" s="1"/>
  <c r="I12" i="3" s="1"/>
  <c r="J12" i="3" s="1"/>
  <c r="J10" i="4"/>
  <c r="J11" i="4"/>
  <c r="G8" i="3"/>
  <c r="G21" i="3"/>
  <c r="N10" i="3"/>
  <c r="O12" i="4"/>
  <c r="O14" i="4" s="1"/>
  <c r="I8" i="3"/>
  <c r="I21" i="3"/>
  <c r="K36" i="6"/>
  <c r="J42" i="6"/>
  <c r="F8" i="3"/>
  <c r="F21" i="3"/>
  <c r="H21" i="3"/>
  <c r="H8" i="3"/>
  <c r="H16" i="9"/>
  <c r="H21" i="9" s="1"/>
  <c r="C17" i="10" s="1"/>
  <c r="J50" i="6"/>
  <c r="K55" i="6"/>
  <c r="K37" i="6"/>
  <c r="M63" i="6"/>
  <c r="N14" i="3"/>
  <c r="L76" i="6"/>
  <c r="N101" i="6"/>
  <c r="N102" i="6" s="1"/>
  <c r="N80" i="6" s="1"/>
  <c r="M81" i="6"/>
  <c r="G56" i="6"/>
  <c r="J56" i="6" s="1"/>
  <c r="F56" i="6"/>
  <c r="E55" i="6"/>
  <c r="G20" i="6"/>
  <c r="G21" i="6" s="1"/>
  <c r="G38" i="6"/>
  <c r="J38" i="6" s="1"/>
  <c r="F10" i="6"/>
  <c r="F28" i="6"/>
  <c r="J28" i="6" s="1"/>
  <c r="H13" i="4"/>
  <c r="I2" i="4"/>
  <c r="F21" i="6"/>
  <c r="G26" i="1"/>
  <c r="G27" i="1" s="1"/>
  <c r="F16" i="2"/>
  <c r="F18" i="2" s="1"/>
  <c r="D27" i="1"/>
  <c r="H27" i="1"/>
  <c r="G16" i="2"/>
  <c r="G18" i="2" s="1"/>
  <c r="E23" i="4"/>
  <c r="F23" i="4" s="1"/>
  <c r="G23" i="4" s="1"/>
  <c r="E16" i="2"/>
  <c r="E18" i="2" s="1"/>
  <c r="E27" i="1"/>
  <c r="G18" i="4"/>
  <c r="C16" i="2"/>
  <c r="C18" i="2" s="1"/>
  <c r="C25" i="2" s="1"/>
  <c r="F18" i="4"/>
  <c r="E18" i="4"/>
  <c r="D21" i="6"/>
  <c r="I27" i="1"/>
  <c r="F13" i="4"/>
  <c r="E13" i="4"/>
  <c r="D16" i="2"/>
  <c r="D18" i="2" s="1"/>
  <c r="D25" i="2" s="1"/>
  <c r="F26" i="1"/>
  <c r="F27" i="1" s="1"/>
  <c r="E8" i="6"/>
  <c r="H52" i="1"/>
  <c r="H53" i="1" s="1"/>
  <c r="H54" i="1" s="1"/>
  <c r="G13" i="4"/>
  <c r="I53" i="1"/>
  <c r="I54" i="1" s="1"/>
  <c r="J53" i="1"/>
  <c r="K2" i="4"/>
  <c r="E2" i="4"/>
  <c r="F2" i="4"/>
  <c r="G2" i="4"/>
  <c r="H2" i="4"/>
  <c r="D53" i="1"/>
  <c r="D54" i="1" s="1"/>
  <c r="D56" i="1" s="1"/>
  <c r="F53" i="1"/>
  <c r="F54" i="1" s="1"/>
  <c r="E53" i="1"/>
  <c r="E54" i="1" s="1"/>
  <c r="G53" i="1"/>
  <c r="G54" i="1" s="1"/>
  <c r="D22" i="6" l="1"/>
  <c r="M64" i="6"/>
  <c r="M65" i="6"/>
  <c r="M48" i="6" s="1"/>
  <c r="C15" i="4"/>
  <c r="C9" i="4"/>
  <c r="K50" i="6"/>
  <c r="J85" i="6"/>
  <c r="J86" i="6" s="1"/>
  <c r="J94" i="6"/>
  <c r="J11" i="2" s="1"/>
  <c r="K103" i="6"/>
  <c r="K104" i="6" s="1"/>
  <c r="K105" i="6" s="1"/>
  <c r="K106" i="6" s="1"/>
  <c r="L25" i="6"/>
  <c r="J51" i="6"/>
  <c r="L55" i="6"/>
  <c r="M35" i="6"/>
  <c r="K56" i="6"/>
  <c r="K51" i="6" s="1"/>
  <c r="J61" i="6"/>
  <c r="B13" i="7" s="1"/>
  <c r="K37" i="1"/>
  <c r="K42" i="1" s="1"/>
  <c r="G25" i="2"/>
  <c r="G16" i="3"/>
  <c r="J53" i="6"/>
  <c r="J12" i="2" s="1"/>
  <c r="B3" i="7" s="1"/>
  <c r="B14" i="7" s="1"/>
  <c r="B16" i="7" s="1"/>
  <c r="L36" i="6"/>
  <c r="L37" i="6"/>
  <c r="L26" i="6"/>
  <c r="M46" i="6"/>
  <c r="N63" i="6"/>
  <c r="N64" i="6"/>
  <c r="K11" i="4"/>
  <c r="L11" i="4" s="1"/>
  <c r="L27" i="6"/>
  <c r="D15" i="4"/>
  <c r="D9" i="4"/>
  <c r="K93" i="6"/>
  <c r="E25" i="2"/>
  <c r="E16" i="3"/>
  <c r="L66" i="6"/>
  <c r="M38" i="1"/>
  <c r="K10" i="4"/>
  <c r="L10" i="4"/>
  <c r="M10" i="4"/>
  <c r="K66" i="6"/>
  <c r="L38" i="1"/>
  <c r="K61" i="6"/>
  <c r="C13" i="7" s="1"/>
  <c r="L37" i="1"/>
  <c r="K38" i="6"/>
  <c r="K12" i="3"/>
  <c r="L12" i="3" s="1"/>
  <c r="M12" i="3" s="1"/>
  <c r="N12" i="3" s="1"/>
  <c r="J11" i="3"/>
  <c r="L60" i="6"/>
  <c r="L44" i="6" s="1"/>
  <c r="L31" i="6"/>
  <c r="L29" i="6"/>
  <c r="K28" i="6"/>
  <c r="G56" i="1"/>
  <c r="F25" i="2"/>
  <c r="F16" i="3"/>
  <c r="J15" i="6"/>
  <c r="K47" i="1" s="1"/>
  <c r="K47" i="6"/>
  <c r="N90" i="6"/>
  <c r="N81" i="6" s="1"/>
  <c r="N82" i="6" s="1"/>
  <c r="N72" i="6" s="1"/>
  <c r="O8" i="1" s="1"/>
  <c r="L88" i="6"/>
  <c r="M82" i="6"/>
  <c r="M72" i="6" s="1"/>
  <c r="N8" i="1" s="1"/>
  <c r="E10" i="6"/>
  <c r="E28" i="6"/>
  <c r="F21" i="4"/>
  <c r="G22" i="6"/>
  <c r="H15" i="4"/>
  <c r="H9" i="4"/>
  <c r="H56" i="1"/>
  <c r="E20" i="4"/>
  <c r="E24" i="4" s="1"/>
  <c r="E21" i="4"/>
  <c r="E25" i="4" s="1"/>
  <c r="F56" i="1"/>
  <c r="F20" i="4"/>
  <c r="G21" i="4"/>
  <c r="G20" i="4"/>
  <c r="E56" i="1"/>
  <c r="I56" i="1"/>
  <c r="E15" i="4"/>
  <c r="E9" i="4"/>
  <c r="G15" i="4"/>
  <c r="G9" i="4"/>
  <c r="F15" i="4"/>
  <c r="F9" i="4"/>
  <c r="K53" i="6" l="1"/>
  <c r="K12" i="2" s="1"/>
  <c r="C3" i="7" s="1"/>
  <c r="C14" i="7" s="1"/>
  <c r="C16" i="7" s="1"/>
  <c r="L50" i="6"/>
  <c r="M11" i="4"/>
  <c r="N11" i="4"/>
  <c r="N35" i="6"/>
  <c r="N46" i="6"/>
  <c r="M66" i="6"/>
  <c r="N38" i="1"/>
  <c r="C6" i="10"/>
  <c r="B4" i="7"/>
  <c r="M31" i="6"/>
  <c r="L42" i="1"/>
  <c r="J73" i="6"/>
  <c r="K10" i="1" s="1"/>
  <c r="K84" i="6"/>
  <c r="K92" i="6" s="1"/>
  <c r="M27" i="6"/>
  <c r="L42" i="6"/>
  <c r="L43" i="6"/>
  <c r="L14" i="6" s="1"/>
  <c r="M46" i="1" s="1"/>
  <c r="M59" i="6"/>
  <c r="M58" i="6"/>
  <c r="M26" i="6"/>
  <c r="L56" i="6"/>
  <c r="M29" i="6"/>
  <c r="N10" i="4"/>
  <c r="M55" i="6"/>
  <c r="E21" i="6"/>
  <c r="F22" i="6" s="1"/>
  <c r="D8" i="10"/>
  <c r="C9" i="7"/>
  <c r="C10" i="7" s="1"/>
  <c r="K11" i="3"/>
  <c r="J9" i="3"/>
  <c r="J10" i="2" s="1"/>
  <c r="L93" i="6"/>
  <c r="M37" i="6"/>
  <c r="L47" i="6"/>
  <c r="K15" i="6"/>
  <c r="L47" i="1" s="1"/>
  <c r="L28" i="6"/>
  <c r="L38" i="6"/>
  <c r="N65" i="6"/>
  <c r="N48" i="6" s="1"/>
  <c r="M36" i="6"/>
  <c r="M25" i="6"/>
  <c r="M97" i="6"/>
  <c r="L77" i="6"/>
  <c r="F25" i="4"/>
  <c r="G24" i="4"/>
  <c r="H24" i="4"/>
  <c r="G25" i="4"/>
  <c r="J25" i="4" s="1"/>
  <c r="H25" i="4"/>
  <c r="F24" i="4"/>
  <c r="J24" i="4" s="1"/>
  <c r="H21" i="6"/>
  <c r="K24" i="4" l="1"/>
  <c r="L24" i="4" s="1"/>
  <c r="M24" i="4" s="1"/>
  <c r="N24" i="4" s="1"/>
  <c r="J20" i="4"/>
  <c r="K25" i="4"/>
  <c r="L25" i="4" s="1"/>
  <c r="M25" i="4" s="1"/>
  <c r="N25" i="4" s="1"/>
  <c r="J21" i="4"/>
  <c r="N66" i="6"/>
  <c r="O38" i="1"/>
  <c r="N29" i="6"/>
  <c r="M38" i="6"/>
  <c r="E22" i="6"/>
  <c r="L51" i="6"/>
  <c r="L53" i="6" s="1"/>
  <c r="L12" i="2" s="1"/>
  <c r="D3" i="7" s="1"/>
  <c r="D14" i="7" s="1"/>
  <c r="M56" i="6"/>
  <c r="L15" i="6"/>
  <c r="M47" i="1" s="1"/>
  <c r="M47" i="6"/>
  <c r="M15" i="6" s="1"/>
  <c r="N47" i="1" s="1"/>
  <c r="N37" i="6"/>
  <c r="M37" i="1"/>
  <c r="M42" i="1" s="1"/>
  <c r="L61" i="6"/>
  <c r="D13" i="7" s="1"/>
  <c r="N31" i="6"/>
  <c r="M93" i="6"/>
  <c r="N93" i="6" s="1"/>
  <c r="N55" i="6"/>
  <c r="N27" i="6"/>
  <c r="N36" i="6"/>
  <c r="N26" i="6"/>
  <c r="N25" i="6"/>
  <c r="M28" i="6"/>
  <c r="K85" i="6"/>
  <c r="K86" i="6" s="1"/>
  <c r="L103" i="6"/>
  <c r="L104" i="6" s="1"/>
  <c r="L105" i="6" s="1"/>
  <c r="L106" i="6" s="1"/>
  <c r="K94" i="6"/>
  <c r="K11" i="2" s="1"/>
  <c r="L11" i="3"/>
  <c r="K9" i="3"/>
  <c r="K10" i="2" s="1"/>
  <c r="M60" i="6"/>
  <c r="M44" i="6" s="1"/>
  <c r="M50" i="6" s="1"/>
  <c r="L78" i="6"/>
  <c r="L71" i="6" s="1"/>
  <c r="M5" i="1" s="1"/>
  <c r="M98" i="6"/>
  <c r="M99" i="6" s="1"/>
  <c r="K17" i="1"/>
  <c r="H22" i="6"/>
  <c r="I22" i="6"/>
  <c r="H7" i="2"/>
  <c r="H16" i="2" s="1"/>
  <c r="H18" i="2" s="1"/>
  <c r="I7" i="2"/>
  <c r="I16" i="2" s="1"/>
  <c r="I18" i="2" s="1"/>
  <c r="I16" i="3" s="1"/>
  <c r="N28" i="6" l="1"/>
  <c r="N38" i="6"/>
  <c r="D16" i="7"/>
  <c r="M11" i="3"/>
  <c r="L9" i="3"/>
  <c r="L10" i="2" s="1"/>
  <c r="D6" i="10"/>
  <c r="C4" i="7"/>
  <c r="D9" i="7"/>
  <c r="D10" i="7" s="1"/>
  <c r="E8" i="10"/>
  <c r="K21" i="4"/>
  <c r="J6" i="4"/>
  <c r="H25" i="2"/>
  <c r="H16" i="3"/>
  <c r="K73" i="6"/>
  <c r="L10" i="1" s="1"/>
  <c r="L17" i="1" s="1"/>
  <c r="L84" i="6"/>
  <c r="L92" i="6" s="1"/>
  <c r="K20" i="4"/>
  <c r="J4" i="4"/>
  <c r="M42" i="6"/>
  <c r="M43" i="6"/>
  <c r="M14" i="6" s="1"/>
  <c r="N46" i="1" s="1"/>
  <c r="N58" i="6"/>
  <c r="N60" i="6" s="1"/>
  <c r="N44" i="6" s="1"/>
  <c r="N43" i="6" s="1"/>
  <c r="N14" i="6" s="1"/>
  <c r="O46" i="1" s="1"/>
  <c r="N59" i="6"/>
  <c r="N56" i="6"/>
  <c r="N51" i="6" s="1"/>
  <c r="M51" i="6"/>
  <c r="M53" i="6" s="1"/>
  <c r="M12" i="2" s="1"/>
  <c r="E3" i="7" s="1"/>
  <c r="E14" i="7" s="1"/>
  <c r="N47" i="6"/>
  <c r="N15" i="6" s="1"/>
  <c r="O47" i="1" s="1"/>
  <c r="M76" i="6"/>
  <c r="I25" i="2"/>
  <c r="L85" i="6" l="1"/>
  <c r="L86" i="6" s="1"/>
  <c r="M103" i="6"/>
  <c r="M104" i="6" s="1"/>
  <c r="M105" i="6" s="1"/>
  <c r="M106" i="6" s="1"/>
  <c r="L94" i="6"/>
  <c r="L11" i="2" s="1"/>
  <c r="N50" i="6"/>
  <c r="N53" i="6" s="1"/>
  <c r="N12" i="2" s="1"/>
  <c r="F3" i="7" s="1"/>
  <c r="F14" i="7" s="1"/>
  <c r="N42" i="6"/>
  <c r="N37" i="1"/>
  <c r="N42" i="1" s="1"/>
  <c r="M61" i="6"/>
  <c r="E13" i="7" s="1"/>
  <c r="E16" i="7" s="1"/>
  <c r="L20" i="4"/>
  <c r="K4" i="4"/>
  <c r="J3" i="4"/>
  <c r="N11" i="3"/>
  <c r="N9" i="3" s="1"/>
  <c r="N10" i="2" s="1"/>
  <c r="M9" i="3"/>
  <c r="M10" i="2" s="1"/>
  <c r="L21" i="4"/>
  <c r="K6" i="4"/>
  <c r="M88" i="6"/>
  <c r="E6" i="10" l="1"/>
  <c r="D4" i="7"/>
  <c r="J3" i="3"/>
  <c r="J5" i="2"/>
  <c r="F8" i="10"/>
  <c r="E9" i="7"/>
  <c r="E10" i="7" s="1"/>
  <c r="K3" i="4"/>
  <c r="M84" i="6"/>
  <c r="L73" i="6"/>
  <c r="M10" i="1" s="1"/>
  <c r="M17" i="1" s="1"/>
  <c r="O37" i="1"/>
  <c r="O42" i="1" s="1"/>
  <c r="N61" i="6"/>
  <c r="F13" i="7" s="1"/>
  <c r="F16" i="7" s="1"/>
  <c r="M20" i="4"/>
  <c r="L4" i="4"/>
  <c r="M21" i="4"/>
  <c r="L6" i="4"/>
  <c r="N97" i="6"/>
  <c r="M77" i="6"/>
  <c r="J33" i="1"/>
  <c r="J54" i="1" s="1"/>
  <c r="J26" i="1"/>
  <c r="J27" i="1" s="1"/>
  <c r="N21" i="4" l="1"/>
  <c r="N6" i="4" s="1"/>
  <c r="M6" i="4"/>
  <c r="L3" i="4"/>
  <c r="N20" i="4"/>
  <c r="N4" i="4" s="1"/>
  <c r="M4" i="4"/>
  <c r="M3" i="4" s="1"/>
  <c r="J16" i="6"/>
  <c r="K48" i="1" s="1"/>
  <c r="J6" i="6"/>
  <c r="K21" i="1" s="1"/>
  <c r="J18" i="6"/>
  <c r="K50" i="1" s="1"/>
  <c r="J9" i="6"/>
  <c r="K25" i="1" s="1"/>
  <c r="J12" i="6"/>
  <c r="J7" i="6"/>
  <c r="K23" i="1" s="1"/>
  <c r="J5" i="6"/>
  <c r="J17" i="6"/>
  <c r="K49" i="1" s="1"/>
  <c r="J19" i="6"/>
  <c r="K51" i="1" s="1"/>
  <c r="J8" i="6"/>
  <c r="K24" i="1" s="1"/>
  <c r="J13" i="3"/>
  <c r="J13" i="2" s="1"/>
  <c r="J14" i="2" s="1"/>
  <c r="J4" i="3"/>
  <c r="K3" i="3"/>
  <c r="K5" i="2"/>
  <c r="M92" i="6"/>
  <c r="M78" i="6"/>
  <c r="M71" i="6" s="1"/>
  <c r="N5" i="1" s="1"/>
  <c r="N98" i="6"/>
  <c r="N99" i="6" s="1"/>
  <c r="J56" i="1"/>
  <c r="M5" i="2" l="1"/>
  <c r="M3" i="3"/>
  <c r="K13" i="3"/>
  <c r="K13" i="2" s="1"/>
  <c r="K14" i="2" s="1"/>
  <c r="K20" i="1"/>
  <c r="J10" i="6"/>
  <c r="J21" i="6" s="1"/>
  <c r="J22" i="6" s="1"/>
  <c r="N3" i="4"/>
  <c r="K16" i="6"/>
  <c r="L48" i="1" s="1"/>
  <c r="K9" i="6"/>
  <c r="L25" i="1" s="1"/>
  <c r="K5" i="6"/>
  <c r="K17" i="6"/>
  <c r="L49" i="1" s="1"/>
  <c r="K12" i="6"/>
  <c r="K7" i="6"/>
  <c r="L23" i="1" s="1"/>
  <c r="K18" i="6"/>
  <c r="L50" i="1" s="1"/>
  <c r="K6" i="6"/>
  <c r="L21" i="1" s="1"/>
  <c r="K19" i="6"/>
  <c r="L51" i="1" s="1"/>
  <c r="K8" i="6"/>
  <c r="L24" i="1" s="1"/>
  <c r="K4" i="3"/>
  <c r="L3" i="3"/>
  <c r="L4" i="3" s="1"/>
  <c r="L5" i="2"/>
  <c r="J6" i="3"/>
  <c r="J6" i="2"/>
  <c r="J7" i="2" s="1"/>
  <c r="J16" i="2" s="1"/>
  <c r="J18" i="2" s="1"/>
  <c r="K44" i="1"/>
  <c r="K52" i="1" s="1"/>
  <c r="J20" i="6"/>
  <c r="M85" i="6"/>
  <c r="M86" i="6" s="1"/>
  <c r="M73" i="6" s="1"/>
  <c r="N10" i="1" s="1"/>
  <c r="N17" i="1" s="1"/>
  <c r="N103" i="6"/>
  <c r="N104" i="6" s="1"/>
  <c r="N105" i="6" s="1"/>
  <c r="N84" i="6" s="1"/>
  <c r="N92" i="6" s="1"/>
  <c r="N85" i="6" s="1"/>
  <c r="N86" i="6" s="1"/>
  <c r="N73" i="6" s="1"/>
  <c r="O10" i="1" s="1"/>
  <c r="M94" i="6"/>
  <c r="M11" i="2" s="1"/>
  <c r="N76" i="6"/>
  <c r="N106" i="6" l="1"/>
  <c r="G8" i="10" s="1"/>
  <c r="L6" i="3"/>
  <c r="L6" i="2"/>
  <c r="L44" i="1"/>
  <c r="L52" i="1" s="1"/>
  <c r="L53" i="1" s="1"/>
  <c r="K20" i="6"/>
  <c r="K6" i="3"/>
  <c r="K6" i="2"/>
  <c r="K7" i="2" s="1"/>
  <c r="K16" i="2" s="1"/>
  <c r="K18" i="2" s="1"/>
  <c r="F6" i="10"/>
  <c r="E4" i="7"/>
  <c r="L20" i="1"/>
  <c r="K10" i="6"/>
  <c r="K21" i="6" s="1"/>
  <c r="K22" i="6" s="1"/>
  <c r="L13" i="3"/>
  <c r="L13" i="2" s="1"/>
  <c r="L14" i="2" s="1"/>
  <c r="L16" i="6"/>
  <c r="M48" i="1" s="1"/>
  <c r="L5" i="6"/>
  <c r="L6" i="6"/>
  <c r="M21" i="1" s="1"/>
  <c r="L17" i="6"/>
  <c r="M49" i="1" s="1"/>
  <c r="L7" i="6"/>
  <c r="M23" i="1" s="1"/>
  <c r="L12" i="6"/>
  <c r="L18" i="6"/>
  <c r="M50" i="1" s="1"/>
  <c r="L9" i="6"/>
  <c r="M25" i="1" s="1"/>
  <c r="L8" i="6"/>
  <c r="M24" i="1" s="1"/>
  <c r="L19" i="6"/>
  <c r="M51" i="1" s="1"/>
  <c r="L7" i="2"/>
  <c r="C7" i="10"/>
  <c r="B5" i="7"/>
  <c r="M13" i="3"/>
  <c r="M13" i="2" s="1"/>
  <c r="M4" i="3"/>
  <c r="K53" i="1"/>
  <c r="C3" i="10"/>
  <c r="C5" i="10" s="1"/>
  <c r="C9" i="10" s="1"/>
  <c r="C22" i="10" s="1"/>
  <c r="C23" i="10" s="1"/>
  <c r="J16" i="3"/>
  <c r="J18" i="3" s="1"/>
  <c r="J24" i="2" s="1"/>
  <c r="J25" i="2" s="1"/>
  <c r="N3" i="3"/>
  <c r="N4" i="3" s="1"/>
  <c r="N5" i="2"/>
  <c r="M16" i="6"/>
  <c r="N48" i="1" s="1"/>
  <c r="M7" i="6"/>
  <c r="N23" i="1" s="1"/>
  <c r="M12" i="6"/>
  <c r="M17" i="6"/>
  <c r="N49" i="1" s="1"/>
  <c r="M9" i="6"/>
  <c r="N25" i="1" s="1"/>
  <c r="M18" i="6"/>
  <c r="N50" i="1" s="1"/>
  <c r="M5" i="6"/>
  <c r="M6" i="6"/>
  <c r="N21" i="1" s="1"/>
  <c r="M8" i="6"/>
  <c r="N24" i="1" s="1"/>
  <c r="M19" i="6"/>
  <c r="N51" i="1" s="1"/>
  <c r="N88" i="6"/>
  <c r="F9" i="7" l="1"/>
  <c r="F10" i="7" s="1"/>
  <c r="J28" i="2"/>
  <c r="B2" i="7"/>
  <c r="B6" i="7" s="1"/>
  <c r="B18" i="7" s="1"/>
  <c r="B20" i="7" s="1"/>
  <c r="J36" i="3"/>
  <c r="N6" i="3"/>
  <c r="N6" i="2"/>
  <c r="M6" i="3"/>
  <c r="M6" i="2"/>
  <c r="M7" i="2" s="1"/>
  <c r="M20" i="1"/>
  <c r="L10" i="6"/>
  <c r="N20" i="1"/>
  <c r="M10" i="6"/>
  <c r="N7" i="2"/>
  <c r="N16" i="6"/>
  <c r="O48" i="1" s="1"/>
  <c r="N9" i="6"/>
  <c r="O25" i="1" s="1"/>
  <c r="N12" i="6"/>
  <c r="N17" i="6"/>
  <c r="O49" i="1" s="1"/>
  <c r="N7" i="6"/>
  <c r="O23" i="1" s="1"/>
  <c r="N18" i="6"/>
  <c r="O50" i="1" s="1"/>
  <c r="N5" i="6"/>
  <c r="N6" i="6"/>
  <c r="O21" i="1" s="1"/>
  <c r="N19" i="6"/>
  <c r="O51" i="1" s="1"/>
  <c r="N8" i="6"/>
  <c r="O24" i="1" s="1"/>
  <c r="L16" i="2"/>
  <c r="L18" i="2" s="1"/>
  <c r="D3" i="10"/>
  <c r="D5" i="10" s="1"/>
  <c r="D9" i="10" s="1"/>
  <c r="K16" i="3"/>
  <c r="K18" i="3" s="1"/>
  <c r="K24" i="2" s="1"/>
  <c r="K25" i="2" s="1"/>
  <c r="D7" i="10"/>
  <c r="C5" i="7"/>
  <c r="M44" i="1"/>
  <c r="M52" i="1" s="1"/>
  <c r="M53" i="1" s="1"/>
  <c r="L20" i="6"/>
  <c r="N13" i="3"/>
  <c r="N13" i="2" s="1"/>
  <c r="N44" i="1"/>
  <c r="N52" i="1" s="1"/>
  <c r="N53" i="1" s="1"/>
  <c r="M20" i="6"/>
  <c r="N94" i="6"/>
  <c r="N11" i="2" s="1"/>
  <c r="N77" i="6"/>
  <c r="N78" i="6" s="1"/>
  <c r="N71" i="6" s="1"/>
  <c r="O5" i="1" s="1"/>
  <c r="O17" i="1" s="1"/>
  <c r="K28" i="2" l="1"/>
  <c r="K29" i="2" s="1"/>
  <c r="P8" i="11" s="1"/>
  <c r="P10" i="11" s="1"/>
  <c r="D11" i="11" s="1"/>
  <c r="D13" i="11" s="1"/>
  <c r="D17" i="11" s="1"/>
  <c r="C2" i="7"/>
  <c r="C6" i="7" s="1"/>
  <c r="C18" i="7" s="1"/>
  <c r="L16" i="3"/>
  <c r="L18" i="3" s="1"/>
  <c r="L24" i="2" s="1"/>
  <c r="L25" i="2" s="1"/>
  <c r="D2" i="7" s="1"/>
  <c r="E3" i="10"/>
  <c r="E5" i="10" s="1"/>
  <c r="O44" i="1"/>
  <c r="O52" i="1" s="1"/>
  <c r="O53" i="1" s="1"/>
  <c r="N20" i="6"/>
  <c r="O20" i="1"/>
  <c r="N10" i="6"/>
  <c r="N21" i="6" s="1"/>
  <c r="M21" i="6"/>
  <c r="K36" i="3"/>
  <c r="K32" i="1"/>
  <c r="K22" i="1"/>
  <c r="C30" i="10"/>
  <c r="D22" i="10"/>
  <c r="D23" i="10" s="1"/>
  <c r="D10" i="10"/>
  <c r="G6" i="10"/>
  <c r="F4" i="7"/>
  <c r="L21" i="6"/>
  <c r="L22" i="6" s="1"/>
  <c r="M14" i="2"/>
  <c r="M16" i="2" s="1"/>
  <c r="M18" i="2" s="1"/>
  <c r="M16" i="3" l="1"/>
  <c r="M18" i="3" s="1"/>
  <c r="M24" i="2" s="1"/>
  <c r="M25" i="2" s="1"/>
  <c r="E2" i="7" s="1"/>
  <c r="F3" i="10"/>
  <c r="F5" i="10" s="1"/>
  <c r="K33" i="1"/>
  <c r="K54" i="1" s="1"/>
  <c r="L36" i="3"/>
  <c r="L32" i="1"/>
  <c r="L33" i="1" s="1"/>
  <c r="L54" i="1" s="1"/>
  <c r="N22" i="6"/>
  <c r="E7" i="10"/>
  <c r="E9" i="10" s="1"/>
  <c r="D5" i="7"/>
  <c r="D6" i="7" s="1"/>
  <c r="D18" i="7" s="1"/>
  <c r="M22" i="6"/>
  <c r="C19" i="7"/>
  <c r="C20" i="7" s="1"/>
  <c r="L22" i="1" s="1"/>
  <c r="K26" i="1"/>
  <c r="K27" i="1" s="1"/>
  <c r="K56" i="1" s="1"/>
  <c r="D19" i="7" l="1"/>
  <c r="D20" i="7" s="1"/>
  <c r="M22" i="1" s="1"/>
  <c r="L26" i="1"/>
  <c r="L27" i="1" s="1"/>
  <c r="L56" i="1" s="1"/>
  <c r="M36" i="3"/>
  <c r="M32" i="1"/>
  <c r="M33" i="1" s="1"/>
  <c r="M54" i="1" s="1"/>
  <c r="E10" i="10"/>
  <c r="E22" i="10"/>
  <c r="E23" i="10" s="1"/>
  <c r="F9" i="10"/>
  <c r="F7" i="10"/>
  <c r="E5" i="7"/>
  <c r="E6" i="7" s="1"/>
  <c r="E18" i="7" s="1"/>
  <c r="G7" i="10"/>
  <c r="F5" i="7"/>
  <c r="N14" i="2"/>
  <c r="N16" i="2" s="1"/>
  <c r="N18" i="2" s="1"/>
  <c r="N32" i="1" l="1"/>
  <c r="N33" i="1" s="1"/>
  <c r="N54" i="1" s="1"/>
  <c r="N16" i="3"/>
  <c r="N18" i="3" s="1"/>
  <c r="N24" i="2" s="1"/>
  <c r="N25" i="2" s="1"/>
  <c r="G3" i="10"/>
  <c r="G5" i="10" s="1"/>
  <c r="G9" i="10" s="1"/>
  <c r="F10" i="10"/>
  <c r="F22" i="10"/>
  <c r="F23" i="10" s="1"/>
  <c r="E19" i="7"/>
  <c r="E20" i="7" s="1"/>
  <c r="N22" i="1" s="1"/>
  <c r="M26" i="1"/>
  <c r="M27" i="1" s="1"/>
  <c r="M56" i="1" s="1"/>
  <c r="F2" i="7" l="1"/>
  <c r="F6" i="7" s="1"/>
  <c r="F18" i="7" s="1"/>
  <c r="N36" i="3"/>
  <c r="O32" i="1" s="1"/>
  <c r="O33" i="1" s="1"/>
  <c r="O54" i="1" s="1"/>
  <c r="F19" i="7"/>
  <c r="N26" i="1"/>
  <c r="N27" i="1" s="1"/>
  <c r="N56" i="1" s="1"/>
  <c r="G10" i="10"/>
  <c r="H10" i="10" s="1"/>
  <c r="G22" i="10"/>
  <c r="G23" i="10" s="1"/>
  <c r="F20" i="7" l="1"/>
  <c r="O22" i="1" s="1"/>
  <c r="O26" i="1" s="1"/>
  <c r="O27" i="1" s="1"/>
  <c r="O56" i="1" s="1"/>
  <c r="I10" i="10"/>
  <c r="J10" i="10" s="1"/>
  <c r="K10" i="10" s="1"/>
  <c r="L10" i="10" s="1"/>
  <c r="M10" i="10" s="1"/>
  <c r="N10" i="10" s="1"/>
  <c r="O10" i="10" s="1"/>
  <c r="P10" i="10" s="1"/>
  <c r="Q10" i="10" s="1"/>
  <c r="H9" i="10"/>
  <c r="H22" i="10" l="1"/>
  <c r="H23" i="10" s="1"/>
  <c r="I9" i="10"/>
  <c r="I22" i="10" l="1"/>
  <c r="I23" i="10" s="1"/>
  <c r="J9" i="10"/>
  <c r="K9" i="10" l="1"/>
  <c r="J22" i="10"/>
  <c r="J23" i="10" s="1"/>
  <c r="L9" i="10" l="1"/>
  <c r="K22" i="10"/>
  <c r="K23" i="10" s="1"/>
  <c r="M9" i="10" l="1"/>
  <c r="L22" i="10"/>
  <c r="L23" i="10" s="1"/>
  <c r="N9" i="10" l="1"/>
  <c r="M22" i="10"/>
  <c r="M23" i="10" s="1"/>
  <c r="O9" i="10" l="1"/>
  <c r="N22" i="10"/>
  <c r="N23" i="10" s="1"/>
  <c r="P9" i="10" l="1"/>
  <c r="O22" i="10"/>
  <c r="O23" i="10" s="1"/>
  <c r="Q9" i="10" l="1"/>
  <c r="Q22" i="10" s="1"/>
  <c r="P22" i="10"/>
  <c r="P23" i="10" s="1"/>
  <c r="C25" i="10" l="1"/>
  <c r="C27" i="10" s="1"/>
  <c r="S16" i="10"/>
  <c r="S17" i="10" s="1"/>
  <c r="Q23" i="10"/>
  <c r="C26" i="10" s="1"/>
  <c r="C28" i="10" l="1"/>
  <c r="C32" i="10" s="1"/>
  <c r="C34" i="10" s="1"/>
  <c r="C35" i="10"/>
  <c r="D16" i="11"/>
  <c r="D18" i="11" s="1"/>
  <c r="J28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hpw</author>
  </authors>
  <commentList>
    <comment ref="C4" authorId="0" shapeId="0" xr:uid="{DA2C3AF5-A9C0-48E3-B5A1-67FE7E032F2D}">
      <text>
        <r>
          <rPr>
            <b/>
            <sz val="9"/>
            <color indexed="81"/>
            <rFont val="Tahoma"/>
            <family val="2"/>
          </rPr>
          <t>hpw:</t>
        </r>
        <r>
          <rPr>
            <sz val="9"/>
            <color indexed="81"/>
            <rFont val="Tahoma"/>
            <family val="2"/>
          </rPr>
          <t xml:space="preserve">
Project Delight: Corporate Presentation</t>
        </r>
      </text>
    </comment>
  </commentList>
</comments>
</file>

<file path=xl/sharedStrings.xml><?xml version="1.0" encoding="utf-8"?>
<sst xmlns="http://schemas.openxmlformats.org/spreadsheetml/2006/main" count="438" uniqueCount="316">
  <si>
    <t>Balance Sheet ( All Amount in ₹ Lakhs, Unless otherwise stated)</t>
  </si>
  <si>
    <t>Assets</t>
  </si>
  <si>
    <t>Non-current assets</t>
  </si>
  <si>
    <t>Property, plant and equipment</t>
  </si>
  <si>
    <t>Capital work in progress</t>
  </si>
  <si>
    <t>Goodwill</t>
  </si>
  <si>
    <t>Other Intangible assets</t>
  </si>
  <si>
    <t>Intangible assets under development</t>
  </si>
  <si>
    <t>Right of use assets</t>
  </si>
  <si>
    <t>Financial Assets</t>
  </si>
  <si>
    <t>i. Loans</t>
  </si>
  <si>
    <t>ii. Other Financial assets</t>
  </si>
  <si>
    <t>Income tax assets (net)</t>
  </si>
  <si>
    <t>Other Assets</t>
  </si>
  <si>
    <t>Deferred tax assets (net)</t>
  </si>
  <si>
    <t>Total Non-current assets</t>
  </si>
  <si>
    <t>Current assets</t>
  </si>
  <si>
    <t>Financial assets</t>
  </si>
  <si>
    <t>i. Investments</t>
  </si>
  <si>
    <t>ii. Trade receivables</t>
  </si>
  <si>
    <t>iii. Cash and cash equivalents</t>
  </si>
  <si>
    <t>v. Loans</t>
  </si>
  <si>
    <t>vi. Other financial assets</t>
  </si>
  <si>
    <t>Other assets</t>
  </si>
  <si>
    <t>Total current assets</t>
  </si>
  <si>
    <t>Total assets</t>
  </si>
  <si>
    <t>Equity and liabilities</t>
  </si>
  <si>
    <t>Equity</t>
  </si>
  <si>
    <t>Equity share capital</t>
  </si>
  <si>
    <t>Instruments entirely in the nature of equity</t>
  </si>
  <si>
    <t>Other equity</t>
  </si>
  <si>
    <t>Total Equity</t>
  </si>
  <si>
    <t>Liabilities</t>
  </si>
  <si>
    <t>Non-current Liabilities</t>
  </si>
  <si>
    <t>Financial Liabilities</t>
  </si>
  <si>
    <t>i. Borrowings</t>
  </si>
  <si>
    <t>ii. Lease Liabilities</t>
  </si>
  <si>
    <t>iii. Other Financial Liabilities</t>
  </si>
  <si>
    <t>Provisions</t>
  </si>
  <si>
    <t>Deferred tax liabilities (net)</t>
  </si>
  <si>
    <t>Total non-current liabilities</t>
  </si>
  <si>
    <t>Current Liabilities</t>
  </si>
  <si>
    <t>Contract Liabilities</t>
  </si>
  <si>
    <t>iii. Trade payables</t>
  </si>
  <si>
    <t>iv. Other Financial liabilities</t>
  </si>
  <si>
    <t>Other current liabilities</t>
  </si>
  <si>
    <t>Total Current Liabilities</t>
  </si>
  <si>
    <t>Total liabilities</t>
  </si>
  <si>
    <t>Total Equity and liabilities</t>
  </si>
  <si>
    <t>Balancing Check</t>
  </si>
  <si>
    <t>FY18</t>
  </si>
  <si>
    <t>FY19</t>
  </si>
  <si>
    <t>FY20</t>
  </si>
  <si>
    <t>FY21</t>
  </si>
  <si>
    <t>FY22</t>
  </si>
  <si>
    <t>FY25E</t>
  </si>
  <si>
    <t>FY26E</t>
  </si>
  <si>
    <t>FY27E</t>
  </si>
  <si>
    <t>Profit &amp; Loss Statement ( All Amount in ₹ Lakhs, unless otherwise stated)</t>
  </si>
  <si>
    <t>P&amp;L Statement</t>
  </si>
  <si>
    <t>Income</t>
  </si>
  <si>
    <t>Revenue from contracts with customers</t>
  </si>
  <si>
    <t>Other Income</t>
  </si>
  <si>
    <t>Total Income</t>
  </si>
  <si>
    <t>Expense</t>
  </si>
  <si>
    <t>Employee benefits expense</t>
  </si>
  <si>
    <t>Depreciation and amortisation</t>
  </si>
  <si>
    <t>Finance cost</t>
  </si>
  <si>
    <t>Other expense</t>
  </si>
  <si>
    <t>Total Expense</t>
  </si>
  <si>
    <t>Profit before exceptional items and tax</t>
  </si>
  <si>
    <t>Exceptional items- Impairment of goodwill</t>
  </si>
  <si>
    <t>Profit before tax</t>
  </si>
  <si>
    <t>Tax expense</t>
  </si>
  <si>
    <t>Current tax</t>
  </si>
  <si>
    <t>Adjustment of tax relating to earlier periods</t>
  </si>
  <si>
    <t>Deferred tax charge/credit</t>
  </si>
  <si>
    <t>Net Expense</t>
  </si>
  <si>
    <t>Profit for the year</t>
  </si>
  <si>
    <t>Revenue Assumptions</t>
  </si>
  <si>
    <t>Total</t>
  </si>
  <si>
    <t>Other P&amp;L Assumptions:</t>
  </si>
  <si>
    <t>Employee Count</t>
  </si>
  <si>
    <t>Cost per employee</t>
  </si>
  <si>
    <t>Growth Rate of expense per employee</t>
  </si>
  <si>
    <t>As a percent of revenue</t>
  </si>
  <si>
    <t>Tax Rate</t>
  </si>
  <si>
    <t>Other Balance Sheet Assumptions</t>
  </si>
  <si>
    <t xml:space="preserve">Revenue Model </t>
  </si>
  <si>
    <t>Revenue from contracts</t>
  </si>
  <si>
    <t>Onshore Revenue</t>
  </si>
  <si>
    <t>As a percentage</t>
  </si>
  <si>
    <t>Offshore Revenue</t>
  </si>
  <si>
    <t>Onsite</t>
  </si>
  <si>
    <t>Offsite</t>
  </si>
  <si>
    <t>Growth in Employees Count</t>
  </si>
  <si>
    <t>Calculations</t>
  </si>
  <si>
    <t>Utilization</t>
  </si>
  <si>
    <t>Billed Employees</t>
  </si>
  <si>
    <t>Working Hours</t>
  </si>
  <si>
    <t>Growth in Billing rate</t>
  </si>
  <si>
    <t>Working Capital Schedule</t>
  </si>
  <si>
    <t>Current assets (except cash &amp; equivalents)</t>
  </si>
  <si>
    <t>Total Current Assets (except cash &amp; equivalents)</t>
  </si>
  <si>
    <t>Net Working Capital (excluding cash)</t>
  </si>
  <si>
    <t>Changes in Net Working Capital</t>
  </si>
  <si>
    <t>Current Asset as days of sales</t>
  </si>
  <si>
    <t>Current Liabilities as days of sales</t>
  </si>
  <si>
    <t>Debt Schedule</t>
  </si>
  <si>
    <t>Long term Borrowings</t>
  </si>
  <si>
    <t>Short Term Borrowing</t>
  </si>
  <si>
    <t>Total Borrowings</t>
  </si>
  <si>
    <t>Long Term Lease</t>
  </si>
  <si>
    <t>Short Term Lease</t>
  </si>
  <si>
    <t>Total Lease</t>
  </si>
  <si>
    <t>Cost on Borrowings</t>
  </si>
  <si>
    <t>Cost on Lease Liabilities</t>
  </si>
  <si>
    <t>Unwinding of Interest</t>
  </si>
  <si>
    <t>Total Finance cost</t>
  </si>
  <si>
    <t>Cost of Borrowing (%)</t>
  </si>
  <si>
    <t>Cost Of Lease (%)</t>
  </si>
  <si>
    <t>Weighted Average Cost Of Borrowing</t>
  </si>
  <si>
    <t>New Borrowing Raised</t>
  </si>
  <si>
    <t>Exsisting Borrowing Repaid</t>
  </si>
  <si>
    <t>Net Borrowing Raised</t>
  </si>
  <si>
    <t>Net Borrowing Added to Long Term Borrowings</t>
  </si>
  <si>
    <t>New Lease added</t>
  </si>
  <si>
    <t>Existing lease removed</t>
  </si>
  <si>
    <t>Net Lease added</t>
  </si>
  <si>
    <t>Net Lease added to long term lease</t>
  </si>
  <si>
    <t>Capex Schedule</t>
  </si>
  <si>
    <t>Property, Plant &amp; Equipment</t>
  </si>
  <si>
    <t>Intangible Assets</t>
  </si>
  <si>
    <t>Right-of-use Assets</t>
  </si>
  <si>
    <t>Gross Long Term Assets:</t>
  </si>
  <si>
    <t>Accumulated Depreciation:</t>
  </si>
  <si>
    <t>Net PPE</t>
  </si>
  <si>
    <t>Net Intangible Assets</t>
  </si>
  <si>
    <t>Net Right of use assets</t>
  </si>
  <si>
    <t>Depreciation on PPE</t>
  </si>
  <si>
    <t>As a % of GLTA</t>
  </si>
  <si>
    <t>Depreciation on Intangible Asset</t>
  </si>
  <si>
    <t>Depreciation on Right of use Assets</t>
  </si>
  <si>
    <t>Total Depreciation</t>
  </si>
  <si>
    <t>Total Capex</t>
  </si>
  <si>
    <t>Maintenance Capex on PPE</t>
  </si>
  <si>
    <t>Growth Capex On PPE</t>
  </si>
  <si>
    <t>Total Capex On PPE</t>
  </si>
  <si>
    <t>Maintenance Capex on Intangible Assets</t>
  </si>
  <si>
    <t>Growth Capex On Intangible Assets</t>
  </si>
  <si>
    <t>Maintenance Capex on Right of Use of Assets</t>
  </si>
  <si>
    <t>Growth Capex On Right of Use of Assets</t>
  </si>
  <si>
    <t>Total Capex On Intangible Assets</t>
  </si>
  <si>
    <t>Total Capex On Right of use of Assets</t>
  </si>
  <si>
    <t>All Amount are in ₹ Lakhs</t>
  </si>
  <si>
    <t>Billing Rate/Hour(Onshore)*</t>
  </si>
  <si>
    <t>Billing Rate/Hour (Offshore)*</t>
  </si>
  <si>
    <t>*Note = These numbers are whole numbers, and not in lakhs</t>
  </si>
  <si>
    <t>FY28E</t>
  </si>
  <si>
    <t>FY23</t>
  </si>
  <si>
    <t>Cash Flow Statement ( All Amount in ₹ Lakhs, Unless otherwise stated)</t>
  </si>
  <si>
    <t>2025E</t>
  </si>
  <si>
    <t>2026E</t>
  </si>
  <si>
    <t>2027E</t>
  </si>
  <si>
    <t>Net Profit</t>
  </si>
  <si>
    <t>Add Finance Costs</t>
  </si>
  <si>
    <t>Add Depreciation</t>
  </si>
  <si>
    <t>Less Change in Net Working Capital</t>
  </si>
  <si>
    <t>Cash Flow from Operating Activities</t>
  </si>
  <si>
    <t>Change in Investments</t>
  </si>
  <si>
    <t>Capital Expenditure</t>
  </si>
  <si>
    <t>Cash Flow from Investing Activities</t>
  </si>
  <si>
    <t>Changes to Equity</t>
  </si>
  <si>
    <t>Finance Costs Paid</t>
  </si>
  <si>
    <t>Dividend Paid</t>
  </si>
  <si>
    <t>Cash Flow from Financing Activities</t>
  </si>
  <si>
    <t>Total Cash Flow</t>
  </si>
  <si>
    <t>Beginning Cash Balance</t>
  </si>
  <si>
    <t>Closing Cash Balance in Balance Sheet</t>
  </si>
  <si>
    <t>2028E</t>
  </si>
  <si>
    <t>Other Financial Liabilities</t>
  </si>
  <si>
    <t>Happiest Minds</t>
  </si>
  <si>
    <t>Nifty 100</t>
  </si>
  <si>
    <t>Returns/Happiest</t>
  </si>
  <si>
    <t>Returns/Nifty 100</t>
  </si>
  <si>
    <t>CMP</t>
  </si>
  <si>
    <t>No of Shares in Lakh</t>
  </si>
  <si>
    <t>WACC</t>
  </si>
  <si>
    <t>Beta</t>
  </si>
  <si>
    <t>Risk Free Rate</t>
  </si>
  <si>
    <t>Equity Risk Premium</t>
  </si>
  <si>
    <t>Terminal Growth Rate Calculation</t>
  </si>
  <si>
    <t>GDP USA</t>
  </si>
  <si>
    <t>Cost Of Equity</t>
  </si>
  <si>
    <t>US IT Sector Growth</t>
  </si>
  <si>
    <t>GDP India</t>
  </si>
  <si>
    <t>Market Value of Equity</t>
  </si>
  <si>
    <t>Worldwide Digital Industry Growth</t>
  </si>
  <si>
    <t>Value Of Debt</t>
  </si>
  <si>
    <t xml:space="preserve">Terminal Growth Rate </t>
  </si>
  <si>
    <t>Cost of Debt</t>
  </si>
  <si>
    <t>Proportion of Debt</t>
  </si>
  <si>
    <t>Proportion of Equity</t>
  </si>
  <si>
    <t>Effective Tax rate</t>
  </si>
  <si>
    <t>Terminal Growth Rate</t>
  </si>
  <si>
    <t>Free Cashflow to Firm  Calculation</t>
  </si>
  <si>
    <t>EBIT</t>
  </si>
  <si>
    <t>EBIT(1-t) (or NOPAT)</t>
  </si>
  <si>
    <t>Less Capital Expenditure</t>
  </si>
  <si>
    <t>FCFF</t>
  </si>
  <si>
    <t>FCFF Growth</t>
  </si>
  <si>
    <t>Valuation Parameters</t>
  </si>
  <si>
    <t>Valuation as on Specified Date</t>
  </si>
  <si>
    <t>Date of Year Ending</t>
  </si>
  <si>
    <t>Tax Rate (Effective Future Rate)</t>
  </si>
  <si>
    <t>Years</t>
  </si>
  <si>
    <t>Time to Cashflow in Years</t>
  </si>
  <si>
    <t>Discounted FCFF</t>
  </si>
  <si>
    <t>NPV of Explicit Cash Flows</t>
  </si>
  <si>
    <t>NPV of Terminal Value</t>
  </si>
  <si>
    <t>Enterprise Value</t>
  </si>
  <si>
    <t>Less Debt</t>
  </si>
  <si>
    <t>Add Cash</t>
  </si>
  <si>
    <t>No. of Shares Outstanding (in lakhs)</t>
  </si>
  <si>
    <t>Equity Value</t>
  </si>
  <si>
    <t>Value per Share (today)</t>
  </si>
  <si>
    <t>Upside/Downside</t>
  </si>
  <si>
    <t>Terminal Value of FCFF</t>
  </si>
  <si>
    <t>P/E</t>
  </si>
  <si>
    <t>P/E Based  Valuation</t>
  </si>
  <si>
    <t>Peer Set</t>
  </si>
  <si>
    <t>EPAM</t>
  </si>
  <si>
    <t>Globant</t>
  </si>
  <si>
    <t>LTI Mindtree</t>
  </si>
  <si>
    <t>Peer Average</t>
  </si>
  <si>
    <t>Happiest Minds:</t>
  </si>
  <si>
    <t>Target Share Price</t>
  </si>
  <si>
    <t>Happiest Minds Relative Price</t>
  </si>
  <si>
    <t>Model</t>
  </si>
  <si>
    <t>Price</t>
  </si>
  <si>
    <t>Weightages Assigned</t>
  </si>
  <si>
    <t>DCF suggested Price</t>
  </si>
  <si>
    <t>Relative Suggested Price</t>
  </si>
  <si>
    <t>Blended Target Price</t>
  </si>
  <si>
    <t>FY24</t>
  </si>
  <si>
    <t>FY29E</t>
  </si>
  <si>
    <t>Annual Report</t>
  </si>
  <si>
    <t>Depreciation:</t>
  </si>
  <si>
    <t>As a % of Total Revenue</t>
  </si>
  <si>
    <t>2029E</t>
  </si>
  <si>
    <t>GLTA</t>
  </si>
  <si>
    <t>Acc Deprcition</t>
  </si>
  <si>
    <t>Net Asset</t>
  </si>
  <si>
    <t>Sources:</t>
  </si>
  <si>
    <t>Investorpresentation</t>
  </si>
  <si>
    <t>ConCall Analysis</t>
  </si>
  <si>
    <t>MD&amp;A</t>
  </si>
  <si>
    <t>Revenue Generated per employee per hour</t>
  </si>
  <si>
    <t>Total Revenue</t>
  </si>
  <si>
    <t>No of Employee x Utilization x 2000</t>
  </si>
  <si>
    <t>B/S</t>
  </si>
  <si>
    <t>I/S</t>
  </si>
  <si>
    <t>4 Equations:</t>
  </si>
  <si>
    <t>GLTA (25) = GLTA (24) + Capex(25)</t>
  </si>
  <si>
    <t>Capex(25)= Maintenance Capex(25) + Growth Capex (25)</t>
  </si>
  <si>
    <t>Maintenance Capex (25) = Depreciation Exp of Year 24</t>
  </si>
  <si>
    <t>Acc Dep (25) = Acc Dep (24) + Dep Exp (25)</t>
  </si>
  <si>
    <t>Steps:</t>
  </si>
  <si>
    <t>Identify Deprn %, for future years</t>
  </si>
  <si>
    <t>Calculate Maintenance Capex</t>
  </si>
  <si>
    <t>Calculate the growth Capex</t>
  </si>
  <si>
    <t>Growth Capex</t>
  </si>
  <si>
    <t>Management Commentary</t>
  </si>
  <si>
    <t>Manufacturing</t>
  </si>
  <si>
    <t>Capex pf 5bn on in next 5 years</t>
  </si>
  <si>
    <t>They do not comment on their tangible assets</t>
  </si>
  <si>
    <t>We use grid</t>
  </si>
  <si>
    <t>50% of Maintenance capex they do as a gowthncapex</t>
  </si>
  <si>
    <t>Calvcu;ate Total Capex from Eq 2</t>
  </si>
  <si>
    <t>Calculate GLTA for Year 25 through eq 1</t>
  </si>
  <si>
    <t>Calculate absolute amount of depreciation</t>
  </si>
  <si>
    <t>Calculate Acc Dep for Year 25 from Eq 4</t>
  </si>
  <si>
    <t>still there is one issue</t>
  </si>
  <si>
    <t>Annuals Report</t>
  </si>
  <si>
    <t>Notes of Finance Cost</t>
  </si>
  <si>
    <t>DSO</t>
  </si>
  <si>
    <t>DSO = 365x CurrentAsset/CurrentLiabilit</t>
  </si>
  <si>
    <t>DSO = WCx365/Sales</t>
  </si>
  <si>
    <t>CA= DSOx Sales/365</t>
  </si>
  <si>
    <t>CTC</t>
  </si>
  <si>
    <t>Forecast</t>
  </si>
  <si>
    <t>Weighted Avereage</t>
  </si>
  <si>
    <t>Other equity (Reserves &amp; Surplus)</t>
  </si>
  <si>
    <t>Linkages</t>
  </si>
  <si>
    <t>WC Schedule</t>
  </si>
  <si>
    <t>Assumption Tab</t>
  </si>
  <si>
    <r>
      <t>Net Loans Raised for the</t>
    </r>
    <r>
      <rPr>
        <b/>
        <sz val="11"/>
        <rFont val="Calibri"/>
        <family val="2"/>
        <scheme val="minor"/>
      </rPr>
      <t xml:space="preserve"> long term</t>
    </r>
  </si>
  <si>
    <t>WACC = Rf + Beta(Rm-Rf)</t>
  </si>
  <si>
    <t>Aswath Damodaran's Website</t>
  </si>
  <si>
    <t>Google</t>
  </si>
  <si>
    <t>Terminal growth rate are generally in the ball park range of 4-6%</t>
  </si>
  <si>
    <t>This is value of all CFs firm will be generating from 2040E to Infinite</t>
  </si>
  <si>
    <t>But this value is at 2039E</t>
  </si>
  <si>
    <t>Enterprise Value = Equity Value + debt Value - Cash</t>
  </si>
  <si>
    <t>EV is the value at which you can buy the firm</t>
  </si>
  <si>
    <t>Equity Value = EV-debt + Cash</t>
  </si>
  <si>
    <t>Screener</t>
  </si>
  <si>
    <t>Bloomberg</t>
  </si>
  <si>
    <t>Inv Presentation</t>
  </si>
  <si>
    <t>EPS NTM (Next Twlve mOnths)</t>
  </si>
  <si>
    <t>Total Earning for NTM</t>
  </si>
  <si>
    <t>Total Earning of NTM</t>
  </si>
  <si>
    <t>Total no of shares</t>
  </si>
  <si>
    <t>EPS for NTM of Happ Minds</t>
  </si>
  <si>
    <t>Peer set source:</t>
  </si>
  <si>
    <t>RBI, 10 Yt Gsec bond yield as a proxy.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</si>
</sst>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_ &quot;₹&quot;\ * #,##0.00_ ;_ &quot;₹&quot;\ * \-#,##0.00_ ;_ &quot;₹&quot;\ * &quot;-&quot;??_ ;_ @_ "/>
    <numFmt numFmtId="165" formatCode="_ * #,##0.00_ ;_ * \-#,##0.00_ ;_ * &quot;-&quot;??_ ;_ @_ "/>
    <numFmt numFmtId="166" formatCode="_ &quot;₹&quot;\ * #,##0_ ;_ &quot;₹&quot;\ * \-#,##0_ ;_ &quot;₹&quot;\ * &quot;-&quot;??_ ;_ @_ "/>
    <numFmt numFmtId="167" formatCode="_ &quot;₹&quot;\ * #,##0.000_ ;_ &quot;₹&quot;\ * \-#,##0.000_ ;_ &quot;₹&quot;\ * &quot;-&quot;??_ ;_ @_ "/>
    <numFmt numFmtId="168" formatCode="0.0%"/>
    <numFmt numFmtId="169" formatCode="&quot;₹&quot;\ #,##0"/>
    <numFmt numFmtId="170" formatCode="_(&quot;₹&quot;* #,##0.00_);_(&quot;₹&quot;* \(#,##0.00\);_(&quot;₹&quot;* &quot;-&quot;??_);_(@_)"/>
    <numFmt numFmtId="171" formatCode="_ * #,##0_ ;_ * \-#,##0_ ;_ * &quot;-&quot;??_ ;_ @_ "/>
    <numFmt numFmtId="172" formatCode="0.000000000"/>
    <numFmt numFmtId="173" formatCode="0&quot;E&quot;"/>
    <numFmt numFmtId="174" formatCode="0.0"/>
    <numFmt numFmtId="175" formatCode="_(&quot;₹&quot;* #,##0_);_(&quot;₹&quot;* \(#,##0\);_(&quot;₹&quot;* &quot;-&quot;??_);_(@_)"/>
    <numFmt numFmtId="176" formatCode="&quot;₹&quot;\ #,##0.0"/>
    <numFmt numFmtId="177" formatCode="0.000000"/>
    <numFmt numFmtId="178" formatCode="_ * #,##0.000000000_ ;_ * \-#,##0.000000000_ ;_ * &quot;-&quot;??_ ;_ @_ "/>
    <numFmt numFmtId="179" formatCode="0.0000%"/>
    <numFmt numFmtId="180" formatCode="_ * #,##0.00000000_ ;_ * \-#,##0.00000000_ ;_ * &quot;-&quot;??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 Unicode MS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gray0625">
        <bgColor theme="0"/>
      </patternFill>
    </fill>
    <fill>
      <patternFill patternType="solid">
        <fgColor theme="2" tint="-9.9978637043366805E-2"/>
        <bgColor indexed="64"/>
      </patternFill>
    </fill>
    <fill>
      <patternFill patternType="mediumGray"/>
    </fill>
    <fill>
      <patternFill patternType="solid">
        <fgColor theme="6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</cellStyleXfs>
  <cellXfs count="442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/>
    <xf numFmtId="0" fontId="3" fillId="0" borderId="16" xfId="0" applyFont="1" applyBorder="1"/>
    <xf numFmtId="0" fontId="0" fillId="0" borderId="16" xfId="0" applyBorder="1" applyAlignment="1">
      <alignment horizontal="left" indent="1"/>
    </xf>
    <xf numFmtId="0" fontId="3" fillId="2" borderId="18" xfId="0" applyFont="1" applyFill="1" applyBorder="1"/>
    <xf numFmtId="0" fontId="3" fillId="0" borderId="16" xfId="0" applyFont="1" applyBorder="1" applyAlignment="1">
      <alignment horizontal="left" indent="1"/>
    </xf>
    <xf numFmtId="0" fontId="3" fillId="0" borderId="18" xfId="0" applyFont="1" applyBorder="1"/>
    <xf numFmtId="0" fontId="0" fillId="2" borderId="19" xfId="0" applyFill="1" applyBorder="1"/>
    <xf numFmtId="166" fontId="0" fillId="0" borderId="3" xfId="0" applyNumberFormat="1" applyBorder="1"/>
    <xf numFmtId="166" fontId="0" fillId="0" borderId="0" xfId="0" applyNumberFormat="1"/>
    <xf numFmtId="166" fontId="0" fillId="0" borderId="20" xfId="0" applyNumberFormat="1" applyBorder="1"/>
    <xf numFmtId="166" fontId="0" fillId="0" borderId="2" xfId="0" applyNumberFormat="1" applyBorder="1"/>
    <xf numFmtId="166" fontId="0" fillId="0" borderId="12" xfId="0" applyNumberFormat="1" applyBorder="1"/>
    <xf numFmtId="166" fontId="0" fillId="0" borderId="22" xfId="0" applyNumberFormat="1" applyBorder="1"/>
    <xf numFmtId="166" fontId="0" fillId="0" borderId="14" xfId="0" applyNumberFormat="1" applyBorder="1"/>
    <xf numFmtId="166" fontId="0" fillId="0" borderId="4" xfId="0" applyNumberFormat="1" applyBorder="1"/>
    <xf numFmtId="166" fontId="0" fillId="0" borderId="13" xfId="0" applyNumberFormat="1" applyBorder="1"/>
    <xf numFmtId="166" fontId="0" fillId="0" borderId="23" xfId="0" applyNumberFormat="1" applyBorder="1"/>
    <xf numFmtId="166" fontId="0" fillId="0" borderId="0" xfId="1" applyNumberFormat="1" applyFont="1" applyFill="1" applyBorder="1"/>
    <xf numFmtId="166" fontId="0" fillId="0" borderId="10" xfId="1" applyNumberFormat="1" applyFont="1" applyFill="1" applyBorder="1"/>
    <xf numFmtId="0" fontId="3" fillId="0" borderId="0" xfId="0" applyFont="1"/>
    <xf numFmtId="0" fontId="2" fillId="3" borderId="1" xfId="0" applyFont="1" applyFill="1" applyBorder="1"/>
    <xf numFmtId="166" fontId="0" fillId="2" borderId="12" xfId="1" applyNumberFormat="1" applyFont="1" applyFill="1" applyBorder="1"/>
    <xf numFmtId="0" fontId="0" fillId="2" borderId="3" xfId="0" applyFill="1" applyBorder="1" applyAlignment="1">
      <alignment horizontal="left" indent="1"/>
    </xf>
    <xf numFmtId="166" fontId="0" fillId="2" borderId="0" xfId="1" applyNumberFormat="1" applyFont="1" applyFill="1" applyBorder="1"/>
    <xf numFmtId="166" fontId="0" fillId="2" borderId="9" xfId="1" applyNumberFormat="1" applyFont="1" applyFill="1" applyBorder="1"/>
    <xf numFmtId="0" fontId="0" fillId="2" borderId="2" xfId="0" applyFill="1" applyBorder="1"/>
    <xf numFmtId="0" fontId="3" fillId="2" borderId="3" xfId="0" applyFont="1" applyFill="1" applyBorder="1"/>
    <xf numFmtId="0" fontId="0" fillId="2" borderId="3" xfId="0" applyFill="1" applyBorder="1"/>
    <xf numFmtId="166" fontId="0" fillId="5" borderId="0" xfId="1" applyNumberFormat="1" applyFont="1" applyFill="1" applyBorder="1"/>
    <xf numFmtId="166" fontId="0" fillId="5" borderId="9" xfId="1" applyNumberFormat="1" applyFont="1" applyFill="1" applyBorder="1"/>
    <xf numFmtId="166" fontId="3" fillId="2" borderId="0" xfId="1" applyNumberFormat="1" applyFont="1" applyFill="1" applyBorder="1"/>
    <xf numFmtId="0" fontId="0" fillId="0" borderId="9" xfId="0" applyBorder="1"/>
    <xf numFmtId="0" fontId="3" fillId="4" borderId="1" xfId="0" applyFont="1" applyFill="1" applyBorder="1"/>
    <xf numFmtId="166" fontId="3" fillId="4" borderId="5" xfId="1" applyNumberFormat="1" applyFont="1" applyFill="1" applyBorder="1"/>
    <xf numFmtId="166" fontId="3" fillId="4" borderId="7" xfId="1" applyNumberFormat="1" applyFont="1" applyFill="1" applyBorder="1"/>
    <xf numFmtId="0" fontId="3" fillId="0" borderId="3" xfId="0" applyFont="1" applyBorder="1"/>
    <xf numFmtId="166" fontId="0" fillId="0" borderId="0" xfId="1" applyNumberFormat="1" applyFont="1" applyBorder="1"/>
    <xf numFmtId="166" fontId="0" fillId="0" borderId="9" xfId="1" applyNumberFormat="1" applyFont="1" applyBorder="1"/>
    <xf numFmtId="0" fontId="3" fillId="0" borderId="4" xfId="0" applyFont="1" applyBorder="1"/>
    <xf numFmtId="166" fontId="0" fillId="0" borderId="13" xfId="1" applyNumberFormat="1" applyFont="1" applyBorder="1"/>
    <xf numFmtId="0" fontId="3" fillId="0" borderId="24" xfId="0" applyFont="1" applyBorder="1"/>
    <xf numFmtId="166" fontId="3" fillId="0" borderId="10" xfId="1" applyNumberFormat="1" applyFont="1" applyBorder="1"/>
    <xf numFmtId="166" fontId="3" fillId="0" borderId="11" xfId="1" applyNumberFormat="1" applyFont="1" applyBorder="1"/>
    <xf numFmtId="0" fontId="0" fillId="0" borderId="3" xfId="0" applyBorder="1"/>
    <xf numFmtId="9" fontId="0" fillId="0" borderId="0" xfId="2" applyFont="1" applyBorder="1"/>
    <xf numFmtId="9" fontId="0" fillId="0" borderId="9" xfId="2" applyFont="1" applyBorder="1"/>
    <xf numFmtId="166" fontId="3" fillId="0" borderId="0" xfId="1" applyNumberFormat="1" applyFont="1" applyBorder="1"/>
    <xf numFmtId="166" fontId="3" fillId="0" borderId="9" xfId="1" applyNumberFormat="1" applyFont="1" applyBorder="1"/>
    <xf numFmtId="166" fontId="0" fillId="0" borderId="10" xfId="1" applyNumberFormat="1" applyFont="1" applyBorder="1"/>
    <xf numFmtId="166" fontId="0" fillId="0" borderId="11" xfId="1" applyNumberFormat="1" applyFont="1" applyBorder="1"/>
    <xf numFmtId="0" fontId="0" fillId="2" borderId="9" xfId="0" applyFill="1" applyBorder="1"/>
    <xf numFmtId="0" fontId="0" fillId="0" borderId="24" xfId="0" applyBorder="1"/>
    <xf numFmtId="166" fontId="0" fillId="0" borderId="11" xfId="1" applyNumberFormat="1" applyFont="1" applyFill="1" applyBorder="1"/>
    <xf numFmtId="0" fontId="0" fillId="2" borderId="24" xfId="0" applyFill="1" applyBorder="1"/>
    <xf numFmtId="167" fontId="0" fillId="2" borderId="9" xfId="0" applyNumberFormat="1" applyFill="1" applyBorder="1"/>
    <xf numFmtId="10" fontId="4" fillId="2" borderId="0" xfId="2" applyNumberFormat="1" applyFont="1" applyFill="1" applyBorder="1"/>
    <xf numFmtId="10" fontId="4" fillId="2" borderId="10" xfId="2" applyNumberFormat="1" applyFont="1" applyFill="1" applyBorder="1"/>
    <xf numFmtId="166" fontId="0" fillId="0" borderId="15" xfId="1" applyNumberFormat="1" applyFont="1" applyBorder="1"/>
    <xf numFmtId="0" fontId="3" fillId="2" borderId="16" xfId="0" applyFont="1" applyFill="1" applyBorder="1"/>
    <xf numFmtId="167" fontId="0" fillId="2" borderId="0" xfId="0" applyNumberFormat="1" applyFill="1"/>
    <xf numFmtId="166" fontId="0" fillId="0" borderId="3" xfId="1" applyNumberFormat="1" applyFont="1" applyFill="1" applyBorder="1"/>
    <xf numFmtId="0" fontId="0" fillId="0" borderId="10" xfId="0" applyBorder="1"/>
    <xf numFmtId="0" fontId="0" fillId="0" borderId="5" xfId="0" applyBorder="1"/>
    <xf numFmtId="9" fontId="0" fillId="2" borderId="12" xfId="0" applyNumberFormat="1" applyFill="1" applyBorder="1"/>
    <xf numFmtId="0" fontId="3" fillId="6" borderId="8" xfId="0" applyFont="1" applyFill="1" applyBorder="1"/>
    <xf numFmtId="166" fontId="0" fillId="6" borderId="10" xfId="0" applyNumberFormat="1" applyFill="1" applyBorder="1"/>
    <xf numFmtId="166" fontId="0" fillId="6" borderId="21" xfId="0" applyNumberFormat="1" applyFill="1" applyBorder="1"/>
    <xf numFmtId="166" fontId="0" fillId="6" borderId="10" xfId="1" applyNumberFormat="1" applyFont="1" applyFill="1" applyBorder="1"/>
    <xf numFmtId="166" fontId="0" fillId="6" borderId="11" xfId="1" applyNumberFormat="1" applyFont="1" applyFill="1" applyBorder="1"/>
    <xf numFmtId="166" fontId="0" fillId="0" borderId="12" xfId="1" applyNumberFormat="1" applyFont="1" applyBorder="1"/>
    <xf numFmtId="166" fontId="0" fillId="0" borderId="14" xfId="1" applyNumberFormat="1" applyFont="1" applyBorder="1"/>
    <xf numFmtId="166" fontId="2" fillId="3" borderId="5" xfId="1" applyNumberFormat="1" applyFont="1" applyFill="1" applyBorder="1" applyAlignment="1">
      <alignment horizontal="right"/>
    </xf>
    <xf numFmtId="166" fontId="2" fillId="3" borderId="7" xfId="1" applyNumberFormat="1" applyFont="1" applyFill="1" applyBorder="1" applyAlignment="1">
      <alignment horizontal="right"/>
    </xf>
    <xf numFmtId="9" fontId="0" fillId="0" borderId="10" xfId="2" applyFont="1" applyBorder="1"/>
    <xf numFmtId="9" fontId="0" fillId="0" borderId="11" xfId="2" applyFont="1" applyBorder="1"/>
    <xf numFmtId="168" fontId="4" fillId="2" borderId="0" xfId="2" applyNumberFormat="1" applyFont="1" applyFill="1" applyBorder="1"/>
    <xf numFmtId="168" fontId="0" fillId="0" borderId="10" xfId="0" applyNumberFormat="1" applyBorder="1"/>
    <xf numFmtId="1" fontId="0" fillId="0" borderId="0" xfId="0" applyNumberFormat="1"/>
    <xf numFmtId="1" fontId="0" fillId="0" borderId="9" xfId="0" applyNumberFormat="1" applyBorder="1"/>
    <xf numFmtId="0" fontId="2" fillId="3" borderId="2" xfId="0" applyFont="1" applyFill="1" applyBorder="1"/>
    <xf numFmtId="0" fontId="2" fillId="3" borderId="12" xfId="0" applyFont="1" applyFill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3" fillId="0" borderId="2" xfId="0" applyFont="1" applyBorder="1"/>
    <xf numFmtId="0" fontId="0" fillId="2" borderId="3" xfId="0" applyFill="1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 indent="1"/>
    </xf>
    <xf numFmtId="166" fontId="3" fillId="2" borderId="9" xfId="1" applyNumberFormat="1" applyFont="1" applyFill="1" applyBorder="1"/>
    <xf numFmtId="0" fontId="3" fillId="4" borderId="3" xfId="0" applyFont="1" applyFill="1" applyBorder="1"/>
    <xf numFmtId="166" fontId="3" fillId="4" borderId="0" xfId="1" applyNumberFormat="1" applyFont="1" applyFill="1" applyBorder="1"/>
    <xf numFmtId="166" fontId="3" fillId="4" borderId="9" xfId="1" applyNumberFormat="1" applyFont="1" applyFill="1" applyBorder="1"/>
    <xf numFmtId="0" fontId="3" fillId="4" borderId="24" xfId="0" applyFont="1" applyFill="1" applyBorder="1"/>
    <xf numFmtId="166" fontId="3" fillId="4" borderId="10" xfId="1" applyNumberFormat="1" applyFont="1" applyFill="1" applyBorder="1"/>
    <xf numFmtId="166" fontId="3" fillId="4" borderId="11" xfId="1" applyNumberFormat="1" applyFont="1" applyFill="1" applyBorder="1"/>
    <xf numFmtId="0" fontId="0" fillId="2" borderId="2" xfId="0" applyFill="1" applyBorder="1" applyAlignment="1">
      <alignment horizontal="left" indent="1"/>
    </xf>
    <xf numFmtId="1" fontId="0" fillId="0" borderId="12" xfId="1" applyNumberFormat="1" applyFont="1" applyBorder="1"/>
    <xf numFmtId="1" fontId="0" fillId="0" borderId="14" xfId="1" applyNumberFormat="1" applyFont="1" applyBorder="1"/>
    <xf numFmtId="1" fontId="0" fillId="0" borderId="0" xfId="1" applyNumberFormat="1" applyFont="1" applyBorder="1"/>
    <xf numFmtId="1" fontId="0" fillId="0" borderId="9" xfId="1" applyNumberFormat="1" applyFont="1" applyBorder="1"/>
    <xf numFmtId="0" fontId="0" fillId="2" borderId="24" xfId="0" applyFill="1" applyBorder="1" applyAlignment="1">
      <alignment horizontal="left" indent="2"/>
    </xf>
    <xf numFmtId="1" fontId="0" fillId="0" borderId="10" xfId="1" applyNumberFormat="1" applyFont="1" applyBorder="1"/>
    <xf numFmtId="1" fontId="0" fillId="0" borderId="11" xfId="1" applyNumberFormat="1" applyFont="1" applyBorder="1"/>
    <xf numFmtId="0" fontId="0" fillId="2" borderId="2" xfId="0" applyFill="1" applyBorder="1" applyAlignment="1">
      <alignment vertical="top"/>
    </xf>
    <xf numFmtId="169" fontId="0" fillId="0" borderId="12" xfId="1" applyNumberFormat="1" applyFont="1" applyBorder="1"/>
    <xf numFmtId="169" fontId="0" fillId="0" borderId="14" xfId="1" applyNumberFormat="1" applyFont="1" applyBorder="1"/>
    <xf numFmtId="169" fontId="0" fillId="0" borderId="0" xfId="0" applyNumberFormat="1"/>
    <xf numFmtId="169" fontId="0" fillId="0" borderId="0" xfId="1" applyNumberFormat="1" applyFont="1" applyBorder="1"/>
    <xf numFmtId="169" fontId="0" fillId="0" borderId="9" xfId="1" applyNumberFormat="1" applyFont="1" applyBorder="1"/>
    <xf numFmtId="169" fontId="3" fillId="0" borderId="0" xfId="0" applyNumberFormat="1" applyFont="1"/>
    <xf numFmtId="169" fontId="3" fillId="0" borderId="0" xfId="1" applyNumberFormat="1" applyFont="1" applyBorder="1"/>
    <xf numFmtId="169" fontId="3" fillId="0" borderId="9" xfId="1" applyNumberFormat="1" applyFont="1" applyBorder="1"/>
    <xf numFmtId="169" fontId="3" fillId="0" borderId="9" xfId="0" applyNumberFormat="1" applyFont="1" applyBorder="1"/>
    <xf numFmtId="0" fontId="0" fillId="2" borderId="3" xfId="0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1" fontId="0" fillId="7" borderId="0" xfId="1" applyNumberFormat="1" applyFont="1" applyFill="1" applyBorder="1"/>
    <xf numFmtId="0" fontId="0" fillId="2" borderId="24" xfId="0" applyFill="1" applyBorder="1" applyAlignment="1">
      <alignment horizontal="left"/>
    </xf>
    <xf numFmtId="1" fontId="0" fillId="7" borderId="10" xfId="1" applyNumberFormat="1" applyFont="1" applyFill="1" applyBorder="1"/>
    <xf numFmtId="169" fontId="0" fillId="0" borderId="10" xfId="1" applyNumberFormat="1" applyFont="1" applyBorder="1"/>
    <xf numFmtId="169" fontId="0" fillId="0" borderId="11" xfId="1" applyNumberFormat="1" applyFont="1" applyBorder="1"/>
    <xf numFmtId="0" fontId="0" fillId="2" borderId="0" xfId="0" applyFill="1" applyAlignment="1">
      <alignment horizontal="left"/>
    </xf>
    <xf numFmtId="166" fontId="5" fillId="4" borderId="3" xfId="0" applyNumberFormat="1" applyFont="1" applyFill="1" applyBorder="1" applyAlignment="1">
      <alignment horizontal="left" vertical="center"/>
    </xf>
    <xf numFmtId="166" fontId="0" fillId="4" borderId="0" xfId="1" applyNumberFormat="1" applyFont="1" applyFill="1" applyBorder="1"/>
    <xf numFmtId="166" fontId="0" fillId="4" borderId="20" xfId="1" applyNumberFormat="1" applyFont="1" applyFill="1" applyBorder="1"/>
    <xf numFmtId="166" fontId="0" fillId="4" borderId="9" xfId="1" applyNumberFormat="1" applyFont="1" applyFill="1" applyBorder="1"/>
    <xf numFmtId="170" fontId="0" fillId="0" borderId="3" xfId="0" applyNumberFormat="1" applyBorder="1" applyAlignment="1">
      <alignment horizontal="left" vertical="center"/>
    </xf>
    <xf numFmtId="166" fontId="0" fillId="0" borderId="20" xfId="1" applyNumberFormat="1" applyFont="1" applyBorder="1"/>
    <xf numFmtId="166" fontId="3" fillId="8" borderId="3" xfId="0" applyNumberFormat="1" applyFont="1" applyFill="1" applyBorder="1" applyAlignment="1">
      <alignment horizontal="left" vertical="center"/>
    </xf>
    <xf numFmtId="166" fontId="3" fillId="8" borderId="0" xfId="1" applyNumberFormat="1" applyFont="1" applyFill="1" applyBorder="1"/>
    <xf numFmtId="166" fontId="3" fillId="8" borderId="20" xfId="1" applyNumberFormat="1" applyFont="1" applyFill="1" applyBorder="1"/>
    <xf numFmtId="166" fontId="3" fillId="8" borderId="9" xfId="1" applyNumberFormat="1" applyFont="1" applyFill="1" applyBorder="1"/>
    <xf numFmtId="166" fontId="0" fillId="0" borderId="3" xfId="0" applyNumberFormat="1" applyBorder="1" applyAlignment="1">
      <alignment horizontal="left" vertical="center"/>
    </xf>
    <xf numFmtId="9" fontId="3" fillId="8" borderId="0" xfId="2" applyFont="1" applyFill="1" applyBorder="1"/>
    <xf numFmtId="9" fontId="3" fillId="8" borderId="20" xfId="2" applyFont="1" applyFill="1" applyBorder="1"/>
    <xf numFmtId="10" fontId="5" fillId="2" borderId="3" xfId="0" applyNumberFormat="1" applyFont="1" applyFill="1" applyBorder="1" applyAlignment="1">
      <alignment horizontal="left" vertical="center"/>
    </xf>
    <xf numFmtId="10" fontId="0" fillId="2" borderId="0" xfId="2" applyNumberFormat="1" applyFont="1" applyFill="1" applyBorder="1"/>
    <xf numFmtId="10" fontId="0" fillId="2" borderId="20" xfId="2" applyNumberFormat="1" applyFont="1" applyFill="1" applyBorder="1"/>
    <xf numFmtId="10" fontId="0" fillId="2" borderId="9" xfId="2" applyNumberFormat="1" applyFont="1" applyFill="1" applyBorder="1"/>
    <xf numFmtId="166" fontId="0" fillId="8" borderId="0" xfId="1" applyNumberFormat="1" applyFont="1" applyFill="1" applyBorder="1"/>
    <xf numFmtId="166" fontId="0" fillId="8" borderId="20" xfId="1" applyNumberFormat="1" applyFont="1" applyFill="1" applyBorder="1"/>
    <xf numFmtId="166" fontId="0" fillId="8" borderId="9" xfId="1" applyNumberFormat="1" applyFont="1" applyFill="1" applyBorder="1"/>
    <xf numFmtId="0" fontId="0" fillId="0" borderId="12" xfId="0" applyBorder="1"/>
    <xf numFmtId="166" fontId="2" fillId="9" borderId="24" xfId="0" applyNumberFormat="1" applyFont="1" applyFill="1" applyBorder="1" applyAlignment="1">
      <alignment horizontal="left" vertical="center"/>
    </xf>
    <xf numFmtId="166" fontId="7" fillId="9" borderId="10" xfId="1" applyNumberFormat="1" applyFont="1" applyFill="1" applyBorder="1"/>
    <xf numFmtId="166" fontId="7" fillId="9" borderId="21" xfId="1" applyNumberFormat="1" applyFont="1" applyFill="1" applyBorder="1"/>
    <xf numFmtId="166" fontId="2" fillId="9" borderId="10" xfId="1" applyNumberFormat="1" applyFont="1" applyFill="1" applyBorder="1"/>
    <xf numFmtId="166" fontId="2" fillId="9" borderId="11" xfId="1" applyNumberFormat="1" applyFont="1" applyFill="1" applyBorder="1"/>
    <xf numFmtId="166" fontId="3" fillId="10" borderId="3" xfId="0" applyNumberFormat="1" applyFont="1" applyFill="1" applyBorder="1" applyAlignment="1">
      <alignment horizontal="left" vertical="center"/>
    </xf>
    <xf numFmtId="166" fontId="0" fillId="10" borderId="0" xfId="1" applyNumberFormat="1" applyFont="1" applyFill="1" applyBorder="1"/>
    <xf numFmtId="166" fontId="0" fillId="10" borderId="20" xfId="1" applyNumberFormat="1" applyFont="1" applyFill="1" applyBorder="1"/>
    <xf numFmtId="166" fontId="0" fillId="10" borderId="9" xfId="1" applyNumberFormat="1" applyFont="1" applyFill="1" applyBorder="1"/>
    <xf numFmtId="164" fontId="0" fillId="10" borderId="0" xfId="0" applyNumberFormat="1" applyFill="1"/>
    <xf numFmtId="166" fontId="0" fillId="10" borderId="0" xfId="0" applyNumberFormat="1" applyFill="1"/>
    <xf numFmtId="166" fontId="0" fillId="10" borderId="20" xfId="0" applyNumberFormat="1" applyFill="1" applyBorder="1"/>
    <xf numFmtId="9" fontId="0" fillId="0" borderId="0" xfId="2" applyFont="1"/>
    <xf numFmtId="0" fontId="0" fillId="0" borderId="7" xfId="0" applyBorder="1"/>
    <xf numFmtId="9" fontId="0" fillId="0" borderId="0" xfId="0" applyNumberFormat="1"/>
    <xf numFmtId="10" fontId="4" fillId="2" borderId="9" xfId="2" applyNumberFormat="1" applyFont="1" applyFill="1" applyBorder="1"/>
    <xf numFmtId="10" fontId="4" fillId="2" borderId="11" xfId="2" applyNumberFormat="1" applyFont="1" applyFill="1" applyBorder="1"/>
    <xf numFmtId="10" fontId="0" fillId="0" borderId="0" xfId="0" applyNumberFormat="1"/>
    <xf numFmtId="168" fontId="0" fillId="0" borderId="0" xfId="2" applyNumberFormat="1" applyFont="1"/>
    <xf numFmtId="168" fontId="0" fillId="0" borderId="0" xfId="2" applyNumberFormat="1" applyFont="1" applyBorder="1"/>
    <xf numFmtId="168" fontId="0" fillId="0" borderId="9" xfId="2" applyNumberFormat="1" applyFont="1" applyBorder="1"/>
    <xf numFmtId="168" fontId="0" fillId="0" borderId="0" xfId="0" applyNumberFormat="1"/>
    <xf numFmtId="0" fontId="0" fillId="2" borderId="4" xfId="0" applyFill="1" applyBorder="1"/>
    <xf numFmtId="0" fontId="0" fillId="2" borderId="13" xfId="0" applyFill="1" applyBorder="1"/>
    <xf numFmtId="10" fontId="4" fillId="2" borderId="13" xfId="2" applyNumberFormat="1" applyFont="1" applyFill="1" applyBorder="1"/>
    <xf numFmtId="168" fontId="0" fillId="0" borderId="9" xfId="0" applyNumberFormat="1" applyBorder="1"/>
    <xf numFmtId="168" fontId="0" fillId="0" borderId="11" xfId="0" applyNumberFormat="1" applyBorder="1"/>
    <xf numFmtId="10" fontId="4" fillId="2" borderId="15" xfId="2" applyNumberFormat="1" applyFont="1" applyFill="1" applyBorder="1"/>
    <xf numFmtId="0" fontId="0" fillId="0" borderId="11" xfId="0" applyBorder="1"/>
    <xf numFmtId="9" fontId="0" fillId="0" borderId="13" xfId="2" applyFont="1" applyBorder="1"/>
    <xf numFmtId="9" fontId="0" fillId="0" borderId="15" xfId="2" applyFont="1" applyBorder="1"/>
    <xf numFmtId="164" fontId="0" fillId="0" borderId="0" xfId="1" applyFont="1" applyBorder="1"/>
    <xf numFmtId="164" fontId="0" fillId="0" borderId="9" xfId="1" applyFont="1" applyBorder="1"/>
    <xf numFmtId="166" fontId="6" fillId="0" borderId="16" xfId="0" applyNumberFormat="1" applyFont="1" applyBorder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6" fontId="6" fillId="0" borderId="9" xfId="0" applyNumberFormat="1" applyFont="1" applyBorder="1" applyAlignment="1">
      <alignment horizontal="left" vertical="center"/>
    </xf>
    <xf numFmtId="166" fontId="5" fillId="0" borderId="16" xfId="0" applyNumberFormat="1" applyFont="1" applyBorder="1" applyAlignment="1">
      <alignment horizontal="left" vertical="center"/>
    </xf>
    <xf numFmtId="166" fontId="5" fillId="0" borderId="0" xfId="0" applyNumberFormat="1" applyFont="1" applyAlignment="1">
      <alignment horizontal="left" vertical="center"/>
    </xf>
    <xf numFmtId="166" fontId="5" fillId="0" borderId="9" xfId="0" applyNumberFormat="1" applyFont="1" applyBorder="1" applyAlignment="1">
      <alignment horizontal="left" vertical="center"/>
    </xf>
    <xf numFmtId="10" fontId="0" fillId="0" borderId="0" xfId="2" applyNumberFormat="1" applyFont="1" applyBorder="1"/>
    <xf numFmtId="10" fontId="0" fillId="0" borderId="9" xfId="2" applyNumberFormat="1" applyFont="1" applyBorder="1"/>
    <xf numFmtId="166" fontId="0" fillId="0" borderId="9" xfId="1" applyNumberFormat="1" applyFont="1" applyFill="1" applyBorder="1"/>
    <xf numFmtId="14" fontId="0" fillId="0" borderId="0" xfId="0" applyNumberFormat="1"/>
    <xf numFmtId="166" fontId="0" fillId="0" borderId="0" xfId="1" applyNumberFormat="1" applyFont="1"/>
    <xf numFmtId="172" fontId="0" fillId="0" borderId="0" xfId="0" applyNumberFormat="1"/>
    <xf numFmtId="2" fontId="0" fillId="0" borderId="0" xfId="0" applyNumberFormat="1"/>
    <xf numFmtId="10" fontId="0" fillId="0" borderId="9" xfId="0" applyNumberFormat="1" applyBorder="1"/>
    <xf numFmtId="9" fontId="0" fillId="0" borderId="9" xfId="0" applyNumberFormat="1" applyBorder="1"/>
    <xf numFmtId="168" fontId="0" fillId="0" borderId="25" xfId="0" applyNumberFormat="1" applyBorder="1"/>
    <xf numFmtId="10" fontId="3" fillId="4" borderId="9" xfId="0" applyNumberFormat="1" applyFont="1" applyFill="1" applyBorder="1"/>
    <xf numFmtId="168" fontId="0" fillId="0" borderId="26" xfId="0" applyNumberFormat="1" applyBorder="1"/>
    <xf numFmtId="0" fontId="0" fillId="2" borderId="3" xfId="0" applyFill="1" applyBorder="1" applyAlignment="1">
      <alignment vertical="center"/>
    </xf>
    <xf numFmtId="168" fontId="0" fillId="0" borderId="27" xfId="0" applyNumberFormat="1" applyBorder="1"/>
    <xf numFmtId="9" fontId="0" fillId="0" borderId="11" xfId="0" applyNumberFormat="1" applyBorder="1"/>
    <xf numFmtId="168" fontId="3" fillId="4" borderId="7" xfId="2" applyNumberFormat="1" applyFont="1" applyFill="1" applyBorder="1"/>
    <xf numFmtId="0" fontId="3" fillId="8" borderId="3" xfId="0" applyFont="1" applyFill="1" applyBorder="1" applyAlignment="1">
      <alignment vertical="center"/>
    </xf>
    <xf numFmtId="168" fontId="3" fillId="8" borderId="9" xfId="2" applyNumberFormat="1" applyFont="1" applyFill="1" applyBorder="1" applyAlignment="1">
      <alignment vertical="center"/>
    </xf>
    <xf numFmtId="10" fontId="3" fillId="8" borderId="9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0" fontId="0" fillId="0" borderId="15" xfId="0" applyNumberFormat="1" applyBorder="1"/>
    <xf numFmtId="0" fontId="3" fillId="8" borderId="24" xfId="0" applyFont="1" applyFill="1" applyBorder="1" applyAlignment="1">
      <alignment vertical="center"/>
    </xf>
    <xf numFmtId="10" fontId="3" fillId="8" borderId="11" xfId="2" applyNumberFormat="1" applyFont="1" applyFill="1" applyBorder="1" applyAlignment="1">
      <alignment vertical="center"/>
    </xf>
    <xf numFmtId="170" fontId="2" fillId="3" borderId="0" xfId="0" applyNumberFormat="1" applyFont="1" applyFill="1" applyAlignment="1">
      <alignment vertical="center"/>
    </xf>
    <xf numFmtId="173" fontId="2" fillId="3" borderId="0" xfId="0" applyNumberFormat="1" applyFont="1" applyFill="1" applyAlignment="1">
      <alignment horizontal="center" vertical="center"/>
    </xf>
    <xf numFmtId="170" fontId="5" fillId="0" borderId="0" xfId="0" applyNumberFormat="1" applyFont="1" applyAlignment="1">
      <alignment vertical="center"/>
    </xf>
    <xf numFmtId="166" fontId="5" fillId="0" borderId="0" xfId="0" applyNumberFormat="1" applyFont="1" applyAlignment="1">
      <alignment vertical="center"/>
    </xf>
    <xf numFmtId="170" fontId="0" fillId="4" borderId="0" xfId="0" applyNumberFormat="1" applyFill="1" applyAlignment="1">
      <alignment vertical="center"/>
    </xf>
    <xf numFmtId="166" fontId="0" fillId="4" borderId="0" xfId="0" applyNumberFormat="1" applyFill="1" applyAlignment="1">
      <alignment vertical="center"/>
    </xf>
    <xf numFmtId="0" fontId="0" fillId="4" borderId="0" xfId="0" applyFill="1"/>
    <xf numFmtId="170" fontId="5" fillId="4" borderId="0" xfId="0" applyNumberFormat="1" applyFont="1" applyFill="1" applyAlignment="1">
      <alignment vertical="center"/>
    </xf>
    <xf numFmtId="166" fontId="5" fillId="4" borderId="0" xfId="0" applyNumberFormat="1" applyFont="1" applyFill="1" applyAlignment="1">
      <alignment vertical="center"/>
    </xf>
    <xf numFmtId="166" fontId="0" fillId="4" borderId="0" xfId="0" applyNumberFormat="1" applyFill="1"/>
    <xf numFmtId="168" fontId="5" fillId="4" borderId="0" xfId="0" applyNumberFormat="1" applyFont="1" applyFill="1" applyAlignment="1">
      <alignment vertical="center"/>
    </xf>
    <xf numFmtId="168" fontId="5" fillId="4" borderId="0" xfId="0" quotePrefix="1" applyNumberFormat="1" applyFont="1" applyFill="1" applyAlignment="1">
      <alignment vertical="center"/>
    </xf>
    <xf numFmtId="168" fontId="0" fillId="4" borderId="0" xfId="0" applyNumberFormat="1" applyFill="1"/>
    <xf numFmtId="168" fontId="0" fillId="11" borderId="0" xfId="0" applyNumberFormat="1" applyFill="1"/>
    <xf numFmtId="0" fontId="0" fillId="0" borderId="0" xfId="0" applyAlignment="1">
      <alignment vertical="center"/>
    </xf>
    <xf numFmtId="171" fontId="5" fillId="0" borderId="0" xfId="3" applyNumberFormat="1" applyFont="1" applyAlignment="1">
      <alignment vertical="center"/>
    </xf>
    <xf numFmtId="14" fontId="5" fillId="4" borderId="0" xfId="0" applyNumberFormat="1" applyFont="1" applyFill="1" applyAlignment="1">
      <alignment vertical="center"/>
    </xf>
    <xf numFmtId="14" fontId="5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10" fontId="5" fillId="12" borderId="0" xfId="0" applyNumberFormat="1" applyFont="1" applyFill="1" applyAlignment="1">
      <alignment vertical="center"/>
    </xf>
    <xf numFmtId="10" fontId="5" fillId="0" borderId="0" xfId="0" applyNumberFormat="1" applyFont="1" applyAlignment="1">
      <alignment vertical="center"/>
    </xf>
    <xf numFmtId="3" fontId="0" fillId="0" borderId="0" xfId="0" applyNumberFormat="1"/>
    <xf numFmtId="170" fontId="5" fillId="0" borderId="0" xfId="0" applyNumberFormat="1" applyFont="1" applyAlignment="1">
      <alignment horizontal="left" vertical="center"/>
    </xf>
    <xf numFmtId="170" fontId="5" fillId="8" borderId="0" xfId="0" applyNumberFormat="1" applyFont="1" applyFill="1" applyAlignment="1">
      <alignment vertical="center"/>
    </xf>
    <xf numFmtId="166" fontId="5" fillId="8" borderId="0" xfId="0" applyNumberFormat="1" applyFont="1" applyFill="1" applyAlignment="1">
      <alignment vertical="center"/>
    </xf>
    <xf numFmtId="175" fontId="5" fillId="0" borderId="0" xfId="0" applyNumberFormat="1" applyFont="1" applyAlignment="1">
      <alignment horizontal="left" vertical="center"/>
    </xf>
    <xf numFmtId="170" fontId="5" fillId="8" borderId="0" xfId="0" applyNumberFormat="1" applyFont="1" applyFill="1" applyAlignment="1">
      <alignment horizontal="left" vertical="center"/>
    </xf>
    <xf numFmtId="166" fontId="5" fillId="0" borderId="0" xfId="2" applyNumberFormat="1" applyFont="1" applyAlignment="1">
      <alignment horizontal="left" vertical="center"/>
    </xf>
    <xf numFmtId="164" fontId="0" fillId="0" borderId="0" xfId="0" applyNumberFormat="1"/>
    <xf numFmtId="166" fontId="5" fillId="3" borderId="0" xfId="0" applyNumberFormat="1" applyFont="1" applyFill="1" applyAlignment="1">
      <alignment vertical="center"/>
    </xf>
    <xf numFmtId="0" fontId="0" fillId="3" borderId="0" xfId="0" applyFill="1"/>
    <xf numFmtId="166" fontId="5" fillId="4" borderId="2" xfId="0" applyNumberFormat="1" applyFont="1" applyFill="1" applyBorder="1" applyAlignment="1">
      <alignment horizontal="left" vertical="center"/>
    </xf>
    <xf numFmtId="168" fontId="0" fillId="0" borderId="12" xfId="2" applyNumberFormat="1" applyFont="1" applyBorder="1" applyAlignment="1">
      <alignment vertical="center"/>
    </xf>
    <xf numFmtId="10" fontId="5" fillId="2" borderId="12" xfId="0" applyNumberFormat="1" applyFont="1" applyFill="1" applyBorder="1" applyAlignment="1">
      <alignment vertical="center"/>
    </xf>
    <xf numFmtId="168" fontId="0" fillId="0" borderId="14" xfId="2" applyNumberFormat="1" applyFont="1" applyBorder="1" applyAlignment="1">
      <alignment vertical="center"/>
    </xf>
    <xf numFmtId="168" fontId="5" fillId="0" borderId="3" xfId="2" applyNumberFormat="1" applyFont="1" applyBorder="1" applyAlignment="1">
      <alignment horizontal="center" vertical="center"/>
    </xf>
    <xf numFmtId="166" fontId="5" fillId="0" borderId="2" xfId="1" applyNumberFormat="1" applyFont="1" applyBorder="1" applyAlignment="1">
      <alignment vertical="center"/>
    </xf>
    <xf numFmtId="166" fontId="0" fillId="0" borderId="12" xfId="1" applyNumberFormat="1" applyFont="1" applyBorder="1" applyAlignment="1">
      <alignment vertical="center"/>
    </xf>
    <xf numFmtId="166" fontId="0" fillId="0" borderId="14" xfId="1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6" fontId="5" fillId="0" borderId="3" xfId="1" applyNumberFormat="1" applyFont="1" applyBorder="1" applyAlignment="1">
      <alignment vertical="center"/>
    </xf>
    <xf numFmtId="166" fontId="0" fillId="0" borderId="0" xfId="1" applyNumberFormat="1" applyFont="1" applyBorder="1" applyAlignment="1">
      <alignment vertical="center"/>
    </xf>
    <xf numFmtId="166" fontId="0" fillId="0" borderId="9" xfId="1" applyNumberFormat="1" applyFont="1" applyBorder="1" applyAlignment="1">
      <alignment vertical="center"/>
    </xf>
    <xf numFmtId="1" fontId="5" fillId="8" borderId="0" xfId="0" applyNumberFormat="1" applyFont="1" applyFill="1" applyAlignment="1">
      <alignment vertical="center"/>
    </xf>
    <xf numFmtId="1" fontId="5" fillId="0" borderId="0" xfId="0" applyNumberFormat="1" applyFont="1" applyAlignment="1">
      <alignment vertical="center"/>
    </xf>
    <xf numFmtId="166" fontId="3" fillId="4" borderId="0" xfId="1" applyNumberFormat="1" applyFont="1" applyFill="1" applyBorder="1" applyAlignment="1">
      <alignment vertical="center"/>
    </xf>
    <xf numFmtId="166" fontId="0" fillId="0" borderId="0" xfId="1" applyNumberFormat="1" applyFont="1" applyAlignment="1"/>
    <xf numFmtId="168" fontId="5" fillId="0" borderId="24" xfId="2" applyNumberFormat="1" applyFont="1" applyBorder="1" applyAlignment="1">
      <alignment horizontal="center" vertical="center"/>
    </xf>
    <xf numFmtId="166" fontId="5" fillId="0" borderId="24" xfId="1" applyNumberFormat="1" applyFont="1" applyBorder="1" applyAlignment="1">
      <alignment vertical="center"/>
    </xf>
    <xf numFmtId="166" fontId="0" fillId="0" borderId="10" xfId="1" applyNumberFormat="1" applyFont="1" applyBorder="1" applyAlignment="1">
      <alignment vertical="center"/>
    </xf>
    <xf numFmtId="166" fontId="0" fillId="0" borderId="11" xfId="1" applyNumberFormat="1" applyFont="1" applyBorder="1" applyAlignment="1">
      <alignment vertical="center"/>
    </xf>
    <xf numFmtId="170" fontId="6" fillId="8" borderId="0" xfId="0" applyNumberFormat="1" applyFont="1" applyFill="1" applyAlignment="1">
      <alignment horizontal="left" vertical="center"/>
    </xf>
    <xf numFmtId="166" fontId="6" fillId="8" borderId="0" xfId="0" applyNumberFormat="1" applyFont="1" applyFill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8" borderId="0" xfId="0" applyFont="1" applyFill="1" applyAlignment="1">
      <alignment horizontal="left" vertical="center"/>
    </xf>
    <xf numFmtId="168" fontId="6" fillId="8" borderId="0" xfId="0" applyNumberFormat="1" applyFont="1" applyFill="1" applyAlignment="1">
      <alignment vertical="center"/>
    </xf>
    <xf numFmtId="9" fontId="5" fillId="0" borderId="0" xfId="2" applyFont="1" applyAlignment="1">
      <alignment vertical="center"/>
    </xf>
    <xf numFmtId="10" fontId="5" fillId="0" borderId="0" xfId="2" applyNumberFormat="1" applyFont="1" applyAlignment="1">
      <alignment vertical="center"/>
    </xf>
    <xf numFmtId="168" fontId="5" fillId="0" borderId="0" xfId="2" applyNumberFormat="1" applyFont="1" applyAlignment="1">
      <alignment vertical="center"/>
    </xf>
    <xf numFmtId="174" fontId="5" fillId="0" borderId="0" xfId="0" applyNumberFormat="1" applyFont="1" applyAlignment="1">
      <alignment vertical="center"/>
    </xf>
    <xf numFmtId="0" fontId="3" fillId="6" borderId="17" xfId="0" applyFont="1" applyFill="1" applyBorder="1"/>
    <xf numFmtId="166" fontId="5" fillId="0" borderId="0" xfId="1" applyNumberFormat="1" applyFont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3" xfId="4" applyFont="1" applyBorder="1" applyAlignment="1">
      <alignment horizontal="left"/>
    </xf>
    <xf numFmtId="2" fontId="9" fillId="0" borderId="9" xfId="4" applyNumberFormat="1" applyFont="1" applyBorder="1" applyAlignment="1">
      <alignment horizontal="right"/>
    </xf>
    <xf numFmtId="0" fontId="3" fillId="6" borderId="3" xfId="0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2" fillId="3" borderId="18" xfId="0" applyFont="1" applyFill="1" applyBorder="1"/>
    <xf numFmtId="0" fontId="2" fillId="3" borderId="1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66" fontId="0" fillId="0" borderId="16" xfId="1" applyNumberFormat="1" applyFon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16" fontId="0" fillId="0" borderId="0" xfId="0" applyNumberFormat="1"/>
    <xf numFmtId="0" fontId="3" fillId="0" borderId="17" xfId="0" applyFont="1" applyBorder="1"/>
    <xf numFmtId="166" fontId="0" fillId="0" borderId="17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3" fillId="11" borderId="8" xfId="0" applyFont="1" applyFill="1" applyBorder="1"/>
    <xf numFmtId="168" fontId="3" fillId="0" borderId="0" xfId="2" applyNumberFormat="1" applyFont="1" applyFill="1" applyBorder="1"/>
    <xf numFmtId="166" fontId="0" fillId="2" borderId="14" xfId="1" applyNumberFormat="1" applyFont="1" applyFill="1" applyBorder="1"/>
    <xf numFmtId="0" fontId="0" fillId="0" borderId="3" xfId="0" applyBorder="1" applyAlignment="1">
      <alignment horizontal="left"/>
    </xf>
    <xf numFmtId="1" fontId="0" fillId="0" borderId="0" xfId="1" applyNumberFormat="1" applyFont="1" applyFill="1" applyBorder="1"/>
    <xf numFmtId="1" fontId="0" fillId="0" borderId="9" xfId="1" applyNumberFormat="1" applyFont="1" applyFill="1" applyBorder="1"/>
    <xf numFmtId="0" fontId="3" fillId="8" borderId="0" xfId="0" applyFont="1" applyFill="1"/>
    <xf numFmtId="168" fontId="0" fillId="2" borderId="12" xfId="0" applyNumberFormat="1" applyFill="1" applyBorder="1"/>
    <xf numFmtId="168" fontId="0" fillId="0" borderId="12" xfId="0" applyNumberFormat="1" applyBorder="1"/>
    <xf numFmtId="168" fontId="0" fillId="0" borderId="14" xfId="0" applyNumberFormat="1" applyBorder="1"/>
    <xf numFmtId="1" fontId="0" fillId="0" borderId="0" xfId="2" applyNumberFormat="1" applyFont="1"/>
    <xf numFmtId="177" fontId="0" fillId="0" borderId="0" xfId="0" applyNumberFormat="1"/>
    <xf numFmtId="10" fontId="2" fillId="9" borderId="24" xfId="0" applyNumberFormat="1" applyFont="1" applyFill="1" applyBorder="1" applyAlignment="1">
      <alignment horizontal="left" vertical="center"/>
    </xf>
    <xf numFmtId="166" fontId="2" fillId="9" borderId="10" xfId="2" applyNumberFormat="1" applyFont="1" applyFill="1" applyBorder="1"/>
    <xf numFmtId="166" fontId="2" fillId="9" borderId="21" xfId="2" applyNumberFormat="1" applyFont="1" applyFill="1" applyBorder="1"/>
    <xf numFmtId="166" fontId="7" fillId="9" borderId="10" xfId="2" applyNumberFormat="1" applyFont="1" applyFill="1" applyBorder="1"/>
    <xf numFmtId="166" fontId="7" fillId="9" borderId="11" xfId="2" applyNumberFormat="1" applyFont="1" applyFill="1" applyBorder="1"/>
    <xf numFmtId="0" fontId="2" fillId="3" borderId="22" xfId="0" applyFont="1" applyFill="1" applyBorder="1" applyAlignment="1">
      <alignment horizontal="right"/>
    </xf>
    <xf numFmtId="166" fontId="0" fillId="0" borderId="22" xfId="1" applyNumberFormat="1" applyFont="1" applyBorder="1"/>
    <xf numFmtId="166" fontId="3" fillId="0" borderId="20" xfId="1" applyNumberFormat="1" applyFont="1" applyBorder="1"/>
    <xf numFmtId="166" fontId="0" fillId="0" borderId="23" xfId="1" applyNumberFormat="1" applyFont="1" applyBorder="1"/>
    <xf numFmtId="166" fontId="3" fillId="2" borderId="20" xfId="1" applyNumberFormat="1" applyFont="1" applyFill="1" applyBorder="1"/>
    <xf numFmtId="166" fontId="3" fillId="4" borderId="20" xfId="1" applyNumberFormat="1" applyFont="1" applyFill="1" applyBorder="1"/>
    <xf numFmtId="166" fontId="3" fillId="4" borderId="21" xfId="1" applyNumberFormat="1" applyFont="1" applyFill="1" applyBorder="1"/>
    <xf numFmtId="1" fontId="0" fillId="0" borderId="22" xfId="1" applyNumberFormat="1" applyFont="1" applyBorder="1"/>
    <xf numFmtId="1" fontId="0" fillId="0" borderId="20" xfId="1" applyNumberFormat="1" applyFont="1" applyFill="1" applyBorder="1"/>
    <xf numFmtId="1" fontId="0" fillId="0" borderId="20" xfId="1" applyNumberFormat="1" applyFont="1" applyBorder="1"/>
    <xf numFmtId="1" fontId="0" fillId="0" borderId="21" xfId="1" applyNumberFormat="1" applyFont="1" applyBorder="1"/>
    <xf numFmtId="169" fontId="0" fillId="0" borderId="22" xfId="1" applyNumberFormat="1" applyFont="1" applyBorder="1"/>
    <xf numFmtId="169" fontId="0" fillId="0" borderId="20" xfId="0" applyNumberFormat="1" applyBorder="1"/>
    <xf numFmtId="169" fontId="3" fillId="0" borderId="20" xfId="0" applyNumberFormat="1" applyFont="1" applyBorder="1"/>
    <xf numFmtId="169" fontId="0" fillId="0" borderId="20" xfId="1" applyNumberFormat="1" applyFont="1" applyBorder="1"/>
    <xf numFmtId="0" fontId="0" fillId="0" borderId="20" xfId="0" applyBorder="1"/>
    <xf numFmtId="169" fontId="3" fillId="0" borderId="20" xfId="1" applyNumberFormat="1" applyFont="1" applyBorder="1"/>
    <xf numFmtId="9" fontId="0" fillId="0" borderId="20" xfId="2" applyFont="1" applyBorder="1"/>
    <xf numFmtId="1" fontId="0" fillId="7" borderId="20" xfId="1" applyNumberFormat="1" applyFont="1" applyFill="1" applyBorder="1"/>
    <xf numFmtId="1" fontId="0" fillId="7" borderId="21" xfId="1" applyNumberFormat="1" applyFont="1" applyFill="1" applyBorder="1"/>
    <xf numFmtId="168" fontId="3" fillId="8" borderId="0" xfId="2" applyNumberFormat="1" applyFont="1" applyFill="1" applyBorder="1"/>
    <xf numFmtId="168" fontId="3" fillId="8" borderId="20" xfId="2" applyNumberFormat="1" applyFont="1" applyFill="1" applyBorder="1"/>
    <xf numFmtId="10" fontId="3" fillId="0" borderId="0" xfId="0" applyNumberFormat="1" applyFont="1"/>
    <xf numFmtId="0" fontId="0" fillId="0" borderId="16" xfId="0" applyBorder="1" applyAlignment="1">
      <alignment horizontal="left" indent="2"/>
    </xf>
    <xf numFmtId="166" fontId="0" fillId="0" borderId="4" xfId="1" applyNumberFormat="1" applyFont="1" applyFill="1" applyBorder="1"/>
    <xf numFmtId="166" fontId="0" fillId="0" borderId="13" xfId="1" applyNumberFormat="1" applyFont="1" applyFill="1" applyBorder="1"/>
    <xf numFmtId="166" fontId="0" fillId="0" borderId="15" xfId="1" applyNumberFormat="1" applyFont="1" applyFill="1" applyBorder="1"/>
    <xf numFmtId="0" fontId="0" fillId="0" borderId="28" xfId="0" applyBorder="1" applyAlignment="1">
      <alignment horizontal="left" indent="1"/>
    </xf>
    <xf numFmtId="178" fontId="0" fillId="0" borderId="0" xfId="3" applyNumberFormat="1" applyFont="1"/>
    <xf numFmtId="0" fontId="3" fillId="2" borderId="0" xfId="0" applyFont="1" applyFill="1" applyAlignment="1">
      <alignment vertical="center"/>
    </xf>
    <xf numFmtId="0" fontId="0" fillId="0" borderId="14" xfId="0" applyBorder="1"/>
    <xf numFmtId="1" fontId="0" fillId="0" borderId="11" xfId="0" applyNumberFormat="1" applyBorder="1"/>
    <xf numFmtId="0" fontId="0" fillId="0" borderId="3" xfId="0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166" fontId="3" fillId="0" borderId="0" xfId="1" applyNumberFormat="1" applyFont="1" applyFill="1" applyBorder="1"/>
    <xf numFmtId="166" fontId="3" fillId="0" borderId="9" xfId="1" applyNumberFormat="1" applyFont="1" applyFill="1" applyBorder="1"/>
    <xf numFmtId="166" fontId="0" fillId="0" borderId="20" xfId="1" applyNumberFormat="1" applyFont="1" applyFill="1" applyBorder="1"/>
    <xf numFmtId="166" fontId="6" fillId="13" borderId="16" xfId="0" applyNumberFormat="1" applyFont="1" applyFill="1" applyBorder="1" applyAlignment="1">
      <alignment horizontal="left" vertical="center"/>
    </xf>
    <xf numFmtId="166" fontId="6" fillId="13" borderId="0" xfId="0" applyNumberFormat="1" applyFont="1" applyFill="1" applyAlignment="1">
      <alignment horizontal="left" vertical="center"/>
    </xf>
    <xf numFmtId="166" fontId="6" fillId="13" borderId="9" xfId="0" applyNumberFormat="1" applyFont="1" applyFill="1" applyBorder="1" applyAlignment="1">
      <alignment horizontal="left" vertical="center"/>
    </xf>
    <xf numFmtId="0" fontId="3" fillId="13" borderId="17" xfId="0" applyFont="1" applyFill="1" applyBorder="1" applyAlignment="1">
      <alignment vertical="center"/>
    </xf>
    <xf numFmtId="166" fontId="3" fillId="13" borderId="10" xfId="0" applyNumberFormat="1" applyFont="1" applyFill="1" applyBorder="1" applyAlignment="1">
      <alignment vertical="center"/>
    </xf>
    <xf numFmtId="166" fontId="3" fillId="13" borderId="11" xfId="0" applyNumberFormat="1" applyFont="1" applyFill="1" applyBorder="1" applyAlignment="1">
      <alignment vertical="center"/>
    </xf>
    <xf numFmtId="166" fontId="0" fillId="6" borderId="1" xfId="1" applyNumberFormat="1" applyFont="1" applyFill="1" applyBorder="1"/>
    <xf numFmtId="166" fontId="0" fillId="6" borderId="5" xfId="1" applyNumberFormat="1" applyFont="1" applyFill="1" applyBorder="1"/>
    <xf numFmtId="166" fontId="0" fillId="6" borderId="7" xfId="1" applyNumberFormat="1" applyFont="1" applyFill="1" applyBorder="1"/>
    <xf numFmtId="0" fontId="0" fillId="14" borderId="3" xfId="0" applyFill="1" applyBorder="1"/>
    <xf numFmtId="166" fontId="1" fillId="14" borderId="12" xfId="1" applyNumberFormat="1" applyFont="1" applyFill="1" applyBorder="1"/>
    <xf numFmtId="166" fontId="1" fillId="14" borderId="14" xfId="1" applyNumberFormat="1" applyFont="1" applyFill="1" applyBorder="1"/>
    <xf numFmtId="0" fontId="0" fillId="14" borderId="0" xfId="0" applyFill="1"/>
    <xf numFmtId="0" fontId="0" fillId="15" borderId="3" xfId="0" applyFill="1" applyBorder="1"/>
    <xf numFmtId="166" fontId="1" fillId="15" borderId="0" xfId="1" applyNumberFormat="1" applyFont="1" applyFill="1" applyBorder="1"/>
    <xf numFmtId="166" fontId="1" fillId="15" borderId="9" xfId="1" applyNumberFormat="1" applyFont="1" applyFill="1" applyBorder="1"/>
    <xf numFmtId="0" fontId="0" fillId="15" borderId="0" xfId="0" applyFill="1"/>
    <xf numFmtId="166" fontId="0" fillId="15" borderId="0" xfId="1" applyNumberFormat="1" applyFont="1" applyFill="1" applyBorder="1"/>
    <xf numFmtId="166" fontId="0" fillId="15" borderId="9" xfId="1" applyNumberFormat="1" applyFont="1" applyFill="1" applyBorder="1"/>
    <xf numFmtId="0" fontId="3" fillId="15" borderId="1" xfId="0" applyFont="1" applyFill="1" applyBorder="1"/>
    <xf numFmtId="0" fontId="0" fillId="15" borderId="5" xfId="0" applyFill="1" applyBorder="1"/>
    <xf numFmtId="0" fontId="0" fillId="15" borderId="7" xfId="0" applyFill="1" applyBorder="1"/>
    <xf numFmtId="1" fontId="0" fillId="15" borderId="5" xfId="0" applyNumberFormat="1" applyFill="1" applyBorder="1"/>
    <xf numFmtId="1" fontId="0" fillId="15" borderId="7" xfId="0" applyNumberFormat="1" applyFill="1" applyBorder="1"/>
    <xf numFmtId="1" fontId="0" fillId="15" borderId="0" xfId="0" applyNumberFormat="1" applyFill="1"/>
    <xf numFmtId="0" fontId="0" fillId="0" borderId="31" xfId="0" applyBorder="1"/>
    <xf numFmtId="171" fontId="0" fillId="0" borderId="9" xfId="3" applyNumberFormat="1" applyFont="1" applyBorder="1"/>
    <xf numFmtId="10" fontId="0" fillId="0" borderId="0" xfId="2" applyNumberFormat="1" applyFont="1"/>
    <xf numFmtId="179" fontId="0" fillId="0" borderId="10" xfId="2" applyNumberFormat="1" applyFont="1" applyBorder="1"/>
    <xf numFmtId="179" fontId="0" fillId="0" borderId="11" xfId="2" applyNumberFormat="1" applyFont="1" applyBorder="1"/>
    <xf numFmtId="164" fontId="0" fillId="0" borderId="0" xfId="1" applyFont="1" applyFill="1" applyBorder="1"/>
    <xf numFmtId="0" fontId="0" fillId="0" borderId="0" xfId="0" quotePrefix="1"/>
    <xf numFmtId="0" fontId="0" fillId="11" borderId="3" xfId="0" applyFill="1" applyBorder="1" applyAlignment="1">
      <alignment horizontal="left" indent="1"/>
    </xf>
    <xf numFmtId="166" fontId="0" fillId="11" borderId="0" xfId="1" applyNumberFormat="1" applyFont="1" applyFill="1" applyBorder="1"/>
    <xf numFmtId="166" fontId="0" fillId="11" borderId="9" xfId="1" applyNumberFormat="1" applyFont="1" applyFill="1" applyBorder="1"/>
    <xf numFmtId="0" fontId="0" fillId="11" borderId="0" xfId="0" applyFill="1"/>
    <xf numFmtId="0" fontId="3" fillId="2" borderId="0" xfId="0" applyFont="1" applyFill="1" applyAlignment="1">
      <alignment horizontal="left"/>
    </xf>
    <xf numFmtId="166" fontId="0" fillId="14" borderId="0" xfId="1" applyNumberFormat="1" applyFont="1" applyFill="1" applyBorder="1"/>
    <xf numFmtId="166" fontId="0" fillId="14" borderId="9" xfId="1" applyNumberFormat="1" applyFont="1" applyFill="1" applyBorder="1"/>
    <xf numFmtId="168" fontId="3" fillId="8" borderId="9" xfId="2" applyNumberFormat="1" applyFont="1" applyFill="1" applyBorder="1"/>
    <xf numFmtId="9" fontId="0" fillId="7" borderId="20" xfId="2" applyFont="1" applyFill="1" applyBorder="1"/>
    <xf numFmtId="0" fontId="0" fillId="0" borderId="29" xfId="0" applyBorder="1"/>
    <xf numFmtId="0" fontId="0" fillId="14" borderId="3" xfId="0" applyFill="1" applyBorder="1" applyAlignment="1">
      <alignment horizontal="left" indent="2"/>
    </xf>
    <xf numFmtId="166" fontId="0" fillId="14" borderId="20" xfId="1" applyNumberFormat="1" applyFont="1" applyFill="1" applyBorder="1"/>
    <xf numFmtId="0" fontId="3" fillId="11" borderId="3" xfId="0" applyFont="1" applyFill="1" applyBorder="1"/>
    <xf numFmtId="0" fontId="0" fillId="11" borderId="3" xfId="0" applyFill="1" applyBorder="1"/>
    <xf numFmtId="0" fontId="0" fillId="10" borderId="3" xfId="0" applyFill="1" applyBorder="1"/>
    <xf numFmtId="0" fontId="0" fillId="10" borderId="0" xfId="0" applyFill="1"/>
    <xf numFmtId="0" fontId="0" fillId="12" borderId="0" xfId="0" applyFill="1"/>
    <xf numFmtId="0" fontId="0" fillId="12" borderId="16" xfId="0" applyFill="1" applyBorder="1" applyAlignment="1">
      <alignment horizontal="left" indent="2"/>
    </xf>
    <xf numFmtId="166" fontId="0" fillId="12" borderId="3" xfId="1" applyNumberFormat="1" applyFont="1" applyFill="1" applyBorder="1"/>
    <xf numFmtId="166" fontId="0" fillId="12" borderId="0" xfId="1" applyNumberFormat="1" applyFont="1" applyFill="1" applyBorder="1"/>
    <xf numFmtId="166" fontId="0" fillId="12" borderId="20" xfId="0" applyNumberFormat="1" applyFill="1" applyBorder="1"/>
    <xf numFmtId="166" fontId="0" fillId="12" borderId="9" xfId="1" applyNumberFormat="1" applyFont="1" applyFill="1" applyBorder="1"/>
    <xf numFmtId="166" fontId="5" fillId="14" borderId="16" xfId="0" applyNumberFormat="1" applyFont="1" applyFill="1" applyBorder="1" applyAlignment="1">
      <alignment horizontal="left" vertical="center"/>
    </xf>
    <xf numFmtId="166" fontId="5" fillId="14" borderId="0" xfId="0" applyNumberFormat="1" applyFont="1" applyFill="1" applyAlignment="1">
      <alignment horizontal="left" vertical="center"/>
    </xf>
    <xf numFmtId="166" fontId="5" fillId="14" borderId="9" xfId="0" applyNumberFormat="1" applyFont="1" applyFill="1" applyBorder="1" applyAlignment="1">
      <alignment horizontal="left" vertical="center"/>
    </xf>
    <xf numFmtId="0" fontId="0" fillId="16" borderId="0" xfId="0" applyFill="1"/>
    <xf numFmtId="0" fontId="0" fillId="16" borderId="16" xfId="0" applyFill="1" applyBorder="1" applyAlignment="1">
      <alignment horizontal="left" indent="1"/>
    </xf>
    <xf numFmtId="166" fontId="0" fillId="16" borderId="3" xfId="1" applyNumberFormat="1" applyFont="1" applyFill="1" applyBorder="1"/>
    <xf numFmtId="166" fontId="0" fillId="16" borderId="0" xfId="1" applyNumberFormat="1" applyFont="1" applyFill="1" applyBorder="1"/>
    <xf numFmtId="166" fontId="0" fillId="16" borderId="0" xfId="0" applyNumberFormat="1" applyFill="1"/>
    <xf numFmtId="166" fontId="0" fillId="16" borderId="20" xfId="0" applyNumberFormat="1" applyFill="1" applyBorder="1"/>
    <xf numFmtId="166" fontId="0" fillId="16" borderId="9" xfId="1" applyNumberFormat="1" applyFont="1" applyFill="1" applyBorder="1"/>
    <xf numFmtId="166" fontId="5" fillId="16" borderId="16" xfId="0" applyNumberFormat="1" applyFont="1" applyFill="1" applyBorder="1" applyAlignment="1">
      <alignment horizontal="left" vertical="center"/>
    </xf>
    <xf numFmtId="166" fontId="5" fillId="16" borderId="0" xfId="0" applyNumberFormat="1" applyFont="1" applyFill="1" applyAlignment="1">
      <alignment horizontal="left" vertical="center"/>
    </xf>
    <xf numFmtId="166" fontId="5" fillId="16" borderId="9" xfId="0" applyNumberFormat="1" applyFont="1" applyFill="1" applyBorder="1" applyAlignment="1">
      <alignment horizontal="left" vertical="center"/>
    </xf>
    <xf numFmtId="0" fontId="0" fillId="16" borderId="16" xfId="0" applyFill="1" applyBorder="1" applyAlignment="1">
      <alignment horizontal="left" indent="2"/>
    </xf>
    <xf numFmtId="166" fontId="6" fillId="16" borderId="16" xfId="0" applyNumberFormat="1" applyFont="1" applyFill="1" applyBorder="1" applyAlignment="1">
      <alignment horizontal="left" vertical="center"/>
    </xf>
    <xf numFmtId="166" fontId="6" fillId="16" borderId="0" xfId="0" applyNumberFormat="1" applyFont="1" applyFill="1" applyAlignment="1">
      <alignment horizontal="left" vertical="center"/>
    </xf>
    <xf numFmtId="166" fontId="6" fillId="16" borderId="9" xfId="0" applyNumberFormat="1" applyFont="1" applyFill="1" applyBorder="1" applyAlignment="1">
      <alignment horizontal="left" vertical="center"/>
    </xf>
    <xf numFmtId="0" fontId="0" fillId="16" borderId="19" xfId="0" applyFill="1" applyBorder="1" applyAlignment="1">
      <alignment horizontal="left" indent="1"/>
    </xf>
    <xf numFmtId="166" fontId="0" fillId="16" borderId="4" xfId="1" applyNumberFormat="1" applyFont="1" applyFill="1" applyBorder="1"/>
    <xf numFmtId="166" fontId="0" fillId="16" borderId="13" xfId="1" applyNumberFormat="1" applyFont="1" applyFill="1" applyBorder="1"/>
    <xf numFmtId="166" fontId="0" fillId="16" borderId="23" xfId="0" applyNumberFormat="1" applyFill="1" applyBorder="1"/>
    <xf numFmtId="166" fontId="0" fillId="16" borderId="15" xfId="1" applyNumberFormat="1" applyFont="1" applyFill="1" applyBorder="1"/>
    <xf numFmtId="166" fontId="0" fillId="16" borderId="3" xfId="0" applyNumberFormat="1" applyFill="1" applyBorder="1"/>
    <xf numFmtId="166" fontId="0" fillId="16" borderId="4" xfId="0" applyNumberFormat="1" applyFill="1" applyBorder="1"/>
    <xf numFmtId="166" fontId="0" fillId="16" borderId="13" xfId="0" applyNumberFormat="1" applyFill="1" applyBorder="1"/>
    <xf numFmtId="180" fontId="0" fillId="0" borderId="9" xfId="3" applyNumberFormat="1" applyFont="1" applyBorder="1"/>
    <xf numFmtId="0" fontId="0" fillId="17" borderId="17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70" fontId="2" fillId="3" borderId="0" xfId="0" applyNumberFormat="1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176" fontId="3" fillId="11" borderId="5" xfId="1" applyNumberFormat="1" applyFont="1" applyFill="1" applyBorder="1" applyAlignment="1">
      <alignment horizontal="center"/>
    </xf>
    <xf numFmtId="176" fontId="3" fillId="11" borderId="7" xfId="1" applyNumberFormat="1" applyFont="1" applyFill="1" applyBorder="1" applyAlignment="1">
      <alignment horizontal="center"/>
    </xf>
  </cellXfs>
  <cellStyles count="5">
    <cellStyle name="Comma" xfId="3" builtinId="3"/>
    <cellStyle name="Currency" xfId="1" builtinId="4"/>
    <cellStyle name="defaultsheetstyle" xfId="4" xr:uid="{B76BE44E-A5A9-44A9-B990-1A8F5EB845C9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571504</xdr:colOff>
      <xdr:row>25</xdr:row>
      <xdr:rowOff>180974</xdr:rowOff>
    </xdr:from>
    <xdr:to>
      <xdr:col>9</xdr:col>
      <xdr:colOff>9528</xdr:colOff>
      <xdr:row>33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FB4BD2-8127-4065-8EAE-0EF1ECF97A2C}"/>
            </a:ext>
          </a:extLst>
        </xdr:cNvPr>
        <xdr:cNvSpPr txBox="1"/>
      </xdr:nvSpPr>
      <xdr:spPr>
        <a:xfrm rot="16200000">
          <a:off x="8255321" y="5260657"/>
          <a:ext cx="1314450" cy="299084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 b="1"/>
            <a:t>Terminal</a:t>
          </a:r>
          <a:r>
            <a:rPr lang="en-IN" sz="900" b="1" baseline="0"/>
            <a:t> Growth Rate</a:t>
          </a:r>
          <a:endParaRPr lang="en-IN" sz="900" b="1"/>
        </a:p>
      </xdr:txBody>
    </xdr:sp>
    <xdr:clientData/>
  </xdr:twoCellAnchor>
  <xdr:twoCellAnchor>
    <xdr:from>
      <xdr:col>11</xdr:col>
      <xdr:colOff>639440</xdr:colOff>
      <xdr:row>24</xdr:row>
      <xdr:rowOff>163184</xdr:rowOff>
    </xdr:from>
    <xdr:to>
      <xdr:col>13</xdr:col>
      <xdr:colOff>24349</xdr:colOff>
      <xdr:row>26</xdr:row>
      <xdr:rowOff>34038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B4EF78-35BF-4258-9737-1175E85FD21D}"/>
            </a:ext>
          </a:extLst>
        </xdr:cNvPr>
        <xdr:cNvSpPr txBox="1"/>
      </xdr:nvSpPr>
      <xdr:spPr>
        <a:xfrm>
          <a:off x="11414120" y="4552304"/>
          <a:ext cx="1107029" cy="236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 b="1"/>
            <a:t>WACC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049A-A97D-4433-9910-462652F6AB31}">
  <dimension ref="B1:S83"/>
  <sheetViews>
    <sheetView showGridLines="0" tabSelected="1" topLeftCell="B1" zoomScale="90" zoomScaleNormal="90" workbookViewId="0">
      <selection activeCell="C63" sqref="C63"/>
    </sheetView>
  </sheetViews>
  <sheetFormatPr defaultRowHeight="14.3" outlineLevelCol="1"/>
  <cols>
    <col min="3" max="3" width="47.375" customWidth="1"/>
    <col min="4" max="4" width="10.375" hidden="1" customWidth="1" outlineLevel="1"/>
    <col min="5" max="5" width="9.75" hidden="1" customWidth="1" outlineLevel="1"/>
    <col min="6" max="6" width="9.75" bestFit="1" customWidth="1" collapsed="1"/>
    <col min="7" max="7" width="9.75" bestFit="1" customWidth="1"/>
    <col min="8" max="9" width="11.375" bestFit="1" customWidth="1"/>
    <col min="10" max="10" width="11.125" customWidth="1"/>
    <col min="11" max="11" width="15.25" customWidth="1"/>
    <col min="12" max="14" width="12" customWidth="1"/>
    <col min="15" max="15" width="14.125" customWidth="1"/>
    <col min="16" max="16" width="12.25" bestFit="1" customWidth="1"/>
    <col min="19" max="19" width="10.375" bestFit="1" customWidth="1"/>
  </cols>
  <sheetData>
    <row r="1" spans="2:18">
      <c r="C1" s="1" t="s">
        <v>0</v>
      </c>
    </row>
    <row r="2" spans="2:18" ht="14.95" thickBot="1">
      <c r="C2" s="2"/>
    </row>
    <row r="3" spans="2:18" ht="14.95" thickBot="1">
      <c r="C3" s="6" t="s">
        <v>1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159</v>
      </c>
      <c r="J3" s="4" t="s">
        <v>244</v>
      </c>
      <c r="K3" s="3" t="s">
        <v>55</v>
      </c>
      <c r="L3" s="3" t="s">
        <v>56</v>
      </c>
      <c r="M3" s="3" t="s">
        <v>57</v>
      </c>
      <c r="N3" s="3" t="s">
        <v>158</v>
      </c>
      <c r="O3" s="5" t="s">
        <v>245</v>
      </c>
    </row>
    <row r="4" spans="2:18">
      <c r="C4" s="7" t="s">
        <v>2</v>
      </c>
      <c r="D4" s="16"/>
      <c r="E4" s="17"/>
      <c r="F4" s="17"/>
      <c r="G4" s="17"/>
      <c r="H4" s="17"/>
      <c r="I4" s="17"/>
      <c r="J4" s="18"/>
      <c r="K4" s="17"/>
      <c r="L4" s="17"/>
      <c r="M4" s="17"/>
      <c r="N4" s="17"/>
      <c r="O4" s="19"/>
    </row>
    <row r="5" spans="2:18" s="401" customFormat="1">
      <c r="B5" s="401" t="s">
        <v>130</v>
      </c>
      <c r="C5" s="402" t="s">
        <v>3</v>
      </c>
      <c r="D5" s="403">
        <v>264</v>
      </c>
      <c r="E5" s="404">
        <v>214</v>
      </c>
      <c r="F5" s="404">
        <v>93</v>
      </c>
      <c r="G5" s="405">
        <v>69</v>
      </c>
      <c r="H5" s="405">
        <v>78</v>
      </c>
      <c r="I5" s="405">
        <v>13278</v>
      </c>
      <c r="J5" s="406">
        <v>13778</v>
      </c>
      <c r="K5" s="404">
        <f>Schedules_Populated!J71</f>
        <v>13995.651187609546</v>
      </c>
      <c r="L5" s="404">
        <f>Schedules_Populated!K71</f>
        <v>14231.888130690666</v>
      </c>
      <c r="M5" s="404">
        <f>Schedules_Populated!L71</f>
        <v>14479.581383145038</v>
      </c>
      <c r="N5" s="404">
        <f>Schedules_Populated!M71</f>
        <v>14739.894138090745</v>
      </c>
      <c r="O5" s="407">
        <f>Schedules_Populated!N71</f>
        <v>15013.243776851641</v>
      </c>
      <c r="P5" s="405"/>
    </row>
    <row r="6" spans="2:18">
      <c r="B6" t="s">
        <v>295</v>
      </c>
      <c r="C6" s="8" t="s">
        <v>4</v>
      </c>
      <c r="D6" s="66">
        <v>14</v>
      </c>
      <c r="E6" s="23">
        <v>0</v>
      </c>
      <c r="F6" s="23">
        <v>0</v>
      </c>
      <c r="G6" s="14">
        <v>14</v>
      </c>
      <c r="H6" s="14">
        <v>0</v>
      </c>
      <c r="I6" s="14">
        <v>185</v>
      </c>
      <c r="J6" s="15">
        <v>9</v>
      </c>
      <c r="K6" s="23">
        <f>Assumptions!J22</f>
        <v>60.5</v>
      </c>
      <c r="L6" s="23">
        <f>Assumptions!K22</f>
        <v>46.800000000000004</v>
      </c>
      <c r="M6" s="23">
        <f>Assumptions!L22</f>
        <v>56.27</v>
      </c>
      <c r="N6" s="23">
        <f>Assumptions!M22</f>
        <v>61.997999999999998</v>
      </c>
      <c r="O6" s="188">
        <f>Assumptions!N22</f>
        <v>53.310200000000002</v>
      </c>
      <c r="R6" s="14"/>
    </row>
    <row r="7" spans="2:18">
      <c r="B7" t="s">
        <v>295</v>
      </c>
      <c r="C7" s="8" t="s">
        <v>5</v>
      </c>
      <c r="D7" s="66">
        <v>2961</v>
      </c>
      <c r="E7" s="23">
        <v>1736</v>
      </c>
      <c r="F7" s="23">
        <v>610</v>
      </c>
      <c r="G7" s="14">
        <v>7644</v>
      </c>
      <c r="H7" s="14">
        <v>7896</v>
      </c>
      <c r="I7" s="14">
        <v>13913</v>
      </c>
      <c r="J7" s="15">
        <v>14032</v>
      </c>
      <c r="K7" s="23">
        <f>Assumptions!J23</f>
        <v>14032</v>
      </c>
      <c r="L7" s="23">
        <f>Assumptions!K23</f>
        <v>14032</v>
      </c>
      <c r="M7" s="23">
        <f>Assumptions!L23</f>
        <v>14032</v>
      </c>
      <c r="N7" s="23">
        <f>Assumptions!M23</f>
        <v>14032</v>
      </c>
      <c r="O7" s="188">
        <f>Assumptions!N23</f>
        <v>14032</v>
      </c>
    </row>
    <row r="8" spans="2:18" s="401" customFormat="1">
      <c r="B8" s="401" t="s">
        <v>130</v>
      </c>
      <c r="C8" s="402" t="s">
        <v>6</v>
      </c>
      <c r="D8" s="403">
        <v>793</v>
      </c>
      <c r="E8" s="404">
        <v>196</v>
      </c>
      <c r="F8" s="404">
        <v>72</v>
      </c>
      <c r="G8" s="405">
        <v>2966</v>
      </c>
      <c r="H8" s="405">
        <v>2396</v>
      </c>
      <c r="I8" s="405">
        <v>10182</v>
      </c>
      <c r="J8" s="406">
        <v>7786</v>
      </c>
      <c r="K8" s="404">
        <f>Schedules_Populated!J72</f>
        <v>8969.55647262809</v>
      </c>
      <c r="L8" s="404">
        <f>Schedules_Populated!K72</f>
        <v>9465.896522534802</v>
      </c>
      <c r="M8" s="404">
        <f>Schedules_Populated!L72</f>
        <v>10514.811654969937</v>
      </c>
      <c r="N8" s="404">
        <f>Schedules_Populated!M72</f>
        <v>11579.988993532268</v>
      </c>
      <c r="O8" s="407">
        <f>Schedules_Populated!N72</f>
        <v>13065.263131285123</v>
      </c>
      <c r="P8" s="405"/>
    </row>
    <row r="9" spans="2:18">
      <c r="B9" t="s">
        <v>295</v>
      </c>
      <c r="C9" s="8" t="s">
        <v>7</v>
      </c>
      <c r="D9" s="66">
        <v>0</v>
      </c>
      <c r="E9" s="23">
        <v>17</v>
      </c>
      <c r="F9" s="23">
        <v>17</v>
      </c>
      <c r="G9" s="14">
        <v>0</v>
      </c>
      <c r="H9" s="14">
        <v>35</v>
      </c>
      <c r="I9" s="14">
        <v>81</v>
      </c>
      <c r="J9" s="15">
        <v>22</v>
      </c>
      <c r="K9" s="23">
        <f>Assumptions!J24</f>
        <v>38.300000000000004</v>
      </c>
      <c r="L9" s="23">
        <f>Assumptions!K24</f>
        <v>33.520000000000003</v>
      </c>
      <c r="M9" s="23">
        <f>Assumptions!L24</f>
        <v>38.698</v>
      </c>
      <c r="N9" s="23">
        <f>Assumptions!M24</f>
        <v>39.665200000000006</v>
      </c>
      <c r="O9" s="188">
        <f>Assumptions!N24</f>
        <v>36.85748000000001</v>
      </c>
      <c r="P9" s="14"/>
    </row>
    <row r="10" spans="2:18" s="401" customFormat="1">
      <c r="B10" s="401" t="s">
        <v>130</v>
      </c>
      <c r="C10" s="402" t="s">
        <v>8</v>
      </c>
      <c r="D10" s="403">
        <v>5484</v>
      </c>
      <c r="E10" s="404">
        <v>3965</v>
      </c>
      <c r="F10" s="404">
        <v>3006</v>
      </c>
      <c r="G10" s="405">
        <v>2150</v>
      </c>
      <c r="H10" s="405">
        <v>5390</v>
      </c>
      <c r="I10" s="405">
        <v>5786</v>
      </c>
      <c r="J10" s="406">
        <v>5698</v>
      </c>
      <c r="K10" s="404">
        <f>Schedules_Populated!J73</f>
        <v>6621.1873663268652</v>
      </c>
      <c r="L10" s="404">
        <f>Schedules_Populated!K73</f>
        <v>7820.0213706847535</v>
      </c>
      <c r="M10" s="404">
        <f>Schedules_Populated!L73</f>
        <v>8960.1412938744907</v>
      </c>
      <c r="N10" s="404">
        <f>Schedules_Populated!M73</f>
        <v>10294.554432397299</v>
      </c>
      <c r="O10" s="407">
        <f>Schedules_Populated!N73</f>
        <v>11934.800443196262</v>
      </c>
      <c r="P10" s="405"/>
    </row>
    <row r="11" spans="2:18">
      <c r="C11" s="8" t="s">
        <v>9</v>
      </c>
      <c r="D11" s="66"/>
      <c r="E11" s="23"/>
      <c r="F11" s="23"/>
      <c r="G11" s="14"/>
      <c r="H11" s="14"/>
      <c r="I11" s="14"/>
      <c r="J11" s="15"/>
      <c r="K11" s="23"/>
      <c r="L11" s="23"/>
      <c r="M11" s="23"/>
      <c r="N11" s="23"/>
      <c r="O11" s="188"/>
      <c r="P11" s="14"/>
    </row>
    <row r="12" spans="2:18">
      <c r="B12" t="s">
        <v>295</v>
      </c>
      <c r="C12" s="330" t="s">
        <v>10</v>
      </c>
      <c r="D12" s="66">
        <v>585</v>
      </c>
      <c r="E12" s="23">
        <v>618</v>
      </c>
      <c r="F12" s="23">
        <v>767</v>
      </c>
      <c r="G12" s="14">
        <v>0</v>
      </c>
      <c r="H12" s="14">
        <v>762</v>
      </c>
      <c r="I12" s="14">
        <v>1296</v>
      </c>
      <c r="J12" s="15">
        <v>0</v>
      </c>
      <c r="K12" s="23">
        <f>Assumptions!J27</f>
        <v>541.70000000000005</v>
      </c>
      <c r="L12" s="23">
        <f>Assumptions!K27</f>
        <v>422.48</v>
      </c>
      <c r="M12" s="23">
        <f>Assumptions!L27</f>
        <v>537.30200000000013</v>
      </c>
      <c r="N12" s="23">
        <f>Assumptions!M27</f>
        <v>525.43480000000011</v>
      </c>
      <c r="O12" s="188">
        <f>Assumptions!N27</f>
        <v>467.78252000000009</v>
      </c>
      <c r="P12" s="14"/>
    </row>
    <row r="13" spans="2:18">
      <c r="B13" t="s">
        <v>295</v>
      </c>
      <c r="C13" s="330" t="s">
        <v>11</v>
      </c>
      <c r="D13" s="66">
        <v>185</v>
      </c>
      <c r="E13" s="23">
        <v>239</v>
      </c>
      <c r="F13" s="23">
        <v>368</v>
      </c>
      <c r="G13" s="14">
        <v>2458</v>
      </c>
      <c r="H13" s="14">
        <v>1827</v>
      </c>
      <c r="I13" s="14">
        <v>9389</v>
      </c>
      <c r="J13" s="15">
        <v>2480</v>
      </c>
      <c r="K13" s="23">
        <f>Assumptions!J28</f>
        <v>4274</v>
      </c>
      <c r="L13" s="23">
        <f>Assumptions!K28</f>
        <v>3821.0000000000005</v>
      </c>
      <c r="M13" s="23">
        <f>Assumptions!L28</f>
        <v>4180.2000000000007</v>
      </c>
      <c r="N13" s="23">
        <f>Assumptions!M28</f>
        <v>4432.68</v>
      </c>
      <c r="O13" s="188">
        <f>Assumptions!N28</f>
        <v>4084.6320000000005</v>
      </c>
      <c r="P13" s="14"/>
    </row>
    <row r="14" spans="2:18">
      <c r="B14" t="s">
        <v>295</v>
      </c>
      <c r="C14" s="8" t="s">
        <v>12</v>
      </c>
      <c r="D14" s="66">
        <v>584</v>
      </c>
      <c r="E14" s="23">
        <v>920</v>
      </c>
      <c r="F14" s="23">
        <v>1335</v>
      </c>
      <c r="G14" s="14">
        <v>1408</v>
      </c>
      <c r="H14" s="14">
        <v>680</v>
      </c>
      <c r="I14" s="14">
        <v>1310</v>
      </c>
      <c r="J14" s="15">
        <v>1529</v>
      </c>
      <c r="K14" s="23">
        <f>Assumptions!J29</f>
        <v>1346.8999999999999</v>
      </c>
      <c r="L14" s="23">
        <f>Assumptions!K29</f>
        <v>1337.26</v>
      </c>
      <c r="M14" s="23">
        <f>Assumptions!L29</f>
        <v>1290.874</v>
      </c>
      <c r="N14" s="23">
        <f>Assumptions!M29</f>
        <v>1336.1176</v>
      </c>
      <c r="O14" s="188">
        <f>Assumptions!N29</f>
        <v>1343.0252400000002</v>
      </c>
    </row>
    <row r="15" spans="2:18">
      <c r="B15" t="s">
        <v>295</v>
      </c>
      <c r="C15" s="8" t="s">
        <v>13</v>
      </c>
      <c r="D15" s="66">
        <v>40</v>
      </c>
      <c r="E15" s="23">
        <v>48</v>
      </c>
      <c r="F15" s="23">
        <v>33</v>
      </c>
      <c r="G15" s="14">
        <v>7</v>
      </c>
      <c r="H15" s="14">
        <v>1</v>
      </c>
      <c r="I15" s="14">
        <v>119</v>
      </c>
      <c r="J15" s="15">
        <v>32</v>
      </c>
      <c r="K15" s="23">
        <f>Assumptions!J30</f>
        <v>52.6</v>
      </c>
      <c r="L15" s="23">
        <f>Assumptions!K30</f>
        <v>43.34</v>
      </c>
      <c r="M15" s="23">
        <f>Assumptions!L30</f>
        <v>48.316000000000003</v>
      </c>
      <c r="N15" s="23">
        <f>Assumptions!M30</f>
        <v>52.688400000000001</v>
      </c>
      <c r="O15" s="188">
        <f>Assumptions!N30</f>
        <v>48.364160000000005</v>
      </c>
    </row>
    <row r="16" spans="2:18" ht="14.95" thickBot="1">
      <c r="B16" t="s">
        <v>295</v>
      </c>
      <c r="C16" s="8" t="s">
        <v>14</v>
      </c>
      <c r="D16" s="331">
        <v>0</v>
      </c>
      <c r="E16" s="332">
        <v>0</v>
      </c>
      <c r="F16" s="332">
        <v>0</v>
      </c>
      <c r="G16" s="21">
        <v>1026</v>
      </c>
      <c r="H16" s="21">
        <v>697</v>
      </c>
      <c r="I16" s="21">
        <v>1246</v>
      </c>
      <c r="J16" s="22">
        <v>1636</v>
      </c>
      <c r="K16" s="332">
        <f>Assumptions!J31</f>
        <v>1200.5</v>
      </c>
      <c r="L16" s="332">
        <f>Assumptions!K31</f>
        <v>1267.8999999999999</v>
      </c>
      <c r="M16" s="332">
        <f>Assumptions!L31</f>
        <v>1225.2099999999998</v>
      </c>
      <c r="N16" s="332">
        <f>Assumptions!M31</f>
        <v>1278.7039999999997</v>
      </c>
      <c r="O16" s="333">
        <f>Assumptions!N31</f>
        <v>1289.4845999999998</v>
      </c>
    </row>
    <row r="17" spans="2:19" ht="15.65" thickTop="1" thickBot="1">
      <c r="C17" s="70" t="s">
        <v>15</v>
      </c>
      <c r="D17" s="71">
        <f t="shared" ref="D17:J17" si="0">SUM(D5:D16)</f>
        <v>10910</v>
      </c>
      <c r="E17" s="71">
        <f t="shared" si="0"/>
        <v>7953</v>
      </c>
      <c r="F17" s="71">
        <f t="shared" si="0"/>
        <v>6301</v>
      </c>
      <c r="G17" s="71">
        <f t="shared" si="0"/>
        <v>17742</v>
      </c>
      <c r="H17" s="71">
        <f t="shared" si="0"/>
        <v>19762</v>
      </c>
      <c r="I17" s="71">
        <f t="shared" si="0"/>
        <v>56785</v>
      </c>
      <c r="J17" s="72">
        <f t="shared" si="0"/>
        <v>47002</v>
      </c>
      <c r="K17" s="73">
        <f>SUM(K5:K16)</f>
        <v>51132.895026564496</v>
      </c>
      <c r="L17" s="73">
        <f t="shared" ref="L17:O17" si="1">SUM(L5:L16)</f>
        <v>52522.106023910215</v>
      </c>
      <c r="M17" s="73">
        <f t="shared" si="1"/>
        <v>55363.404331989463</v>
      </c>
      <c r="N17" s="73">
        <f t="shared" si="1"/>
        <v>58373.725564020315</v>
      </c>
      <c r="O17" s="74">
        <f t="shared" si="1"/>
        <v>61368.763551333017</v>
      </c>
      <c r="S17" s="14"/>
    </row>
    <row r="18" spans="2:19">
      <c r="C18" s="64" t="s">
        <v>16</v>
      </c>
      <c r="D18" s="16"/>
      <c r="E18" s="17"/>
      <c r="F18" s="17"/>
      <c r="G18" s="17"/>
      <c r="H18" s="17"/>
      <c r="I18" s="17"/>
      <c r="J18" s="18"/>
      <c r="K18" s="42"/>
      <c r="L18" s="42"/>
      <c r="M18" s="42"/>
      <c r="N18" s="42"/>
      <c r="O18" s="43"/>
      <c r="S18" s="14"/>
    </row>
    <row r="19" spans="2:19" s="401" customFormat="1">
      <c r="B19" s="401" t="s">
        <v>294</v>
      </c>
      <c r="C19" s="402" t="s">
        <v>17</v>
      </c>
      <c r="D19" s="420"/>
      <c r="E19" s="405"/>
      <c r="F19" s="405"/>
      <c r="G19" s="405"/>
      <c r="H19" s="405"/>
      <c r="I19" s="405"/>
      <c r="J19" s="406"/>
      <c r="K19" s="404"/>
      <c r="L19" s="404"/>
      <c r="M19" s="404"/>
      <c r="N19" s="404"/>
      <c r="O19" s="407"/>
      <c r="S19" s="405"/>
    </row>
    <row r="20" spans="2:19" s="401" customFormat="1">
      <c r="B20" s="401" t="s">
        <v>294</v>
      </c>
      <c r="C20" s="411" t="s">
        <v>18</v>
      </c>
      <c r="D20" s="403">
        <v>13862</v>
      </c>
      <c r="E20" s="404">
        <v>9815</v>
      </c>
      <c r="F20" s="404">
        <v>8337</v>
      </c>
      <c r="G20" s="404">
        <v>39148</v>
      </c>
      <c r="H20" s="404">
        <v>46400</v>
      </c>
      <c r="I20" s="404">
        <v>0</v>
      </c>
      <c r="J20" s="406">
        <v>0</v>
      </c>
      <c r="K20" s="404">
        <f>Schedules_Populated!J5</f>
        <v>18149.901792367029</v>
      </c>
      <c r="L20" s="404">
        <f>Schedules_Populated!K5</f>
        <v>20618.447631795261</v>
      </c>
      <c r="M20" s="404">
        <f>Schedules_Populated!L5</f>
        <v>19907.643079057518</v>
      </c>
      <c r="N20" s="404">
        <f>Schedules_Populated!M5</f>
        <v>23621.300607859888</v>
      </c>
      <c r="O20" s="407">
        <f>Schedules_Populated!N5</f>
        <v>29549.855220292244</v>
      </c>
    </row>
    <row r="21" spans="2:19" s="401" customFormat="1">
      <c r="B21" s="401" t="s">
        <v>294</v>
      </c>
      <c r="C21" s="411" t="s">
        <v>19</v>
      </c>
      <c r="D21" s="403">
        <v>9437</v>
      </c>
      <c r="E21" s="404">
        <v>12927</v>
      </c>
      <c r="F21" s="404">
        <v>11487</v>
      </c>
      <c r="G21" s="404">
        <v>12192</v>
      </c>
      <c r="H21" s="404">
        <v>16738</v>
      </c>
      <c r="I21" s="404">
        <v>21319</v>
      </c>
      <c r="J21" s="406">
        <v>25444</v>
      </c>
      <c r="K21" s="404">
        <f>Schedules_Populated!J6</f>
        <v>30218.44389667736</v>
      </c>
      <c r="L21" s="404">
        <f>Schedules_Populated!K6</f>
        <v>35913.643137623985</v>
      </c>
      <c r="M21" s="404">
        <f>Schedules_Populated!L6</f>
        <v>42442.579111833453</v>
      </c>
      <c r="N21" s="404">
        <f>Schedules_Populated!M6</f>
        <v>50486.794089404146</v>
      </c>
      <c r="O21" s="407">
        <f>Schedules_Populated!N6</f>
        <v>60126.858349372662</v>
      </c>
    </row>
    <row r="22" spans="2:19" s="392" customFormat="1">
      <c r="C22" s="393" t="s">
        <v>20</v>
      </c>
      <c r="D22" s="394">
        <v>1652</v>
      </c>
      <c r="E22" s="395">
        <v>2627</v>
      </c>
      <c r="F22" s="395">
        <v>4353</v>
      </c>
      <c r="G22" s="395">
        <v>8583</v>
      </c>
      <c r="H22" s="395">
        <v>6729</v>
      </c>
      <c r="I22" s="395">
        <v>6999</v>
      </c>
      <c r="J22" s="396">
        <v>11470</v>
      </c>
      <c r="K22" s="395">
        <f>CFS!B20</f>
        <v>39679.865809019815</v>
      </c>
      <c r="L22" s="395">
        <f>CFS!C20</f>
        <v>49591.07434258327</v>
      </c>
      <c r="M22" s="395">
        <f>CFS!D20</f>
        <v>69696.216358495149</v>
      </c>
      <c r="N22" s="395">
        <f>CFS!E20</f>
        <v>90865.791925293917</v>
      </c>
      <c r="O22" s="397">
        <f>CFS!F20</f>
        <v>132313.37860144692</v>
      </c>
    </row>
    <row r="23" spans="2:19" s="401" customFormat="1">
      <c r="B23" s="401" t="s">
        <v>294</v>
      </c>
      <c r="C23" s="411" t="s">
        <v>21</v>
      </c>
      <c r="D23" s="403">
        <v>273</v>
      </c>
      <c r="E23" s="404">
        <v>77</v>
      </c>
      <c r="F23" s="404">
        <v>100</v>
      </c>
      <c r="G23" s="404">
        <v>812</v>
      </c>
      <c r="H23" s="404">
        <v>4</v>
      </c>
      <c r="I23" s="404">
        <v>64</v>
      </c>
      <c r="J23" s="406">
        <v>37</v>
      </c>
      <c r="K23" s="404">
        <f>Schedules_Populated!J7</f>
        <v>277.42624982885593</v>
      </c>
      <c r="L23" s="404">
        <f>Schedules_Populated!K7</f>
        <v>402.29924754995284</v>
      </c>
      <c r="M23" s="404">
        <f>Schedules_Populated!L7</f>
        <v>327.84039066135284</v>
      </c>
      <c r="N23" s="404">
        <f>Schedules_Populated!M7</f>
        <v>395.06877084734646</v>
      </c>
      <c r="O23" s="407">
        <f>Schedules_Populated!N7</f>
        <v>458.40026238931506</v>
      </c>
    </row>
    <row r="24" spans="2:19" s="401" customFormat="1">
      <c r="B24" s="401" t="s">
        <v>294</v>
      </c>
      <c r="C24" s="411" t="s">
        <v>22</v>
      </c>
      <c r="D24" s="403">
        <v>1141</v>
      </c>
      <c r="E24" s="404">
        <v>7091</v>
      </c>
      <c r="F24" s="404">
        <f>4570+14607</f>
        <v>19177</v>
      </c>
      <c r="G24" s="404">
        <f>6450+5935</f>
        <v>12385</v>
      </c>
      <c r="H24" s="404">
        <v>19476</v>
      </c>
      <c r="I24" s="404">
        <f>12237+62184</f>
        <v>74421</v>
      </c>
      <c r="J24" s="406">
        <f>122183+13850</f>
        <v>136033</v>
      </c>
      <c r="K24" s="404">
        <f>Schedules_Populated!J8</f>
        <v>118733.38916915098</v>
      </c>
      <c r="L24" s="404">
        <f>Schedules_Populated!K8</f>
        <v>144969.95561927845</v>
      </c>
      <c r="M24" s="404">
        <f>Schedules_Populated!L8</f>
        <v>173562.9874459925</v>
      </c>
      <c r="N24" s="404">
        <f>Schedules_Populated!M8</f>
        <v>211978.60332108295</v>
      </c>
      <c r="O24" s="407">
        <f>Schedules_Populated!N8</f>
        <v>247506.19831937493</v>
      </c>
    </row>
    <row r="25" spans="2:19" s="401" customFormat="1" ht="14.95" thickBot="1">
      <c r="B25" s="401" t="s">
        <v>294</v>
      </c>
      <c r="C25" s="415" t="s">
        <v>23</v>
      </c>
      <c r="D25" s="416">
        <v>1424</v>
      </c>
      <c r="E25" s="417">
        <v>862</v>
      </c>
      <c r="F25" s="417">
        <v>1060</v>
      </c>
      <c r="G25" s="417">
        <v>1333</v>
      </c>
      <c r="H25" s="417">
        <v>3392</v>
      </c>
      <c r="I25" s="417">
        <v>4495</v>
      </c>
      <c r="J25" s="418">
        <v>4793</v>
      </c>
      <c r="K25" s="417">
        <f>Schedules_Populated!J9</f>
        <v>5379.6974416952444</v>
      </c>
      <c r="L25" s="417">
        <f>Schedules_Populated!K9</f>
        <v>6456.1090201076831</v>
      </c>
      <c r="M25" s="417">
        <f>Schedules_Populated!L9</f>
        <v>7868.4272987145423</v>
      </c>
      <c r="N25" s="417">
        <f>Schedules_Populated!M9</f>
        <v>9376.443706290358</v>
      </c>
      <c r="O25" s="419">
        <f>Schedules_Populated!N9</f>
        <v>11094.81198809592</v>
      </c>
    </row>
    <row r="26" spans="2:19" ht="15.65" thickTop="1" thickBot="1">
      <c r="C26" s="70" t="s">
        <v>24</v>
      </c>
      <c r="D26" s="71">
        <f t="shared" ref="D26:J26" si="2">SUM(D20:D25)</f>
        <v>27789</v>
      </c>
      <c r="E26" s="71">
        <f t="shared" si="2"/>
        <v>33399</v>
      </c>
      <c r="F26" s="71">
        <f t="shared" si="2"/>
        <v>44514</v>
      </c>
      <c r="G26" s="71">
        <f t="shared" si="2"/>
        <v>74453</v>
      </c>
      <c r="H26" s="71">
        <f t="shared" si="2"/>
        <v>92739</v>
      </c>
      <c r="I26" s="71">
        <f t="shared" si="2"/>
        <v>107298</v>
      </c>
      <c r="J26" s="72">
        <f t="shared" si="2"/>
        <v>177777</v>
      </c>
      <c r="K26" s="73">
        <f>SUM(K20:K25)</f>
        <v>212438.7243587393</v>
      </c>
      <c r="L26" s="73">
        <f t="shared" ref="L26:O26" si="3">SUM(L20:L25)</f>
        <v>257951.52899893859</v>
      </c>
      <c r="M26" s="73">
        <f t="shared" si="3"/>
        <v>313805.69368475449</v>
      </c>
      <c r="N26" s="73">
        <f t="shared" si="3"/>
        <v>386724.00242077856</v>
      </c>
      <c r="O26" s="74">
        <f t="shared" si="3"/>
        <v>481049.50274097204</v>
      </c>
      <c r="P26" s="14"/>
      <c r="S26" s="14"/>
    </row>
    <row r="27" spans="2:19" ht="14.95" thickBot="1">
      <c r="C27" s="70" t="s">
        <v>25</v>
      </c>
      <c r="D27" s="71">
        <f t="shared" ref="D27:J27" si="4">D17+D26</f>
        <v>38699</v>
      </c>
      <c r="E27" s="71">
        <f t="shared" si="4"/>
        <v>41352</v>
      </c>
      <c r="F27" s="71">
        <f t="shared" si="4"/>
        <v>50815</v>
      </c>
      <c r="G27" s="71">
        <f t="shared" si="4"/>
        <v>92195</v>
      </c>
      <c r="H27" s="71">
        <f t="shared" si="4"/>
        <v>112501</v>
      </c>
      <c r="I27" s="71">
        <f t="shared" si="4"/>
        <v>164083</v>
      </c>
      <c r="J27" s="71">
        <f t="shared" si="4"/>
        <v>224779</v>
      </c>
      <c r="K27" s="350">
        <f>K17+K26</f>
        <v>263571.61938530381</v>
      </c>
      <c r="L27" s="351">
        <f t="shared" ref="L27:O27" si="5">L17+L26</f>
        <v>310473.63502284879</v>
      </c>
      <c r="M27" s="351">
        <f t="shared" si="5"/>
        <v>369169.09801674396</v>
      </c>
      <c r="N27" s="351">
        <f t="shared" si="5"/>
        <v>445097.7279847989</v>
      </c>
      <c r="O27" s="352">
        <f t="shared" si="5"/>
        <v>542418.26629230508</v>
      </c>
      <c r="P27" s="14"/>
      <c r="S27" s="14"/>
    </row>
    <row r="28" spans="2:19">
      <c r="C28" s="9" t="s">
        <v>26</v>
      </c>
      <c r="D28" s="16"/>
      <c r="E28" s="17"/>
      <c r="F28" s="17"/>
      <c r="G28" s="17"/>
      <c r="H28" s="17"/>
      <c r="I28" s="17"/>
      <c r="J28" s="18"/>
      <c r="K28" s="18"/>
      <c r="L28" s="42"/>
      <c r="M28" s="42"/>
      <c r="N28" s="42"/>
      <c r="O28" s="43"/>
      <c r="P28" s="14"/>
      <c r="S28" s="14"/>
    </row>
    <row r="29" spans="2:19">
      <c r="C29" s="10" t="s">
        <v>27</v>
      </c>
      <c r="D29" s="13"/>
      <c r="E29" s="14"/>
      <c r="F29" s="14"/>
      <c r="G29" s="14"/>
      <c r="H29" s="14"/>
      <c r="I29" s="14"/>
      <c r="J29" s="15"/>
      <c r="K29" s="42"/>
      <c r="L29" s="42"/>
      <c r="M29" s="42"/>
      <c r="N29" s="42"/>
      <c r="O29" s="43"/>
    </row>
    <row r="30" spans="2:19" s="401" customFormat="1">
      <c r="B30" s="401" t="s">
        <v>295</v>
      </c>
      <c r="C30" s="402" t="s">
        <v>28</v>
      </c>
      <c r="D30" s="403">
        <v>375</v>
      </c>
      <c r="E30" s="404">
        <v>597</v>
      </c>
      <c r="F30" s="404">
        <v>879</v>
      </c>
      <c r="G30" s="404">
        <v>2837</v>
      </c>
      <c r="H30" s="404">
        <v>2854</v>
      </c>
      <c r="I30" s="404">
        <v>2866</v>
      </c>
      <c r="J30" s="406">
        <v>2987</v>
      </c>
      <c r="K30" s="404">
        <f>Assumptions!J34</f>
        <v>2987</v>
      </c>
      <c r="L30" s="404">
        <f>Assumptions!K34</f>
        <v>2987</v>
      </c>
      <c r="M30" s="404">
        <f>Assumptions!L34</f>
        <v>2987</v>
      </c>
      <c r="N30" s="404">
        <f>Assumptions!M34</f>
        <v>2987</v>
      </c>
      <c r="O30" s="407">
        <f>Assumptions!N34</f>
        <v>2987</v>
      </c>
      <c r="P30" s="405"/>
    </row>
    <row r="31" spans="2:19">
      <c r="B31" t="s">
        <v>295</v>
      </c>
      <c r="C31" s="8" t="s">
        <v>29</v>
      </c>
      <c r="D31" s="66">
        <v>2229</v>
      </c>
      <c r="E31" s="23">
        <v>2230</v>
      </c>
      <c r="F31" s="23">
        <v>3634</v>
      </c>
      <c r="G31" s="23">
        <v>0</v>
      </c>
      <c r="H31" s="23">
        <v>0</v>
      </c>
      <c r="I31" s="23">
        <v>0</v>
      </c>
      <c r="J31" s="343">
        <v>0</v>
      </c>
      <c r="K31" s="23">
        <f>Assumptions!J35</f>
        <v>0</v>
      </c>
      <c r="L31" s="23">
        <f>Assumptions!K35</f>
        <v>0</v>
      </c>
      <c r="M31" s="23">
        <f>Assumptions!L35</f>
        <v>0</v>
      </c>
      <c r="N31" s="23">
        <f>Assumptions!M35</f>
        <v>0</v>
      </c>
      <c r="O31" s="188">
        <f>Assumptions!N35</f>
        <v>0</v>
      </c>
      <c r="P31" s="14"/>
    </row>
    <row r="32" spans="2:19" s="401" customFormat="1" ht="14.95" thickBot="1">
      <c r="B32" s="401" t="s">
        <v>295</v>
      </c>
      <c r="C32" s="415" t="s">
        <v>30</v>
      </c>
      <c r="D32" s="416">
        <v>-13492</v>
      </c>
      <c r="E32" s="417">
        <v>-9432</v>
      </c>
      <c r="F32" s="417">
        <v>22018</v>
      </c>
      <c r="G32" s="417">
        <v>51762</v>
      </c>
      <c r="H32" s="417">
        <v>63726</v>
      </c>
      <c r="I32" s="417">
        <v>81016</v>
      </c>
      <c r="J32" s="418">
        <v>145037</v>
      </c>
      <c r="K32" s="417">
        <f>Assumptions!J36</f>
        <v>173234.68401217918</v>
      </c>
      <c r="L32" s="417">
        <f>Assumptions!K36</f>
        <v>212044.71492768158</v>
      </c>
      <c r="M32" s="417">
        <f>Assumptions!L36</f>
        <v>261923.98096009181</v>
      </c>
      <c r="N32" s="417">
        <f>Assumptions!M36</f>
        <v>327711.65013979509</v>
      </c>
      <c r="O32" s="419">
        <f>Assumptions!N36</f>
        <v>413412.85467965598</v>
      </c>
      <c r="P32" s="405"/>
    </row>
    <row r="33" spans="2:16" ht="15.65" thickTop="1" thickBot="1">
      <c r="C33" s="70" t="s">
        <v>31</v>
      </c>
      <c r="D33" s="71">
        <f t="shared" ref="D33:K33" si="6">SUM(D30:D32)</f>
        <v>-10888</v>
      </c>
      <c r="E33" s="71">
        <f t="shared" si="6"/>
        <v>-6605</v>
      </c>
      <c r="F33" s="71">
        <f t="shared" si="6"/>
        <v>26531</v>
      </c>
      <c r="G33" s="71">
        <f t="shared" si="6"/>
        <v>54599</v>
      </c>
      <c r="H33" s="71">
        <f t="shared" si="6"/>
        <v>66580</v>
      </c>
      <c r="I33" s="71">
        <f t="shared" si="6"/>
        <v>83882</v>
      </c>
      <c r="J33" s="72">
        <f t="shared" si="6"/>
        <v>148024</v>
      </c>
      <c r="K33" s="73">
        <f t="shared" si="6"/>
        <v>176221.68401217918</v>
      </c>
      <c r="L33" s="73">
        <f t="shared" ref="L33:O33" si="7">SUM(L30:L32)</f>
        <v>215031.71492768158</v>
      </c>
      <c r="M33" s="73">
        <f t="shared" si="7"/>
        <v>264910.98096009181</v>
      </c>
      <c r="N33" s="73">
        <f t="shared" si="7"/>
        <v>330698.65013979509</v>
      </c>
      <c r="O33" s="74">
        <f t="shared" si="7"/>
        <v>416399.85467965598</v>
      </c>
    </row>
    <row r="34" spans="2:16">
      <c r="C34" s="11" t="s">
        <v>32</v>
      </c>
      <c r="D34" s="14"/>
      <c r="E34" s="14"/>
      <c r="F34" s="14"/>
      <c r="G34" s="14"/>
      <c r="H34" s="14"/>
      <c r="I34" s="14"/>
      <c r="J34" s="15"/>
      <c r="K34" s="42"/>
      <c r="L34" s="42"/>
      <c r="M34" s="42"/>
      <c r="N34" s="42"/>
      <c r="O34" s="43"/>
    </row>
    <row r="35" spans="2:16">
      <c r="C35" s="10" t="s">
        <v>33</v>
      </c>
      <c r="D35" s="14"/>
      <c r="E35" s="14"/>
      <c r="F35" s="14"/>
      <c r="G35" s="14"/>
      <c r="H35" s="14"/>
      <c r="I35" s="14"/>
      <c r="J35" s="15"/>
      <c r="K35" s="42"/>
      <c r="L35" s="42"/>
      <c r="M35" s="42"/>
      <c r="N35" s="42"/>
      <c r="O35" s="43"/>
    </row>
    <row r="36" spans="2:16">
      <c r="C36" s="8" t="s">
        <v>34</v>
      </c>
      <c r="D36" s="23"/>
      <c r="E36" s="23"/>
      <c r="F36" s="23"/>
      <c r="G36" s="23"/>
      <c r="H36" s="23"/>
      <c r="I36" s="23"/>
      <c r="J36" s="15"/>
      <c r="K36" s="42"/>
      <c r="L36" s="42"/>
      <c r="M36" s="42"/>
      <c r="N36" s="42"/>
      <c r="O36" s="43"/>
    </row>
    <row r="37" spans="2:16" s="401" customFormat="1">
      <c r="B37" s="401" t="s">
        <v>108</v>
      </c>
      <c r="C37" s="411" t="s">
        <v>35</v>
      </c>
      <c r="D37" s="404">
        <v>1483</v>
      </c>
      <c r="E37" s="404">
        <v>850</v>
      </c>
      <c r="F37" s="404">
        <v>132</v>
      </c>
      <c r="G37" s="404">
        <v>3661</v>
      </c>
      <c r="H37" s="404">
        <v>1724</v>
      </c>
      <c r="I37" s="404">
        <v>11278</v>
      </c>
      <c r="J37" s="406">
        <v>10445</v>
      </c>
      <c r="K37" s="404">
        <f>Schedules_Populated!J42</f>
        <v>9604.4898092411386</v>
      </c>
      <c r="L37" s="404">
        <f>Schedules_Populated!K42</f>
        <v>10462.417161894746</v>
      </c>
      <c r="M37" s="404">
        <f>Schedules_Populated!L42</f>
        <v>10855.333366089582</v>
      </c>
      <c r="N37" s="404">
        <f>Schedules_Populated!M42</f>
        <v>11922.875732875264</v>
      </c>
      <c r="O37" s="407">
        <f>Schedules_Populated!N42</f>
        <v>12308.673801523491</v>
      </c>
      <c r="P37" s="405"/>
    </row>
    <row r="38" spans="2:16" s="401" customFormat="1">
      <c r="B38" s="401" t="s">
        <v>108</v>
      </c>
      <c r="C38" s="411" t="s">
        <v>36</v>
      </c>
      <c r="D38" s="404">
        <v>4314</v>
      </c>
      <c r="E38" s="404">
        <v>2964</v>
      </c>
      <c r="F38" s="404">
        <v>1731</v>
      </c>
      <c r="G38" s="404">
        <v>1223</v>
      </c>
      <c r="H38" s="404">
        <v>4119</v>
      </c>
      <c r="I38" s="404">
        <v>4761</v>
      </c>
      <c r="J38" s="406">
        <v>4570</v>
      </c>
      <c r="K38" s="404">
        <f>Schedules_Populated!J46</f>
        <v>4678.442497568567</v>
      </c>
      <c r="L38" s="404">
        <f>Schedules_Populated!K46</f>
        <v>5051.3826498137005</v>
      </c>
      <c r="M38" s="404">
        <f>Schedules_Populated!L46</f>
        <v>5423.9227796073619</v>
      </c>
      <c r="N38" s="404">
        <f>Schedules_Populated!M46</f>
        <v>5659.9075927365384</v>
      </c>
      <c r="O38" s="407">
        <f>Schedules_Populated!N46</f>
        <v>5862.9847094262514</v>
      </c>
      <c r="P38" s="405"/>
    </row>
    <row r="39" spans="2:16">
      <c r="B39" t="s">
        <v>295</v>
      </c>
      <c r="C39" s="330" t="s">
        <v>37</v>
      </c>
      <c r="D39" s="14"/>
      <c r="E39" s="14"/>
      <c r="F39" s="14">
        <v>0</v>
      </c>
      <c r="G39" s="14">
        <v>2455</v>
      </c>
      <c r="H39" s="14">
        <v>1291</v>
      </c>
      <c r="I39" s="14">
        <v>1996</v>
      </c>
      <c r="J39" s="15">
        <v>401</v>
      </c>
      <c r="K39" s="23">
        <f>Assumptions!J38</f>
        <v>1133.8</v>
      </c>
      <c r="L39" s="23">
        <f>Assumptions!K38</f>
        <v>1148.02</v>
      </c>
      <c r="M39" s="23">
        <f>Assumptions!L38</f>
        <v>1168.1479999999999</v>
      </c>
      <c r="N39" s="23">
        <f>Assumptions!M38</f>
        <v>1164.7451999999998</v>
      </c>
      <c r="O39" s="188">
        <f>Assumptions!N38</f>
        <v>1084.6244799999999</v>
      </c>
      <c r="P39" s="14"/>
    </row>
    <row r="40" spans="2:16">
      <c r="B40" t="s">
        <v>295</v>
      </c>
      <c r="C40" s="8" t="s">
        <v>38</v>
      </c>
      <c r="D40" s="14">
        <v>812</v>
      </c>
      <c r="E40" s="14">
        <v>940</v>
      </c>
      <c r="F40" s="14">
        <v>1255</v>
      </c>
      <c r="G40" s="14">
        <v>1653</v>
      </c>
      <c r="H40" s="14">
        <v>1858</v>
      </c>
      <c r="I40" s="14">
        <v>2466</v>
      </c>
      <c r="J40" s="15">
        <v>3338</v>
      </c>
      <c r="K40" s="23">
        <f>Assumptions!J39</f>
        <v>2551.6000000000004</v>
      </c>
      <c r="L40" s="23">
        <f>Assumptions!K39</f>
        <v>2619.7400000000007</v>
      </c>
      <c r="M40" s="23">
        <f>Assumptions!L39</f>
        <v>2579.5760000000009</v>
      </c>
      <c r="N40" s="23">
        <f>Assumptions!M39</f>
        <v>2653.3124000000007</v>
      </c>
      <c r="O40" s="188">
        <f>Assumptions!N39</f>
        <v>2686.1317600000007</v>
      </c>
    </row>
    <row r="41" spans="2:16" ht="14.95" thickBot="1">
      <c r="B41" t="s">
        <v>295</v>
      </c>
      <c r="C41" s="334" t="s">
        <v>39</v>
      </c>
      <c r="D41" s="332">
        <v>123</v>
      </c>
      <c r="E41" s="332">
        <v>0</v>
      </c>
      <c r="F41" s="332">
        <v>0</v>
      </c>
      <c r="G41" s="332">
        <v>725</v>
      </c>
      <c r="H41" s="332">
        <v>468</v>
      </c>
      <c r="I41" s="332">
        <v>2060</v>
      </c>
      <c r="J41" s="22">
        <v>1303</v>
      </c>
      <c r="K41" s="332">
        <f>Assumptions!J40</f>
        <v>1258.5</v>
      </c>
      <c r="L41" s="332">
        <f>Assumptions!K40</f>
        <v>1219.5999999999999</v>
      </c>
      <c r="M41" s="332">
        <f>Assumptions!L40</f>
        <v>1248.49</v>
      </c>
      <c r="N41" s="332">
        <f>Assumptions!M40</f>
        <v>1327.4259999999999</v>
      </c>
      <c r="O41" s="333">
        <f>Assumptions!N40</f>
        <v>1283.6273999999999</v>
      </c>
    </row>
    <row r="42" spans="2:16" ht="15.65" thickTop="1" thickBot="1">
      <c r="C42" s="271" t="s">
        <v>40</v>
      </c>
      <c r="D42" s="71">
        <f t="shared" ref="D42:J42" si="8">SUM(D37:D41)</f>
        <v>6732</v>
      </c>
      <c r="E42" s="71">
        <f t="shared" si="8"/>
        <v>4754</v>
      </c>
      <c r="F42" s="71">
        <f t="shared" si="8"/>
        <v>3118</v>
      </c>
      <c r="G42" s="71">
        <f t="shared" si="8"/>
        <v>9717</v>
      </c>
      <c r="H42" s="71">
        <f t="shared" si="8"/>
        <v>9460</v>
      </c>
      <c r="I42" s="71">
        <f t="shared" si="8"/>
        <v>22561</v>
      </c>
      <c r="J42" s="72">
        <f t="shared" si="8"/>
        <v>20057</v>
      </c>
      <c r="K42" s="73">
        <f>SUM(K37:K41)</f>
        <v>19226.832306809705</v>
      </c>
      <c r="L42" s="73">
        <f t="shared" ref="L42:O42" si="9">SUM(L37:L41)</f>
        <v>20501.159811708447</v>
      </c>
      <c r="M42" s="73">
        <f t="shared" si="9"/>
        <v>21275.470145696949</v>
      </c>
      <c r="N42" s="73">
        <f t="shared" si="9"/>
        <v>22728.266925611802</v>
      </c>
      <c r="O42" s="74">
        <f t="shared" si="9"/>
        <v>23226.042150949743</v>
      </c>
    </row>
    <row r="43" spans="2:16">
      <c r="C43" s="9" t="s">
        <v>41</v>
      </c>
      <c r="D43" s="16"/>
      <c r="E43" s="17"/>
      <c r="F43" s="17"/>
      <c r="G43" s="17"/>
      <c r="H43" s="17"/>
      <c r="I43" s="17"/>
      <c r="J43" s="18"/>
      <c r="K43" s="42"/>
      <c r="L43" s="42"/>
      <c r="M43" s="42"/>
      <c r="N43" s="42"/>
      <c r="O43" s="43"/>
    </row>
    <row r="44" spans="2:16" s="401" customFormat="1">
      <c r="B44" s="401" t="s">
        <v>294</v>
      </c>
      <c r="C44" s="402" t="s">
        <v>42</v>
      </c>
      <c r="D44" s="420">
        <v>547</v>
      </c>
      <c r="E44" s="405">
        <v>1067</v>
      </c>
      <c r="F44" s="405">
        <v>818</v>
      </c>
      <c r="G44" s="405">
        <v>1072</v>
      </c>
      <c r="H44" s="405">
        <v>1346</v>
      </c>
      <c r="I44" s="405">
        <v>1157</v>
      </c>
      <c r="J44" s="406">
        <v>1825</v>
      </c>
      <c r="K44" s="404">
        <f>Schedules_Populated!J12</f>
        <v>2089.1950407650247</v>
      </c>
      <c r="L44" s="404">
        <f>Schedules_Populated!K12</f>
        <v>2568.4234850322291</v>
      </c>
      <c r="M44" s="404">
        <f>Schedules_Populated!L12</f>
        <v>2972.5451881579665</v>
      </c>
      <c r="N44" s="404">
        <f>Schedules_Populated!M12</f>
        <v>3485.582147173558</v>
      </c>
      <c r="O44" s="407">
        <f>Schedules_Populated!N12</f>
        <v>4200.9431365315359</v>
      </c>
    </row>
    <row r="45" spans="2:16" s="401" customFormat="1">
      <c r="B45" s="401" t="s">
        <v>294</v>
      </c>
      <c r="C45" s="402" t="s">
        <v>34</v>
      </c>
      <c r="D45" s="403"/>
      <c r="E45" s="404"/>
      <c r="F45" s="404"/>
      <c r="G45" s="404"/>
      <c r="H45" s="404"/>
      <c r="I45" s="404"/>
      <c r="J45" s="406"/>
      <c r="K45" s="404"/>
      <c r="L45" s="404"/>
      <c r="M45" s="404"/>
      <c r="N45" s="404"/>
      <c r="O45" s="407"/>
    </row>
    <row r="46" spans="2:16" s="401" customFormat="1">
      <c r="B46" s="401" t="s">
        <v>294</v>
      </c>
      <c r="C46" s="411" t="s">
        <v>35</v>
      </c>
      <c r="D46" s="403">
        <v>6855</v>
      </c>
      <c r="E46" s="404">
        <v>6012</v>
      </c>
      <c r="F46" s="404">
        <v>6916</v>
      </c>
      <c r="G46" s="404">
        <v>10972</v>
      </c>
      <c r="H46" s="404">
        <v>17340</v>
      </c>
      <c r="I46" s="404">
        <v>35477</v>
      </c>
      <c r="J46" s="406">
        <v>33792</v>
      </c>
      <c r="K46" s="404">
        <f>Schedules_Populated!J14</f>
        <v>36844.36019075886</v>
      </c>
      <c r="L46" s="404">
        <f>Schedules_Populated!K14</f>
        <v>38308.875338105252</v>
      </c>
      <c r="M46" s="404">
        <f>Schedules_Populated!L14</f>
        <v>40354.523758910407</v>
      </c>
      <c r="N46" s="404">
        <f>Schedules_Populated!M14</f>
        <v>41847.474248374725</v>
      </c>
      <c r="O46" s="407">
        <f>Schedules_Populated!N14</f>
        <v>44150.193678788986</v>
      </c>
    </row>
    <row r="47" spans="2:16" s="401" customFormat="1">
      <c r="B47" s="401" t="s">
        <v>294</v>
      </c>
      <c r="C47" s="411" t="s">
        <v>36</v>
      </c>
      <c r="D47" s="403">
        <v>1456</v>
      </c>
      <c r="E47" s="404">
        <v>1582</v>
      </c>
      <c r="F47" s="404">
        <v>1816</v>
      </c>
      <c r="G47" s="404">
        <v>1422</v>
      </c>
      <c r="H47" s="404">
        <v>1792</v>
      </c>
      <c r="I47" s="404">
        <v>1859</v>
      </c>
      <c r="J47" s="406">
        <v>2412</v>
      </c>
      <c r="K47" s="404">
        <f>Schedules_Populated!J15</f>
        <v>2652.6575024314338</v>
      </c>
      <c r="L47" s="404">
        <f>Schedules_Populated!K15</f>
        <v>2646.2723501863006</v>
      </c>
      <c r="M47" s="404">
        <f>Schedules_Populated!L15</f>
        <v>2658.6149703926385</v>
      </c>
      <c r="N47" s="404">
        <f>Schedules_Populated!M15</f>
        <v>2826.7570447634616</v>
      </c>
      <c r="O47" s="407">
        <f>Schedules_Populated!N15</f>
        <v>3048.013159948749</v>
      </c>
    </row>
    <row r="48" spans="2:16" s="401" customFormat="1">
      <c r="B48" s="401" t="s">
        <v>294</v>
      </c>
      <c r="C48" s="411" t="s">
        <v>43</v>
      </c>
      <c r="D48" s="420">
        <v>2498</v>
      </c>
      <c r="E48" s="405">
        <v>2878</v>
      </c>
      <c r="F48" s="405">
        <v>3442</v>
      </c>
      <c r="G48" s="405">
        <v>4101</v>
      </c>
      <c r="H48" s="405">
        <v>6072</v>
      </c>
      <c r="I48" s="405">
        <f>6969+83</f>
        <v>7052</v>
      </c>
      <c r="J48" s="406">
        <f>165+7750</f>
        <v>7915</v>
      </c>
      <c r="K48" s="404">
        <f>Schedules_Populated!J16</f>
        <v>9767.66232220028</v>
      </c>
      <c r="L48" s="404">
        <f>Schedules_Populated!K16</f>
        <v>11690.459331262589</v>
      </c>
      <c r="M48" s="404">
        <f>Schedules_Populated!L16</f>
        <v>13902.791530637469</v>
      </c>
      <c r="N48" s="404">
        <f>Schedules_Populated!M16</f>
        <v>16415.836890539416</v>
      </c>
      <c r="O48" s="407">
        <f>Schedules_Populated!N16</f>
        <v>19498.755818644273</v>
      </c>
    </row>
    <row r="49" spans="2:16" s="401" customFormat="1">
      <c r="B49" s="401" t="s">
        <v>294</v>
      </c>
      <c r="C49" s="411" t="s">
        <v>44</v>
      </c>
      <c r="D49" s="420">
        <v>30008</v>
      </c>
      <c r="E49" s="405">
        <v>29930</v>
      </c>
      <c r="F49" s="405">
        <v>6397</v>
      </c>
      <c r="G49" s="405">
        <v>6874</v>
      </c>
      <c r="H49" s="405">
        <v>5788</v>
      </c>
      <c r="I49" s="405">
        <v>7428</v>
      </c>
      <c r="J49" s="406">
        <v>5810</v>
      </c>
      <c r="K49" s="404">
        <f>Schedules_Populated!J17</f>
        <v>10384.967762133203</v>
      </c>
      <c r="L49" s="404">
        <f>Schedules_Populated!K17</f>
        <v>11914.76611911894</v>
      </c>
      <c r="M49" s="404">
        <f>Schedules_Populated!L17</f>
        <v>13914.938826845657</v>
      </c>
      <c r="N49" s="404">
        <f>Schedules_Populated!M17</f>
        <v>16282.268772682031</v>
      </c>
      <c r="O49" s="407">
        <f>Schedules_Populated!N17</f>
        <v>19097.363602369711</v>
      </c>
    </row>
    <row r="50" spans="2:16" s="401" customFormat="1">
      <c r="B50" s="401" t="s">
        <v>294</v>
      </c>
      <c r="C50" s="402" t="s">
        <v>38</v>
      </c>
      <c r="D50" s="420">
        <v>820</v>
      </c>
      <c r="E50" s="405">
        <v>998</v>
      </c>
      <c r="F50" s="405">
        <v>1246</v>
      </c>
      <c r="G50" s="405">
        <v>1508</v>
      </c>
      <c r="H50" s="405">
        <v>1458</v>
      </c>
      <c r="I50" s="405">
        <v>1775</v>
      </c>
      <c r="J50" s="406">
        <v>2136</v>
      </c>
      <c r="K50" s="404">
        <f>Schedules_Populated!J18</f>
        <v>2741.1090156672421</v>
      </c>
      <c r="L50" s="404">
        <f>Schedules_Populated!K18</f>
        <v>3266.052351645104</v>
      </c>
      <c r="M50" s="404">
        <f>Schedules_Populated!L18</f>
        <v>3779.0668810944458</v>
      </c>
      <c r="N50" s="404">
        <f>Schedules_Populated!M18</f>
        <v>4478.418307490133</v>
      </c>
      <c r="O50" s="407">
        <f>Schedules_Populated!N18</f>
        <v>5336.1584152437363</v>
      </c>
    </row>
    <row r="51" spans="2:16" s="401" customFormat="1" ht="14.95" thickBot="1">
      <c r="B51" s="401" t="s">
        <v>294</v>
      </c>
      <c r="C51" s="415" t="s">
        <v>45</v>
      </c>
      <c r="D51" s="421">
        <v>671</v>
      </c>
      <c r="E51" s="422">
        <v>736</v>
      </c>
      <c r="F51" s="422">
        <v>531</v>
      </c>
      <c r="G51" s="422">
        <v>1930</v>
      </c>
      <c r="H51" s="422">
        <f>2426+239</f>
        <v>2665</v>
      </c>
      <c r="I51" s="422">
        <f>2375+517</f>
        <v>2892</v>
      </c>
      <c r="J51" s="418">
        <f>12+2796</f>
        <v>2808</v>
      </c>
      <c r="K51" s="417">
        <f>Schedules_Populated!J19</f>
        <v>3643.1512323588804</v>
      </c>
      <c r="L51" s="417">
        <f>Schedules_Populated!K19</f>
        <v>4545.9113081083924</v>
      </c>
      <c r="M51" s="417">
        <f>Schedules_Populated!L19</f>
        <v>5400.1657549166603</v>
      </c>
      <c r="N51" s="417">
        <f>Schedules_Populated!M19</f>
        <v>6334.4735083686273</v>
      </c>
      <c r="O51" s="419">
        <f>Schedules_Populated!N19</f>
        <v>7460.9416501722708</v>
      </c>
    </row>
    <row r="52" spans="2:16" ht="15.65" thickTop="1" thickBot="1">
      <c r="C52" s="70" t="s">
        <v>46</v>
      </c>
      <c r="D52" s="71">
        <f t="shared" ref="D52:J52" si="10">SUM(D44:D51)</f>
        <v>42855</v>
      </c>
      <c r="E52" s="71">
        <f t="shared" si="10"/>
        <v>43203</v>
      </c>
      <c r="F52" s="71">
        <f t="shared" si="10"/>
        <v>21166</v>
      </c>
      <c r="G52" s="71">
        <f t="shared" si="10"/>
        <v>27879</v>
      </c>
      <c r="H52" s="71">
        <f t="shared" si="10"/>
        <v>36461</v>
      </c>
      <c r="I52" s="71">
        <f t="shared" si="10"/>
        <v>57640</v>
      </c>
      <c r="J52" s="72">
        <f t="shared" si="10"/>
        <v>56698</v>
      </c>
      <c r="K52" s="73">
        <f>SUM(K44:K51)</f>
        <v>68123.103066314929</v>
      </c>
      <c r="L52" s="73">
        <f t="shared" ref="L52:O52" si="11">SUM(L44:L51)</f>
        <v>74940.760283458803</v>
      </c>
      <c r="M52" s="73">
        <f t="shared" si="11"/>
        <v>82982.646910955242</v>
      </c>
      <c r="N52" s="73">
        <f t="shared" si="11"/>
        <v>91670.810919391952</v>
      </c>
      <c r="O52" s="74">
        <f t="shared" si="11"/>
        <v>102792.36946169927</v>
      </c>
      <c r="P52" s="14"/>
    </row>
    <row r="53" spans="2:16" ht="14.95" thickBot="1">
      <c r="C53" s="70" t="s">
        <v>47</v>
      </c>
      <c r="D53" s="71">
        <f t="shared" ref="D53:J53" si="12">D42+D52</f>
        <v>49587</v>
      </c>
      <c r="E53" s="71">
        <f t="shared" si="12"/>
        <v>47957</v>
      </c>
      <c r="F53" s="71">
        <f t="shared" si="12"/>
        <v>24284</v>
      </c>
      <c r="G53" s="71">
        <f t="shared" si="12"/>
        <v>37596</v>
      </c>
      <c r="H53" s="71">
        <f t="shared" si="12"/>
        <v>45921</v>
      </c>
      <c r="I53" s="71">
        <f t="shared" si="12"/>
        <v>80201</v>
      </c>
      <c r="J53" s="72">
        <f t="shared" si="12"/>
        <v>76755</v>
      </c>
      <c r="K53" s="73">
        <f>K42+K52</f>
        <v>87349.935373124637</v>
      </c>
      <c r="L53" s="73">
        <f t="shared" ref="L53:O53" si="13">L42+L52</f>
        <v>95441.920095167254</v>
      </c>
      <c r="M53" s="73">
        <f t="shared" si="13"/>
        <v>104258.11705665219</v>
      </c>
      <c r="N53" s="73">
        <f t="shared" si="13"/>
        <v>114399.07784500375</v>
      </c>
      <c r="O53" s="74">
        <f t="shared" si="13"/>
        <v>126018.41161264901</v>
      </c>
    </row>
    <row r="54" spans="2:16" ht="14.95" thickBot="1">
      <c r="C54" s="70" t="s">
        <v>48</v>
      </c>
      <c r="D54" s="71">
        <f t="shared" ref="D54:J54" si="14">D33+D53</f>
        <v>38699</v>
      </c>
      <c r="E54" s="71">
        <f t="shared" si="14"/>
        <v>41352</v>
      </c>
      <c r="F54" s="71">
        <f t="shared" si="14"/>
        <v>50815</v>
      </c>
      <c r="G54" s="71">
        <f t="shared" si="14"/>
        <v>92195</v>
      </c>
      <c r="H54" s="71">
        <f t="shared" si="14"/>
        <v>112501</v>
      </c>
      <c r="I54" s="71">
        <f t="shared" si="14"/>
        <v>164083</v>
      </c>
      <c r="J54" s="72">
        <f t="shared" si="14"/>
        <v>224779</v>
      </c>
      <c r="K54" s="73">
        <f>K33+K53</f>
        <v>263571.61938530381</v>
      </c>
      <c r="L54" s="73">
        <f t="shared" ref="L54:O54" si="15">L33+L53</f>
        <v>310473.63502284884</v>
      </c>
      <c r="M54" s="73">
        <f t="shared" si="15"/>
        <v>369169.09801674401</v>
      </c>
      <c r="N54" s="73">
        <f t="shared" si="15"/>
        <v>445097.72798479884</v>
      </c>
      <c r="O54" s="74">
        <f t="shared" si="15"/>
        <v>542418.26629230496</v>
      </c>
    </row>
    <row r="55" spans="2:16" ht="14.95" thickBot="1">
      <c r="C55" s="12"/>
      <c r="D55" s="20"/>
      <c r="E55" s="21"/>
      <c r="F55" s="21"/>
      <c r="G55" s="21"/>
      <c r="H55" s="21"/>
      <c r="I55" s="21"/>
      <c r="J55" s="22"/>
      <c r="K55" s="45"/>
      <c r="L55" s="45"/>
      <c r="M55" s="45"/>
      <c r="N55" s="45"/>
      <c r="O55" s="63"/>
    </row>
    <row r="56" spans="2:16" ht="15.65" thickTop="1" thickBot="1">
      <c r="C56" s="70" t="s">
        <v>49</v>
      </c>
      <c r="D56" s="71">
        <f t="shared" ref="D56:J56" si="16">D27-D54</f>
        <v>0</v>
      </c>
      <c r="E56" s="71">
        <f t="shared" si="16"/>
        <v>0</v>
      </c>
      <c r="F56" s="71">
        <f t="shared" si="16"/>
        <v>0</v>
      </c>
      <c r="G56" s="71">
        <f>G27-G54</f>
        <v>0</v>
      </c>
      <c r="H56" s="71">
        <f t="shared" si="16"/>
        <v>0</v>
      </c>
      <c r="I56" s="71">
        <f t="shared" si="16"/>
        <v>0</v>
      </c>
      <c r="J56" s="72">
        <f t="shared" si="16"/>
        <v>0</v>
      </c>
      <c r="K56" s="73">
        <f>K27-K54</f>
        <v>0</v>
      </c>
      <c r="L56" s="73">
        <f t="shared" ref="L56:O56" si="17">L27-L54</f>
        <v>0</v>
      </c>
      <c r="M56" s="73">
        <f t="shared" si="17"/>
        <v>0</v>
      </c>
      <c r="N56" s="73">
        <f t="shared" si="17"/>
        <v>0</v>
      </c>
      <c r="O56" s="74">
        <f t="shared" si="17"/>
        <v>0</v>
      </c>
    </row>
    <row r="58" spans="2:16">
      <c r="K58" s="14"/>
    </row>
    <row r="62" spans="2:16">
      <c r="G62" s="25"/>
    </row>
    <row r="66" spans="7:10">
      <c r="H66" s="190"/>
      <c r="I66" s="190"/>
      <c r="J66" s="190"/>
    </row>
    <row r="67" spans="7:10">
      <c r="H67" s="190"/>
      <c r="I67" s="190"/>
    </row>
    <row r="69" spans="7:10">
      <c r="H69" s="190"/>
      <c r="I69" s="190"/>
    </row>
    <row r="80" spans="7:10">
      <c r="G80" s="25"/>
      <c r="H80" s="14"/>
      <c r="I80" s="14"/>
    </row>
    <row r="81" spans="7:9">
      <c r="H81" s="14"/>
      <c r="I81" s="14"/>
    </row>
    <row r="83" spans="7:9">
      <c r="G83" s="25"/>
      <c r="H83" s="14"/>
      <c r="I8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03EB-825F-4350-A78B-B2FF9C00EC6E}">
  <dimension ref="A1:I20"/>
  <sheetViews>
    <sheetView showGridLines="0" zoomScaleNormal="100" workbookViewId="0">
      <selection activeCell="P21" sqref="H4:P21"/>
    </sheetView>
  </sheetViews>
  <sheetFormatPr defaultRowHeight="14.3"/>
  <cols>
    <col min="1" max="1" width="61" bestFit="1" customWidth="1"/>
    <col min="2" max="6" width="10.25" customWidth="1"/>
  </cols>
  <sheetData>
    <row r="1" spans="1:9" ht="14.95" thickBot="1">
      <c r="A1" s="6" t="s">
        <v>160</v>
      </c>
      <c r="B1" s="3" t="s">
        <v>161</v>
      </c>
      <c r="C1" s="3" t="s">
        <v>162</v>
      </c>
      <c r="D1" s="3" t="s">
        <v>163</v>
      </c>
      <c r="E1" s="3" t="s">
        <v>179</v>
      </c>
      <c r="F1" s="5" t="s">
        <v>249</v>
      </c>
    </row>
    <row r="2" spans="1:9" s="401" customFormat="1">
      <c r="A2" s="412" t="s">
        <v>164</v>
      </c>
      <c r="B2" s="413">
        <f>'Profit &amp; Loss Statement'!J25</f>
        <v>28197.684012179179</v>
      </c>
      <c r="C2" s="413">
        <f>'Profit &amp; Loss Statement'!K25</f>
        <v>38810.030915502401</v>
      </c>
      <c r="D2" s="413">
        <f>'Profit &amp; Loss Statement'!L25</f>
        <v>49879.266032410247</v>
      </c>
      <c r="E2" s="413">
        <f>'Profit &amp; Loss Statement'!M25</f>
        <v>65787.669179703284</v>
      </c>
      <c r="F2" s="414">
        <f>'Profit &amp; Loss Statement'!N25</f>
        <v>85701.204539860875</v>
      </c>
    </row>
    <row r="3" spans="1:9" s="401" customFormat="1">
      <c r="A3" s="408" t="s">
        <v>165</v>
      </c>
      <c r="B3" s="409">
        <f>'Profit &amp; Loss Statement'!J12</f>
        <v>3567.540214722525</v>
      </c>
      <c r="C3" s="409">
        <f>'Profit &amp; Loss Statement'!K12</f>
        <v>4041.3323141675214</v>
      </c>
      <c r="D3" s="409">
        <f>'Profit &amp; Loss Statement'!L12</f>
        <v>4093.6047811331168</v>
      </c>
      <c r="E3" s="409">
        <f>'Profit &amp; Loss Statement'!M12</f>
        <v>4384.6669493077015</v>
      </c>
      <c r="F3" s="410">
        <f>'Profit &amp; Loss Statement'!N12</f>
        <v>4547.6961542517993</v>
      </c>
    </row>
    <row r="4" spans="1:9" s="401" customFormat="1">
      <c r="A4" s="408" t="s">
        <v>166</v>
      </c>
      <c r="B4" s="409">
        <f>'Profit &amp; Loss Statement'!J11</f>
        <v>6419.1049734354983</v>
      </c>
      <c r="C4" s="409">
        <f>'Profit &amp; Loss Statement'!K11</f>
        <v>7697.2464628075249</v>
      </c>
      <c r="D4" s="409">
        <f>'Profit &amp; Loss Statement'!L11</f>
        <v>9109.1413861320398</v>
      </c>
      <c r="E4" s="409">
        <f>'Profit &amp; Loss Statement'!M11</f>
        <v>11003.808847167211</v>
      </c>
      <c r="F4" s="410">
        <f>'Profit &amp; Loss Statement'!N11</f>
        <v>13106.843483438101</v>
      </c>
      <c r="H4" s="405"/>
    </row>
    <row r="5" spans="1:9" s="401" customFormat="1">
      <c r="A5" s="408" t="s">
        <v>167</v>
      </c>
      <c r="B5" s="409">
        <f>-Schedules_Populated!J22</f>
        <v>4973.2445165954268</v>
      </c>
      <c r="C5" s="409">
        <f>-Schedules_Populated!K22</f>
        <v>-28783.938889491968</v>
      </c>
      <c r="D5" s="409">
        <f>-Schedules_Populated!L22</f>
        <v>-27707.136042407627</v>
      </c>
      <c r="E5" s="409">
        <f>-Schedules_Populated!M22</f>
        <v>-43060.569160788524</v>
      </c>
      <c r="F5" s="410">
        <f>-Schedules_Populated!N22</f>
        <v>-41756.35510173309</v>
      </c>
    </row>
    <row r="6" spans="1:9">
      <c r="A6" s="344" t="s">
        <v>168</v>
      </c>
      <c r="B6" s="345">
        <f>SUM(B2:B5)</f>
        <v>43157.573716932631</v>
      </c>
      <c r="C6" s="345">
        <f t="shared" ref="C6:F6" si="0">SUM(C2:C5)</f>
        <v>21764.670802985478</v>
      </c>
      <c r="D6" s="345">
        <f t="shared" si="0"/>
        <v>35374.876157267776</v>
      </c>
      <c r="E6" s="345">
        <f t="shared" si="0"/>
        <v>38115.575815389675</v>
      </c>
      <c r="F6" s="346">
        <f t="shared" si="0"/>
        <v>61599.389075817686</v>
      </c>
    </row>
    <row r="7" spans="1:9">
      <c r="A7" s="183"/>
      <c r="B7" s="184"/>
      <c r="C7" s="184"/>
      <c r="D7" s="184"/>
      <c r="E7" s="184"/>
      <c r="F7" s="185"/>
    </row>
    <row r="8" spans="1:9" s="356" customFormat="1">
      <c r="A8" s="398" t="s">
        <v>169</v>
      </c>
      <c r="B8" s="399">
        <f>SUM('Balance Sheet'!J6:J7,'Balance Sheet'!J9,'Balance Sheet'!J12:J16,'Balance Sheet'!K31,'Balance Sheet'!K39:K41)-SUM('Balance Sheet'!K6:K7,'Balance Sheet'!K9,'Balance Sheet'!K12:K16,'Balance Sheet'!J31,'Balance Sheet'!J39:J41)</f>
        <v>-1904.5999999999985</v>
      </c>
      <c r="C8" s="399">
        <f>SUM('Balance Sheet'!K6:K7,'Balance Sheet'!K9,'Balance Sheet'!K12:K16,'Balance Sheet'!L31,'Balance Sheet'!L39:L41)-SUM('Balance Sheet'!L6:L7,'Balance Sheet'!L9,'Balance Sheet'!L12:L16,'Balance Sheet'!K31,'Balance Sheet'!K39:K41)</f>
        <v>585.66000000000349</v>
      </c>
      <c r="D8" s="399">
        <f>SUM('Balance Sheet'!L6:L7,'Balance Sheet'!L9,'Balance Sheet'!L12:L16,'Balance Sheet'!M31,'Balance Sheet'!M39:M41)-SUM('Balance Sheet'!M6:M7,'Balance Sheet'!M9,'Balance Sheet'!M12:M16,'Balance Sheet'!L31,'Balance Sheet'!L39:L41)</f>
        <v>-395.71599999999671</v>
      </c>
      <c r="E8" s="399">
        <f>SUM('Balance Sheet'!M6:M7,'Balance Sheet'!M9,'Balance Sheet'!M12:M16,'Balance Sheet'!N31,'Balance Sheet'!N39:N41)-SUM('Balance Sheet'!N6:N7,'Balance Sheet'!N9,'Balance Sheet'!N12:N16,'Balance Sheet'!M31,'Balance Sheet'!M39:M41)</f>
        <v>-201.14840000000186</v>
      </c>
      <c r="F8" s="400">
        <f>SUM('Balance Sheet'!N6:N7,'Balance Sheet'!N9,'Balance Sheet'!N12:N16,'Balance Sheet'!O31,'Balance Sheet'!O39:O41)-SUM('Balance Sheet'!O6:O7,'Balance Sheet'!O9,'Balance Sheet'!O12:O16,'Balance Sheet'!N31,'Balance Sheet'!N39:N41)</f>
        <v>312.73184000000037</v>
      </c>
    </row>
    <row r="9" spans="1:9" s="401" customFormat="1">
      <c r="A9" s="408" t="s">
        <v>170</v>
      </c>
      <c r="B9" s="409">
        <f>-Schedules_Populated!J106</f>
        <v>-8743.5</v>
      </c>
      <c r="C9" s="409">
        <f>-Schedules_Populated!K106</f>
        <v>-9628.6574601532466</v>
      </c>
      <c r="D9" s="409">
        <f>-Schedules_Populated!L106</f>
        <v>-11545.869694211287</v>
      </c>
      <c r="E9" s="409">
        <f>-Schedules_Populated!M106</f>
        <v>-13663.71207919806</v>
      </c>
      <c r="F9" s="410">
        <f>-Schedules_Populated!N106</f>
        <v>-16505.713270750817</v>
      </c>
    </row>
    <row r="10" spans="1:9">
      <c r="A10" s="344" t="s">
        <v>171</v>
      </c>
      <c r="B10" s="345">
        <f>B9+B8</f>
        <v>-10648.099999999999</v>
      </c>
      <c r="C10" s="345">
        <f t="shared" ref="C10:F10" si="1">C9+C8</f>
        <v>-9042.9974601532431</v>
      </c>
      <c r="D10" s="345">
        <f t="shared" si="1"/>
        <v>-11941.585694211284</v>
      </c>
      <c r="E10" s="345">
        <f t="shared" si="1"/>
        <v>-13864.860479198062</v>
      </c>
      <c r="F10" s="346">
        <f t="shared" si="1"/>
        <v>-16192.981430750817</v>
      </c>
      <c r="I10" s="25"/>
    </row>
    <row r="11" spans="1:9">
      <c r="A11" s="183"/>
      <c r="B11" s="184"/>
      <c r="C11" s="184"/>
      <c r="D11" s="184"/>
      <c r="E11" s="184"/>
      <c r="F11" s="185"/>
    </row>
    <row r="12" spans="1:9" s="401" customFormat="1">
      <c r="A12" s="408" t="s">
        <v>172</v>
      </c>
      <c r="B12" s="409">
        <f>'Balance Sheet'!K30-'Balance Sheet'!J30</f>
        <v>0</v>
      </c>
      <c r="C12" s="409">
        <f>'Balance Sheet'!L30-'Balance Sheet'!K30</f>
        <v>0</v>
      </c>
      <c r="D12" s="409">
        <f>'Balance Sheet'!M30-'Balance Sheet'!L30</f>
        <v>0</v>
      </c>
      <c r="E12" s="409">
        <f>'Balance Sheet'!N30-'Balance Sheet'!M30</f>
        <v>0</v>
      </c>
      <c r="F12" s="410">
        <f>'Balance Sheet'!O30-'Balance Sheet'!N30</f>
        <v>0</v>
      </c>
    </row>
    <row r="13" spans="1:9" s="401" customFormat="1">
      <c r="A13" s="408" t="s">
        <v>296</v>
      </c>
      <c r="B13" s="409">
        <f>Schedules_Populated!J61+Schedules_Populated!J66</f>
        <v>-732.06769319029445</v>
      </c>
      <c r="C13" s="409">
        <f>Schedules_Populated!K61+Schedules_Populated!K66</f>
        <v>1230.8675048987407</v>
      </c>
      <c r="D13" s="409">
        <f>Schedules_Populated!L61+Schedules_Populated!L66</f>
        <v>765.45633398849805</v>
      </c>
      <c r="E13" s="409">
        <f>Schedules_Populated!M61+Schedules_Populated!M66</f>
        <v>1303.5271799148577</v>
      </c>
      <c r="F13" s="410">
        <f>Schedules_Populated!N61+Schedules_Populated!N66</f>
        <v>588.87518533794082</v>
      </c>
    </row>
    <row r="14" spans="1:9" s="401" customFormat="1">
      <c r="A14" s="408" t="s">
        <v>173</v>
      </c>
      <c r="B14" s="409">
        <f>-B3</f>
        <v>-3567.540214722525</v>
      </c>
      <c r="C14" s="409">
        <f t="shared" ref="C14:F14" si="2">-C3</f>
        <v>-4041.3323141675214</v>
      </c>
      <c r="D14" s="409">
        <f t="shared" si="2"/>
        <v>-4093.6047811331168</v>
      </c>
      <c r="E14" s="409">
        <f t="shared" si="2"/>
        <v>-4384.6669493077015</v>
      </c>
      <c r="F14" s="410">
        <f t="shared" si="2"/>
        <v>-4547.6961542517993</v>
      </c>
    </row>
    <row r="15" spans="1:9" s="401" customFormat="1">
      <c r="A15" s="408" t="s">
        <v>174</v>
      </c>
      <c r="B15" s="409">
        <v>0</v>
      </c>
      <c r="C15" s="409">
        <v>0</v>
      </c>
      <c r="D15" s="409">
        <v>0</v>
      </c>
      <c r="E15" s="409">
        <v>0</v>
      </c>
      <c r="F15" s="410">
        <v>0</v>
      </c>
    </row>
    <row r="16" spans="1:9">
      <c r="A16" s="344" t="s">
        <v>175</v>
      </c>
      <c r="B16" s="345">
        <f>SUM(B12:B15)</f>
        <v>-4299.6079079128194</v>
      </c>
      <c r="C16" s="345">
        <f t="shared" ref="C16:F16" si="3">SUM(C12:C15)</f>
        <v>-2810.4648092687808</v>
      </c>
      <c r="D16" s="345">
        <f t="shared" si="3"/>
        <v>-3328.1484471446188</v>
      </c>
      <c r="E16" s="345">
        <f t="shared" si="3"/>
        <v>-3081.1397693928438</v>
      </c>
      <c r="F16" s="346">
        <f t="shared" si="3"/>
        <v>-3958.8209689138585</v>
      </c>
    </row>
    <row r="17" spans="1:6">
      <c r="A17" s="183"/>
      <c r="B17" s="184"/>
      <c r="C17" s="184"/>
      <c r="D17" s="184"/>
      <c r="E17" s="184"/>
      <c r="F17" s="185"/>
    </row>
    <row r="18" spans="1:6">
      <c r="A18" s="180" t="s">
        <v>176</v>
      </c>
      <c r="B18" s="181">
        <f>B16+B10+B6</f>
        <v>28209.865809019815</v>
      </c>
      <c r="C18" s="181">
        <f t="shared" ref="C18:F18" si="4">C16+C10+C6</f>
        <v>9911.2085335634547</v>
      </c>
      <c r="D18" s="181">
        <f t="shared" si="4"/>
        <v>20105.142015911872</v>
      </c>
      <c r="E18" s="181">
        <f t="shared" si="4"/>
        <v>21169.575566798769</v>
      </c>
      <c r="F18" s="182">
        <f t="shared" si="4"/>
        <v>41447.586676153012</v>
      </c>
    </row>
    <row r="19" spans="1:6">
      <c r="A19" s="183" t="s">
        <v>177</v>
      </c>
      <c r="B19" s="184">
        <f>'Balance Sheet'!J22</f>
        <v>11470</v>
      </c>
      <c r="C19" s="184">
        <f>'Balance Sheet'!K22</f>
        <v>39679.865809019815</v>
      </c>
      <c r="D19" s="184">
        <f>'Balance Sheet'!L22</f>
        <v>49591.07434258327</v>
      </c>
      <c r="E19" s="184">
        <f>'Balance Sheet'!M22</f>
        <v>69696.216358495149</v>
      </c>
      <c r="F19" s="185">
        <f>'Balance Sheet'!N22</f>
        <v>90865.791925293917</v>
      </c>
    </row>
    <row r="20" spans="1:6" ht="14.95" thickBot="1">
      <c r="A20" s="347" t="s">
        <v>178</v>
      </c>
      <c r="B20" s="348">
        <f>SUM(B18:B19)</f>
        <v>39679.865809019815</v>
      </c>
      <c r="C20" s="348">
        <f t="shared" ref="C20:F20" si="5">SUM(C18:C19)</f>
        <v>49591.07434258327</v>
      </c>
      <c r="D20" s="348">
        <f t="shared" si="5"/>
        <v>69696.216358495149</v>
      </c>
      <c r="E20" s="348">
        <f t="shared" si="5"/>
        <v>90865.791925293917</v>
      </c>
      <c r="F20" s="349">
        <f t="shared" si="5"/>
        <v>132313.37860144692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C149-8F87-4453-9CD3-D0150DD1B400}">
  <dimension ref="A1:S126"/>
  <sheetViews>
    <sheetView showGridLines="0" topLeftCell="A91" zoomScale="90" zoomScaleNormal="90" workbookViewId="0">
      <selection activeCell="U9" sqref="U9"/>
    </sheetView>
  </sheetViews>
  <sheetFormatPr defaultRowHeight="14.3" outlineLevelCol="1"/>
  <cols>
    <col min="2" max="2" width="43.875" bestFit="1" customWidth="1"/>
    <col min="3" max="4" width="12.5" hidden="1" customWidth="1" outlineLevel="1"/>
    <col min="5" max="5" width="12.5" customWidth="1" collapsed="1"/>
    <col min="6" max="14" width="12.5" customWidth="1"/>
  </cols>
  <sheetData>
    <row r="1" spans="2:15" ht="14.95" thickBot="1"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2:15" ht="14.95" thickBot="1">
      <c r="B2" s="85" t="s">
        <v>101</v>
      </c>
      <c r="C2" s="86" t="s">
        <v>50</v>
      </c>
      <c r="D2" s="86" t="s">
        <v>51</v>
      </c>
      <c r="E2" s="86" t="s">
        <v>52</v>
      </c>
      <c r="F2" s="86" t="s">
        <v>53</v>
      </c>
      <c r="G2" s="86" t="s">
        <v>54</v>
      </c>
      <c r="H2" s="86" t="s">
        <v>159</v>
      </c>
      <c r="I2" s="307" t="s">
        <v>244</v>
      </c>
      <c r="J2" s="86" t="s">
        <v>55</v>
      </c>
      <c r="K2" s="86" t="s">
        <v>56</v>
      </c>
      <c r="L2" s="86" t="s">
        <v>57</v>
      </c>
      <c r="M2" s="86" t="s">
        <v>158</v>
      </c>
      <c r="N2" s="87" t="s">
        <v>245</v>
      </c>
    </row>
    <row r="3" spans="2:15">
      <c r="B3" s="88" t="s">
        <v>102</v>
      </c>
      <c r="C3" s="75"/>
      <c r="D3" s="75"/>
      <c r="E3" s="75"/>
      <c r="F3" s="75"/>
      <c r="G3" s="75"/>
      <c r="H3" s="75"/>
      <c r="I3" s="308"/>
      <c r="J3" s="75"/>
      <c r="K3" s="75"/>
      <c r="L3" s="75"/>
      <c r="M3" s="75"/>
      <c r="N3" s="76"/>
    </row>
    <row r="4" spans="2:15" ht="16.149999999999999" customHeight="1">
      <c r="B4" s="28" t="s">
        <v>17</v>
      </c>
      <c r="C4" s="42"/>
      <c r="D4" s="42"/>
      <c r="E4" s="42"/>
      <c r="F4" s="42"/>
      <c r="G4" s="42"/>
      <c r="H4" s="42"/>
      <c r="I4" s="131"/>
      <c r="J4" s="42"/>
      <c r="K4" s="42"/>
      <c r="L4" s="42"/>
      <c r="M4" s="42"/>
      <c r="N4" s="43"/>
    </row>
    <row r="5" spans="2:15" s="356" customFormat="1">
      <c r="B5" s="386" t="s">
        <v>18</v>
      </c>
      <c r="C5" s="381">
        <f>'Balance Sheet'!D20</f>
        <v>13862</v>
      </c>
      <c r="D5" s="381">
        <f>'Balance Sheet'!E20</f>
        <v>9815</v>
      </c>
      <c r="E5" s="381">
        <f>'Balance Sheet'!F20</f>
        <v>8337</v>
      </c>
      <c r="F5" s="381">
        <f>'Balance Sheet'!G20</f>
        <v>39148</v>
      </c>
      <c r="G5" s="381">
        <f>'Balance Sheet'!H20</f>
        <v>46400</v>
      </c>
      <c r="H5" s="381">
        <f>'Balance Sheet'!I20</f>
        <v>0</v>
      </c>
      <c r="I5" s="387">
        <f>'Balance Sheet'!J20</f>
        <v>0</v>
      </c>
      <c r="J5" s="381">
        <f>J25*'Profit &amp; Loss Statement'!J$5/365</f>
        <v>18149.901792367029</v>
      </c>
      <c r="K5" s="381">
        <f>K25*'Profit &amp; Loss Statement'!K$5/365</f>
        <v>20618.447631795261</v>
      </c>
      <c r="L5" s="381">
        <f>L25*'Profit &amp; Loss Statement'!L$5/365</f>
        <v>19907.643079057518</v>
      </c>
      <c r="M5" s="381">
        <f>M25*'Profit &amp; Loss Statement'!M$5/365</f>
        <v>23621.300607859888</v>
      </c>
      <c r="N5" s="382">
        <f>N25*'Profit &amp; Loss Statement'!N$5/365</f>
        <v>29549.855220292244</v>
      </c>
      <c r="O5" s="356" t="s">
        <v>288</v>
      </c>
    </row>
    <row r="6" spans="2:15">
      <c r="B6" s="89" t="s">
        <v>19</v>
      </c>
      <c r="C6" s="42">
        <f>'Balance Sheet'!D21</f>
        <v>9437</v>
      </c>
      <c r="D6" s="42">
        <f>'Balance Sheet'!E21</f>
        <v>12927</v>
      </c>
      <c r="E6" s="42">
        <f>'Balance Sheet'!F21</f>
        <v>11487</v>
      </c>
      <c r="F6" s="42">
        <f>'Balance Sheet'!G21</f>
        <v>12192</v>
      </c>
      <c r="G6" s="42">
        <f>'Balance Sheet'!H21</f>
        <v>16738</v>
      </c>
      <c r="H6" s="42">
        <f>'Balance Sheet'!I21</f>
        <v>21319</v>
      </c>
      <c r="I6" s="131">
        <f>'Balance Sheet'!J21</f>
        <v>25444</v>
      </c>
      <c r="J6" s="42">
        <f>J26*'Profit &amp; Loss Statement'!J$5/365</f>
        <v>30218.44389667736</v>
      </c>
      <c r="K6" s="42">
        <f>K26*'Profit &amp; Loss Statement'!K$5/365</f>
        <v>35913.643137623985</v>
      </c>
      <c r="L6" s="42">
        <f>L26*'Profit &amp; Loss Statement'!L$5/365</f>
        <v>42442.579111833453</v>
      </c>
      <c r="M6" s="42">
        <f>M26*'Profit &amp; Loss Statement'!M$5/365</f>
        <v>50486.794089404146</v>
      </c>
      <c r="N6" s="43">
        <f>N26*'Profit &amp; Loss Statement'!N$5/365</f>
        <v>60126.858349372662</v>
      </c>
    </row>
    <row r="7" spans="2:15">
      <c r="B7" s="89" t="s">
        <v>21</v>
      </c>
      <c r="C7" s="42">
        <f>'Balance Sheet'!D23</f>
        <v>273</v>
      </c>
      <c r="D7" s="42">
        <f>'Balance Sheet'!E23</f>
        <v>77</v>
      </c>
      <c r="E7" s="42">
        <f>'Balance Sheet'!F23</f>
        <v>100</v>
      </c>
      <c r="F7" s="42">
        <f>'Balance Sheet'!G23</f>
        <v>812</v>
      </c>
      <c r="G7" s="42">
        <f>'Balance Sheet'!H23</f>
        <v>4</v>
      </c>
      <c r="H7" s="42">
        <f>'Balance Sheet'!I23</f>
        <v>64</v>
      </c>
      <c r="I7" s="131">
        <f>'Balance Sheet'!J23</f>
        <v>37</v>
      </c>
      <c r="J7" s="42">
        <f>J27*'Profit &amp; Loss Statement'!J$5/365</f>
        <v>277.42624982885593</v>
      </c>
      <c r="K7" s="42">
        <f>K27*'Profit &amp; Loss Statement'!K$5/365</f>
        <v>402.29924754995284</v>
      </c>
      <c r="L7" s="42">
        <f>L27*'Profit &amp; Loss Statement'!L$5/365</f>
        <v>327.84039066135284</v>
      </c>
      <c r="M7" s="42">
        <f>M27*'Profit &amp; Loss Statement'!M$5/365</f>
        <v>395.06877084734646</v>
      </c>
      <c r="N7" s="43">
        <f>N27*'Profit &amp; Loss Statement'!N$5/365</f>
        <v>458.40026238931506</v>
      </c>
    </row>
    <row r="8" spans="2:15" s="356" customFormat="1">
      <c r="B8" s="386" t="s">
        <v>22</v>
      </c>
      <c r="C8" s="381">
        <f>'Balance Sheet'!D24</f>
        <v>1141</v>
      </c>
      <c r="D8" s="381">
        <f>'Balance Sheet'!E24</f>
        <v>7091</v>
      </c>
      <c r="E8" s="381">
        <f>'Balance Sheet'!F24</f>
        <v>19177</v>
      </c>
      <c r="F8" s="381">
        <f>'Balance Sheet'!G24</f>
        <v>12385</v>
      </c>
      <c r="G8" s="381">
        <f>'Balance Sheet'!H24</f>
        <v>19476</v>
      </c>
      <c r="H8" s="381">
        <f>'Balance Sheet'!I24</f>
        <v>74421</v>
      </c>
      <c r="I8" s="387">
        <f>'Balance Sheet'!J24</f>
        <v>136033</v>
      </c>
      <c r="J8" s="381">
        <f>J28*'Profit &amp; Loss Statement'!J$5/365</f>
        <v>118733.38916915098</v>
      </c>
      <c r="K8" s="381">
        <f>K28*'Profit &amp; Loss Statement'!K$5/365</f>
        <v>144969.95561927845</v>
      </c>
      <c r="L8" s="381">
        <f>L28*'Profit &amp; Loss Statement'!L$5/365</f>
        <v>173562.9874459925</v>
      </c>
      <c r="M8" s="381">
        <f>M28*'Profit &amp; Loss Statement'!M$5/365</f>
        <v>211978.60332108295</v>
      </c>
      <c r="N8" s="382">
        <f>N28*'Profit &amp; Loss Statement'!N$5/365</f>
        <v>247506.19831937493</v>
      </c>
      <c r="O8" s="356" t="s">
        <v>286</v>
      </c>
    </row>
    <row r="9" spans="2:15">
      <c r="B9" s="28" t="s">
        <v>23</v>
      </c>
      <c r="C9" s="42">
        <f>'Balance Sheet'!D25</f>
        <v>1424</v>
      </c>
      <c r="D9" s="42">
        <f>'Balance Sheet'!E25</f>
        <v>862</v>
      </c>
      <c r="E9" s="42">
        <f>'Balance Sheet'!F25</f>
        <v>1060</v>
      </c>
      <c r="F9" s="42">
        <f>'Balance Sheet'!G25</f>
        <v>1333</v>
      </c>
      <c r="G9" s="42">
        <f>'Balance Sheet'!H25</f>
        <v>3392</v>
      </c>
      <c r="H9" s="42">
        <f>'Balance Sheet'!I25</f>
        <v>4495</v>
      </c>
      <c r="I9" s="131">
        <f>'Balance Sheet'!J25</f>
        <v>4793</v>
      </c>
      <c r="J9" s="42">
        <f>J29*'Profit &amp; Loss Statement'!J$5/365</f>
        <v>5379.6974416952444</v>
      </c>
      <c r="K9" s="42">
        <f>K29*'Profit &amp; Loss Statement'!K$5/365</f>
        <v>6456.1090201076831</v>
      </c>
      <c r="L9" s="42">
        <f>L29*'Profit &amp; Loss Statement'!L$5/365</f>
        <v>7868.4272987145423</v>
      </c>
      <c r="M9" s="42">
        <f>M29*'Profit &amp; Loss Statement'!M$5/365</f>
        <v>9376.443706290358</v>
      </c>
      <c r="N9" s="43">
        <f>N29*'Profit &amp; Loss Statement'!N$5/365</f>
        <v>11094.81198809592</v>
      </c>
      <c r="O9" s="385"/>
    </row>
    <row r="10" spans="2:15">
      <c r="B10" s="41" t="s">
        <v>103</v>
      </c>
      <c r="C10" s="52">
        <f>SUM(C5:C9)</f>
        <v>26137</v>
      </c>
      <c r="D10" s="52">
        <f>SUM(D5:D9)</f>
        <v>30772</v>
      </c>
      <c r="E10" s="52">
        <f>SUM(E5:E9)</f>
        <v>40161</v>
      </c>
      <c r="F10" s="52">
        <f>SUM(F5:F9)</f>
        <v>65870</v>
      </c>
      <c r="G10" s="52">
        <f>SUM(G5:G9)</f>
        <v>86010</v>
      </c>
      <c r="H10" s="52">
        <f t="shared" ref="H10:N10" si="0">SUM(H5:H9)</f>
        <v>100299</v>
      </c>
      <c r="I10" s="309">
        <f t="shared" si="0"/>
        <v>166307</v>
      </c>
      <c r="J10" s="52">
        <f t="shared" si="0"/>
        <v>172758.8585497195</v>
      </c>
      <c r="K10" s="52">
        <f t="shared" si="0"/>
        <v>208360.45465635534</v>
      </c>
      <c r="L10" s="52">
        <f t="shared" si="0"/>
        <v>244109.4773262594</v>
      </c>
      <c r="M10" s="52">
        <f t="shared" si="0"/>
        <v>295858.21049548464</v>
      </c>
      <c r="N10" s="53">
        <f t="shared" si="0"/>
        <v>348736.12413952505</v>
      </c>
    </row>
    <row r="11" spans="2:15">
      <c r="B11" s="41" t="s">
        <v>41</v>
      </c>
      <c r="C11" s="42"/>
      <c r="D11" s="42"/>
      <c r="E11" s="42"/>
      <c r="F11" s="42"/>
      <c r="G11" s="42"/>
      <c r="H11" s="42"/>
      <c r="I11" s="131"/>
      <c r="J11" s="42"/>
      <c r="K11" s="42"/>
      <c r="L11" s="42"/>
      <c r="M11" s="42"/>
      <c r="N11" s="43"/>
    </row>
    <row r="12" spans="2:15">
      <c r="B12" s="28" t="s">
        <v>42</v>
      </c>
      <c r="C12" s="42">
        <f>'Balance Sheet'!D44</f>
        <v>547</v>
      </c>
      <c r="D12" s="42">
        <f>'Balance Sheet'!E44</f>
        <v>1067</v>
      </c>
      <c r="E12" s="42">
        <f>'Balance Sheet'!F44</f>
        <v>818</v>
      </c>
      <c r="F12" s="42">
        <f>'Balance Sheet'!G44</f>
        <v>1072</v>
      </c>
      <c r="G12" s="42">
        <f>'Balance Sheet'!H44</f>
        <v>1346</v>
      </c>
      <c r="H12" s="42">
        <f>'Balance Sheet'!I44</f>
        <v>1157</v>
      </c>
      <c r="I12" s="131">
        <f>'Balance Sheet'!J44</f>
        <v>1825</v>
      </c>
      <c r="J12" s="42">
        <f>J31*'Profit &amp; Loss Statement'!J$5/365</f>
        <v>2089.1950407650247</v>
      </c>
      <c r="K12" s="42">
        <f>K31*'Profit &amp; Loss Statement'!K$5/365</f>
        <v>2568.4234850322291</v>
      </c>
      <c r="L12" s="42">
        <f>L31*'Profit &amp; Loss Statement'!L$5/365</f>
        <v>2972.5451881579665</v>
      </c>
      <c r="M12" s="42">
        <f>M31*'Profit &amp; Loss Statement'!M$5/365</f>
        <v>3485.582147173558</v>
      </c>
      <c r="N12" s="43">
        <f>N31*'Profit &amp; Loss Statement'!N$5/365</f>
        <v>4200.9431365315359</v>
      </c>
      <c r="O12" t="s">
        <v>287</v>
      </c>
    </row>
    <row r="13" spans="2:15">
      <c r="B13" s="91" t="s">
        <v>34</v>
      </c>
      <c r="C13" s="42"/>
      <c r="D13" s="42"/>
      <c r="E13" s="42"/>
      <c r="F13" s="42"/>
      <c r="G13" s="42"/>
      <c r="H13" s="42"/>
      <c r="I13" s="131"/>
      <c r="J13" s="42"/>
      <c r="K13" s="42"/>
      <c r="L13" s="42"/>
      <c r="M13" s="42"/>
      <c r="N13" s="43"/>
    </row>
    <row r="14" spans="2:15" s="356" customFormat="1">
      <c r="B14" s="386" t="s">
        <v>35</v>
      </c>
      <c r="C14" s="381">
        <f>'Balance Sheet'!D46</f>
        <v>6855</v>
      </c>
      <c r="D14" s="381">
        <f>'Balance Sheet'!E46</f>
        <v>6012</v>
      </c>
      <c r="E14" s="381">
        <f>'Balance Sheet'!F46</f>
        <v>6916</v>
      </c>
      <c r="F14" s="381">
        <f>'Balance Sheet'!G46</f>
        <v>10972</v>
      </c>
      <c r="G14" s="381">
        <f>'Balance Sheet'!H46</f>
        <v>17340</v>
      </c>
      <c r="H14" s="381">
        <f>'Balance Sheet'!I46</f>
        <v>35477</v>
      </c>
      <c r="I14" s="387">
        <f>'Balance Sheet'!J46</f>
        <v>33792</v>
      </c>
      <c r="J14" s="381">
        <f>J43</f>
        <v>36844.36019075886</v>
      </c>
      <c r="K14" s="381">
        <f t="shared" ref="K14:N14" si="1">K43</f>
        <v>38308.875338105252</v>
      </c>
      <c r="L14" s="381">
        <f t="shared" si="1"/>
        <v>40354.523758910407</v>
      </c>
      <c r="M14" s="381">
        <f t="shared" si="1"/>
        <v>41847.474248374725</v>
      </c>
      <c r="N14" s="382">
        <f t="shared" si="1"/>
        <v>44150.193678788986</v>
      </c>
    </row>
    <row r="15" spans="2:15" s="356" customFormat="1">
      <c r="B15" s="386" t="s">
        <v>36</v>
      </c>
      <c r="C15" s="381">
        <f>'Balance Sheet'!D47</f>
        <v>1456</v>
      </c>
      <c r="D15" s="381">
        <f>'Balance Sheet'!E47</f>
        <v>1582</v>
      </c>
      <c r="E15" s="381">
        <f>'Balance Sheet'!F47</f>
        <v>1816</v>
      </c>
      <c r="F15" s="381">
        <f>'Balance Sheet'!G47</f>
        <v>1422</v>
      </c>
      <c r="G15" s="381">
        <f>'Balance Sheet'!H47</f>
        <v>1792</v>
      </c>
      <c r="H15" s="381">
        <f>'Balance Sheet'!I47</f>
        <v>1859</v>
      </c>
      <c r="I15" s="387">
        <f>'Balance Sheet'!J47</f>
        <v>2412</v>
      </c>
      <c r="J15" s="381">
        <f>J47</f>
        <v>2652.6575024314338</v>
      </c>
      <c r="K15" s="381">
        <f t="shared" ref="K15:N15" si="2">K47</f>
        <v>2646.2723501863006</v>
      </c>
      <c r="L15" s="381">
        <f t="shared" si="2"/>
        <v>2658.6149703926385</v>
      </c>
      <c r="M15" s="381">
        <f t="shared" si="2"/>
        <v>2826.7570447634616</v>
      </c>
      <c r="N15" s="382">
        <f t="shared" si="2"/>
        <v>3048.013159948749</v>
      </c>
    </row>
    <row r="16" spans="2:15">
      <c r="B16" s="89" t="s">
        <v>43</v>
      </c>
      <c r="C16" s="42">
        <f>'Balance Sheet'!D48</f>
        <v>2498</v>
      </c>
      <c r="D16" s="42">
        <f>'Balance Sheet'!E48</f>
        <v>2878</v>
      </c>
      <c r="E16" s="42">
        <f>'Balance Sheet'!F48</f>
        <v>3442</v>
      </c>
      <c r="F16" s="42">
        <f>'Balance Sheet'!G48</f>
        <v>4101</v>
      </c>
      <c r="G16" s="42">
        <f>'Balance Sheet'!H48</f>
        <v>6072</v>
      </c>
      <c r="H16" s="42">
        <f>'Balance Sheet'!I48</f>
        <v>7052</v>
      </c>
      <c r="I16" s="131">
        <f>'Balance Sheet'!J48</f>
        <v>7915</v>
      </c>
      <c r="J16" s="42">
        <f>J35*'Profit &amp; Loss Statement'!J$5/365</f>
        <v>9767.66232220028</v>
      </c>
      <c r="K16" s="42">
        <f>K35*'Profit &amp; Loss Statement'!K$5/365</f>
        <v>11690.459331262589</v>
      </c>
      <c r="L16" s="42">
        <f>L35*'Profit &amp; Loss Statement'!L$5/365</f>
        <v>13902.791530637469</v>
      </c>
      <c r="M16" s="42">
        <f>M35*'Profit &amp; Loss Statement'!M$5/365</f>
        <v>16415.836890539416</v>
      </c>
      <c r="N16" s="43">
        <f>N35*'Profit &amp; Loss Statement'!N$5/365</f>
        <v>19498.755818644273</v>
      </c>
    </row>
    <row r="17" spans="1:19">
      <c r="B17" s="90" t="s">
        <v>44</v>
      </c>
      <c r="C17" s="42">
        <f>'Balance Sheet'!D49</f>
        <v>30008</v>
      </c>
      <c r="D17" s="42">
        <f>'Balance Sheet'!E49</f>
        <v>29930</v>
      </c>
      <c r="E17" s="42">
        <f>'Balance Sheet'!F49</f>
        <v>6397</v>
      </c>
      <c r="F17" s="42">
        <f>'Balance Sheet'!G49</f>
        <v>6874</v>
      </c>
      <c r="G17" s="42">
        <f>'Balance Sheet'!H49</f>
        <v>5788</v>
      </c>
      <c r="H17" s="42">
        <f>'Balance Sheet'!I49</f>
        <v>7428</v>
      </c>
      <c r="I17" s="131">
        <f>'Balance Sheet'!J49</f>
        <v>5810</v>
      </c>
      <c r="J17" s="42">
        <f>J36*'Profit &amp; Loss Statement'!J$5/365</f>
        <v>10384.967762133203</v>
      </c>
      <c r="K17" s="42">
        <f>K36*'Profit &amp; Loss Statement'!K$5/365</f>
        <v>11914.76611911894</v>
      </c>
      <c r="L17" s="42">
        <f>L36*'Profit &amp; Loss Statement'!L$5/365</f>
        <v>13914.938826845657</v>
      </c>
      <c r="M17" s="42">
        <f>M36*'Profit &amp; Loss Statement'!M$5/365</f>
        <v>16282.268772682031</v>
      </c>
      <c r="N17" s="43">
        <f>N36*'Profit &amp; Loss Statement'!N$5/365</f>
        <v>19097.363602369711</v>
      </c>
    </row>
    <row r="18" spans="1:19">
      <c r="B18" s="28" t="s">
        <v>38</v>
      </c>
      <c r="C18" s="42">
        <f>'Balance Sheet'!D50</f>
        <v>820</v>
      </c>
      <c r="D18" s="42">
        <f>'Balance Sheet'!E50</f>
        <v>998</v>
      </c>
      <c r="E18" s="42">
        <f>'Balance Sheet'!F50</f>
        <v>1246</v>
      </c>
      <c r="F18" s="42">
        <f>'Balance Sheet'!G50</f>
        <v>1508</v>
      </c>
      <c r="G18" s="42">
        <f>'Balance Sheet'!H50</f>
        <v>1458</v>
      </c>
      <c r="H18" s="42">
        <f>'Balance Sheet'!I50</f>
        <v>1775</v>
      </c>
      <c r="I18" s="131">
        <f>'Balance Sheet'!J50</f>
        <v>2136</v>
      </c>
      <c r="J18" s="42">
        <f>J37*'Profit &amp; Loss Statement'!J$5/365</f>
        <v>2741.1090156672421</v>
      </c>
      <c r="K18" s="42">
        <f>K37*'Profit &amp; Loss Statement'!K$5/365</f>
        <v>3266.052351645104</v>
      </c>
      <c r="L18" s="42">
        <f>L37*'Profit &amp; Loss Statement'!L$5/365</f>
        <v>3779.0668810944458</v>
      </c>
      <c r="M18" s="42">
        <f>M37*'Profit &amp; Loss Statement'!M$5/365</f>
        <v>4478.418307490133</v>
      </c>
      <c r="N18" s="43">
        <f>N37*'Profit &amp; Loss Statement'!N$5/365</f>
        <v>5336.1584152437363</v>
      </c>
    </row>
    <row r="19" spans="1:19" ht="14.95" thickBot="1">
      <c r="B19" s="92" t="s">
        <v>45</v>
      </c>
      <c r="C19" s="45">
        <f>'Balance Sheet'!D51</f>
        <v>671</v>
      </c>
      <c r="D19" s="45">
        <f>'Balance Sheet'!E51</f>
        <v>736</v>
      </c>
      <c r="E19" s="45">
        <f>'Balance Sheet'!F51</f>
        <v>531</v>
      </c>
      <c r="F19" s="45">
        <f>'Balance Sheet'!G51</f>
        <v>1930</v>
      </c>
      <c r="G19" s="45">
        <f>'Balance Sheet'!H51</f>
        <v>2665</v>
      </c>
      <c r="H19" s="45">
        <f>'Balance Sheet'!I51</f>
        <v>2892</v>
      </c>
      <c r="I19" s="310">
        <f>'Balance Sheet'!J51</f>
        <v>2808</v>
      </c>
      <c r="J19" s="45">
        <f>J38*'Profit &amp; Loss Statement'!J$5/365</f>
        <v>3643.1512323588804</v>
      </c>
      <c r="K19" s="45">
        <f>K38*'Profit &amp; Loss Statement'!K$5/365</f>
        <v>4545.9113081083924</v>
      </c>
      <c r="L19" s="45">
        <f>L38*'Profit &amp; Loss Statement'!L$5/365</f>
        <v>5400.1657549166603</v>
      </c>
      <c r="M19" s="45">
        <f>M38*'Profit &amp; Loss Statement'!M$5/365</f>
        <v>6334.4735083686273</v>
      </c>
      <c r="N19" s="63">
        <f>N38*'Profit &amp; Loss Statement'!N$5/365</f>
        <v>7460.9416501722708</v>
      </c>
    </row>
    <row r="20" spans="1:19" ht="14.95" thickTop="1">
      <c r="B20" s="32" t="s">
        <v>46</v>
      </c>
      <c r="C20" s="36">
        <f t="shared" ref="C20:N20" si="3">SUM(C12:C19)</f>
        <v>42855</v>
      </c>
      <c r="D20" s="36">
        <f t="shared" si="3"/>
        <v>43203</v>
      </c>
      <c r="E20" s="36">
        <f t="shared" si="3"/>
        <v>21166</v>
      </c>
      <c r="F20" s="36">
        <f t="shared" si="3"/>
        <v>27879</v>
      </c>
      <c r="G20" s="36">
        <f t="shared" si="3"/>
        <v>36461</v>
      </c>
      <c r="H20" s="36">
        <f t="shared" si="3"/>
        <v>57640</v>
      </c>
      <c r="I20" s="311">
        <f t="shared" si="3"/>
        <v>56698</v>
      </c>
      <c r="J20" s="36">
        <f t="shared" si="3"/>
        <v>68123.103066314929</v>
      </c>
      <c r="K20" s="36">
        <f t="shared" si="3"/>
        <v>74940.760283458803</v>
      </c>
      <c r="L20" s="36">
        <f t="shared" si="3"/>
        <v>82982.646910955242</v>
      </c>
      <c r="M20" s="36">
        <f t="shared" si="3"/>
        <v>91670.810919391952</v>
      </c>
      <c r="N20" s="93">
        <f t="shared" si="3"/>
        <v>102792.36946169927</v>
      </c>
    </row>
    <row r="21" spans="1:19">
      <c r="B21" s="94" t="s">
        <v>104</v>
      </c>
      <c r="C21" s="95">
        <f t="shared" ref="C21:N21" si="4">C10-C20</f>
        <v>-16718</v>
      </c>
      <c r="D21" s="95">
        <f t="shared" si="4"/>
        <v>-12431</v>
      </c>
      <c r="E21" s="95">
        <f>E10-E20</f>
        <v>18995</v>
      </c>
      <c r="F21" s="95">
        <f t="shared" si="4"/>
        <v>37991</v>
      </c>
      <c r="G21" s="95">
        <f t="shared" si="4"/>
        <v>49549</v>
      </c>
      <c r="H21" s="95">
        <f t="shared" si="4"/>
        <v>42659</v>
      </c>
      <c r="I21" s="312">
        <f t="shared" si="4"/>
        <v>109609</v>
      </c>
      <c r="J21" s="95">
        <f t="shared" si="4"/>
        <v>104635.75548340457</v>
      </c>
      <c r="K21" s="95">
        <f t="shared" si="4"/>
        <v>133419.69437289654</v>
      </c>
      <c r="L21" s="95">
        <f t="shared" si="4"/>
        <v>161126.83041530417</v>
      </c>
      <c r="M21" s="95">
        <f t="shared" si="4"/>
        <v>204187.39957609269</v>
      </c>
      <c r="N21" s="96">
        <f t="shared" si="4"/>
        <v>245943.75467782578</v>
      </c>
    </row>
    <row r="22" spans="1:19" ht="14.95" thickBot="1">
      <c r="B22" s="97" t="s">
        <v>105</v>
      </c>
      <c r="C22" s="98"/>
      <c r="D22" s="98">
        <f t="shared" ref="D22:N22" si="5">D21-C21</f>
        <v>4287</v>
      </c>
      <c r="E22" s="98">
        <f t="shared" si="5"/>
        <v>31426</v>
      </c>
      <c r="F22" s="98">
        <f>F21-E21</f>
        <v>18996</v>
      </c>
      <c r="G22" s="98">
        <f t="shared" si="5"/>
        <v>11558</v>
      </c>
      <c r="H22" s="98">
        <f t="shared" si="5"/>
        <v>-6890</v>
      </c>
      <c r="I22" s="313">
        <f t="shared" si="5"/>
        <v>66950</v>
      </c>
      <c r="J22" s="98">
        <f t="shared" si="5"/>
        <v>-4973.2445165954268</v>
      </c>
      <c r="K22" s="98">
        <f t="shared" si="5"/>
        <v>28783.938889491968</v>
      </c>
      <c r="L22" s="98">
        <f t="shared" si="5"/>
        <v>27707.136042407627</v>
      </c>
      <c r="M22" s="98">
        <f t="shared" si="5"/>
        <v>43060.569160788524</v>
      </c>
      <c r="N22" s="99">
        <f t="shared" si="5"/>
        <v>41756.35510173309</v>
      </c>
    </row>
    <row r="23" spans="1:19" ht="14.95" thickBot="1">
      <c r="A23" t="s">
        <v>285</v>
      </c>
      <c r="B23" s="26" t="s">
        <v>106</v>
      </c>
      <c r="C23" s="3" t="str">
        <f>C2</f>
        <v>FY18</v>
      </c>
      <c r="D23" s="3" t="str">
        <f t="shared" ref="D23:L23" si="6">D2</f>
        <v>FY19</v>
      </c>
      <c r="E23" s="3" t="str">
        <f t="shared" si="6"/>
        <v>FY20</v>
      </c>
      <c r="F23" s="3" t="str">
        <f t="shared" si="6"/>
        <v>FY21</v>
      </c>
      <c r="G23" s="3" t="str">
        <f t="shared" si="6"/>
        <v>FY22</v>
      </c>
      <c r="H23" s="3" t="str">
        <f t="shared" si="6"/>
        <v>FY23</v>
      </c>
      <c r="I23" s="4" t="str">
        <f t="shared" si="6"/>
        <v>FY24</v>
      </c>
      <c r="J23" s="3" t="str">
        <f t="shared" si="6"/>
        <v>FY25E</v>
      </c>
      <c r="K23" s="3" t="str">
        <f t="shared" si="6"/>
        <v>FY26E</v>
      </c>
      <c r="L23" s="3" t="str">
        <f t="shared" si="6"/>
        <v>FY27E</v>
      </c>
      <c r="M23" s="3" t="str">
        <f>M2</f>
        <v>FY28E</v>
      </c>
      <c r="N23" s="5" t="str">
        <f>N2</f>
        <v>FY29E</v>
      </c>
    </row>
    <row r="24" spans="1:19">
      <c r="B24" s="100" t="s">
        <v>17</v>
      </c>
      <c r="C24" s="101"/>
      <c r="D24" s="101"/>
      <c r="E24" s="101"/>
      <c r="F24" s="101"/>
      <c r="G24" s="101"/>
      <c r="H24" s="101"/>
      <c r="I24" s="314"/>
      <c r="J24" s="101"/>
      <c r="K24" s="101"/>
      <c r="L24" s="101"/>
      <c r="M24" s="101"/>
      <c r="N24" s="102"/>
    </row>
    <row r="25" spans="1:19">
      <c r="B25" s="293" t="s">
        <v>18</v>
      </c>
      <c r="C25" s="294">
        <f>C5*365/'Profit &amp; Loss Statement'!C$5</f>
        <v>108.20192040375527</v>
      </c>
      <c r="D25" s="294">
        <f>D5*365/'Profit &amp; Loss Statement'!D$5</f>
        <v>60.682888407073648</v>
      </c>
      <c r="E25" s="294">
        <f>E5*365/'Profit &amp; Loss Statement'!E$5</f>
        <v>43.582947823720659</v>
      </c>
      <c r="F25" s="294">
        <f>F5*365/'Profit &amp; Loss Statement'!F$5</f>
        <v>184.75349426565469</v>
      </c>
      <c r="G25" s="294">
        <f>G5*365/'Profit &amp; Loss Statement'!G$5</f>
        <v>154.85758697938098</v>
      </c>
      <c r="H25" s="294">
        <f>H5*365/'Profit &amp; Loss Statement'!H$5</f>
        <v>0</v>
      </c>
      <c r="I25" s="315">
        <f>I5*365/'Revenue Model'!I$3</f>
        <v>0</v>
      </c>
      <c r="J25" s="294">
        <f>I25*50%+H25*30%+G25*10%+F25*10%</f>
        <v>33.961108124503568</v>
      </c>
      <c r="K25" s="294">
        <f t="shared" ref="K25:N25" si="7">J25*50%+I25*30%+H25*10%+G25*10%</f>
        <v>32.466312760189879</v>
      </c>
      <c r="L25" s="294">
        <f t="shared" si="7"/>
        <v>26.421488817446011</v>
      </c>
      <c r="M25" s="294">
        <f t="shared" si="7"/>
        <v>26.346749049230326</v>
      </c>
      <c r="N25" s="295">
        <f t="shared" si="7"/>
        <v>27.742563258318309</v>
      </c>
    </row>
    <row r="26" spans="1:19">
      <c r="B26" s="89" t="s">
        <v>19</v>
      </c>
      <c r="C26" s="103">
        <f>C6*365/'Profit &amp; Loss Statement'!C$5</f>
        <v>73.661919120634721</v>
      </c>
      <c r="D26" s="103">
        <f>D6*365/'Profit &amp; Loss Statement'!D$5</f>
        <v>79.923351853106581</v>
      </c>
      <c r="E26" s="103">
        <f>E6*365/'Profit &amp; Loss Statement'!E$5</f>
        <v>60.050056573237278</v>
      </c>
      <c r="F26" s="103">
        <f>F6*365/'Profit &amp; Loss Statement'!F$5</f>
        <v>57.538433689763515</v>
      </c>
      <c r="G26" s="103">
        <f>G6*365/'Profit &amp; Loss Statement'!G$5</f>
        <v>55.862204544415491</v>
      </c>
      <c r="H26" s="103">
        <f>H6*365/'Profit &amp; Loss Statement'!H$5</f>
        <v>54.442660341848054</v>
      </c>
      <c r="I26" s="316">
        <f>I6*365/'Revenue Model'!I$3</f>
        <v>57.163098740659585</v>
      </c>
      <c r="J26" s="103">
        <f t="shared" ref="J26:N26" si="8">I26*40%+H26*30%+G26*10%+F26*10%+E26*10%</f>
        <v>56.543107079559881</v>
      </c>
      <c r="K26" s="103">
        <f t="shared" si="8"/>
        <v>56.550502311624541</v>
      </c>
      <c r="L26" s="103">
        <f t="shared" si="8"/>
        <v>56.329929411210095</v>
      </c>
      <c r="M26" s="103">
        <f t="shared" si="8"/>
        <v>56.31200907417815</v>
      </c>
      <c r="N26" s="104">
        <f t="shared" si="8"/>
        <v>56.44945326621869</v>
      </c>
    </row>
    <row r="27" spans="1:19">
      <c r="B27" s="89" t="s">
        <v>21</v>
      </c>
      <c r="C27" s="103">
        <f>C7*365/'Profit &amp; Loss Statement'!C$5</f>
        <v>2.1309424520433695</v>
      </c>
      <c r="D27" s="103">
        <f>D7*365/'Profit &amp; Loss Statement'!D$5</f>
        <v>0.47606545158886104</v>
      </c>
      <c r="E27" s="103">
        <f>E7*365/'Profit &amp; Loss Statement'!E$5</f>
        <v>0.52276535712751182</v>
      </c>
      <c r="F27" s="103">
        <f>F7*365/'Profit &amp; Loss Statement'!F$5</f>
        <v>3.8321200915426488</v>
      </c>
      <c r="G27" s="103">
        <f>G7*365/'Profit &amp; Loss Statement'!G$5</f>
        <v>1.3349791980981119E-2</v>
      </c>
      <c r="H27" s="103">
        <f>H7*365/'Profit &amp; Loss Statement'!H$5</f>
        <v>0.16343779079123202</v>
      </c>
      <c r="I27" s="316">
        <f>I7*365/'Revenue Model'!I$3</f>
        <v>8.3125084633092469E-2</v>
      </c>
      <c r="J27" s="103">
        <f t="shared" ref="J27:N27" si="9">I27*40%+H27*30%+G27*10%+F27*10%+E27*10%</f>
        <v>0.51910489515572078</v>
      </c>
      <c r="K27" s="103">
        <f t="shared" si="9"/>
        <v>0.63347025088370224</v>
      </c>
      <c r="L27" s="103">
        <f t="shared" si="9"/>
        <v>0.43511083564072772</v>
      </c>
      <c r="M27" s="103">
        <f t="shared" si="9"/>
        <v>0.4406521865794063</v>
      </c>
      <c r="N27" s="104">
        <f t="shared" si="9"/>
        <v>0.43036414839123238</v>
      </c>
    </row>
    <row r="28" spans="1:19">
      <c r="B28" s="90" t="s">
        <v>22</v>
      </c>
      <c r="C28" s="294">
        <f>C8*365/'Profit &amp; Loss Statement'!C$5</f>
        <v>8.9062466585402369</v>
      </c>
      <c r="D28" s="294">
        <f>D8*365/'Profit &amp; Loss Statement'!D$5</f>
        <v>43.841300223592384</v>
      </c>
      <c r="E28" s="294">
        <f>E8*365/'Profit &amp; Loss Statement'!E$5</f>
        <v>100.25071253634293</v>
      </c>
      <c r="F28" s="294">
        <f>F8*365/'Profit &amp; Loss Statement'!F$5</f>
        <v>58.449270115462689</v>
      </c>
      <c r="G28" s="294">
        <f>G8*365/'Profit &amp; Loss Statement'!G$5</f>
        <v>65.00013715539707</v>
      </c>
      <c r="H28" s="294">
        <f>H8*365/'Profit &amp; Loss Statement'!H$5</f>
        <v>190.05005981991059</v>
      </c>
      <c r="I28" s="315">
        <f>I8*365/'Revenue Model'!I$3</f>
        <v>305.61499021333697</v>
      </c>
      <c r="J28" s="294">
        <f>I28*50%+H28*30%+G28*10%+F28*10%</f>
        <v>222.16745377972762</v>
      </c>
      <c r="K28" s="294">
        <f t="shared" ref="K28:N28" si="10">J28*50%+I28*30%+H28*10%+G28*10%</f>
        <v>228.27324365139563</v>
      </c>
      <c r="L28" s="294">
        <f t="shared" si="10"/>
        <v>230.35336296294085</v>
      </c>
      <c r="M28" s="294">
        <f t="shared" si="10"/>
        <v>236.43689897619555</v>
      </c>
      <c r="N28" s="295">
        <f t="shared" si="10"/>
        <v>232.36852812009235</v>
      </c>
    </row>
    <row r="29" spans="1:19" ht="14.95" thickBot="1">
      <c r="B29" s="105" t="s">
        <v>23</v>
      </c>
      <c r="C29" s="106">
        <f>C9*365/'Profit &amp; Loss Statement'!C$5</f>
        <v>11.115245610658455</v>
      </c>
      <c r="D29" s="106">
        <f>D9*365/'Profit &amp; Loss Statement'!D$5</f>
        <v>5.3294599905142626</v>
      </c>
      <c r="E29" s="106">
        <f>E9*365/'Profit &amp; Loss Statement'!E$5</f>
        <v>5.5413127855516251</v>
      </c>
      <c r="F29" s="106">
        <f>F9*365/'Profit &amp; Loss Statement'!F$5</f>
        <v>6.29090650495856</v>
      </c>
      <c r="G29" s="106">
        <f>G9*365/'Profit &amp; Loss Statement'!G$5</f>
        <v>11.320623599871988</v>
      </c>
      <c r="H29" s="106">
        <f>H9*365/'Profit &amp; Loss Statement'!H$5</f>
        <v>11.478951087602935</v>
      </c>
      <c r="I29" s="317">
        <f>I9*365/'Revenue Model'!I$3</f>
        <v>10.768068395848978</v>
      </c>
      <c r="J29" s="103">
        <f t="shared" ref="J29:N29" si="11">I29*40%+H29*30%+G29*10%+F29*10%+E29*10%</f>
        <v>10.066196973658689</v>
      </c>
      <c r="K29" s="103">
        <f t="shared" si="11"/>
        <v>10.165947427461518</v>
      </c>
      <c r="L29" s="103">
        <f t="shared" si="11"/>
        <v>10.443002371414604</v>
      </c>
      <c r="M29" s="103">
        <f t="shared" si="11"/>
        <v>10.458306822515356</v>
      </c>
      <c r="N29" s="104">
        <f t="shared" si="11"/>
        <v>10.416244720127441</v>
      </c>
      <c r="P29" s="161"/>
      <c r="Q29" s="161"/>
      <c r="R29" s="161"/>
      <c r="S29" s="161"/>
    </row>
    <row r="30" spans="1:19" ht="14.95" thickBot="1">
      <c r="B30" s="26" t="s">
        <v>107</v>
      </c>
      <c r="C30" s="3" t="str">
        <f>C23</f>
        <v>FY18</v>
      </c>
      <c r="D30" s="3" t="str">
        <f t="shared" ref="D30:L30" si="12">D23</f>
        <v>FY19</v>
      </c>
      <c r="E30" s="3" t="str">
        <f t="shared" si="12"/>
        <v>FY20</v>
      </c>
      <c r="F30" s="3" t="str">
        <f t="shared" si="12"/>
        <v>FY21</v>
      </c>
      <c r="G30" s="3" t="str">
        <f t="shared" si="12"/>
        <v>FY22</v>
      </c>
      <c r="H30" s="3" t="str">
        <f t="shared" si="12"/>
        <v>FY23</v>
      </c>
      <c r="I30" s="4" t="str">
        <f t="shared" si="12"/>
        <v>FY24</v>
      </c>
      <c r="J30" s="3" t="str">
        <f t="shared" si="12"/>
        <v>FY25E</v>
      </c>
      <c r="K30" s="3" t="str">
        <f t="shared" si="12"/>
        <v>FY26E</v>
      </c>
      <c r="L30" s="3" t="str">
        <f t="shared" si="12"/>
        <v>FY27E</v>
      </c>
      <c r="M30" s="3" t="str">
        <f>M23</f>
        <v>FY28E</v>
      </c>
      <c r="N30" s="5" t="str">
        <f>N23</f>
        <v>FY29E</v>
      </c>
    </row>
    <row r="31" spans="1:19">
      <c r="B31" s="100" t="s">
        <v>42</v>
      </c>
      <c r="C31" s="103">
        <f>C12*365/'Profit &amp; Loss Statement'!C$5</f>
        <v>4.2696905540942236</v>
      </c>
      <c r="D31" s="103">
        <f>D12*365/'Profit &amp; Loss Statement'!D$5</f>
        <v>6.5969069720170745</v>
      </c>
      <c r="E31" s="103">
        <f>E12*365/'Profit &amp; Loss Statement'!E$5</f>
        <v>4.2762206213030467</v>
      </c>
      <c r="F31" s="103">
        <f>F12*365/'Profit &amp; Loss Statement'!F$5</f>
        <v>5.0591536183912797</v>
      </c>
      <c r="G31" s="103">
        <f>G12*365/'Profit &amp; Loss Statement'!G$5</f>
        <v>4.492205001600146</v>
      </c>
      <c r="H31" s="103">
        <f>H12*365/'Profit &amp; Loss Statement'!H$5</f>
        <v>2.9546488116477412</v>
      </c>
      <c r="I31" s="316">
        <f>I12*365/'Profit &amp; Loss Statement'!I$5</f>
        <v>4.1000886339295608</v>
      </c>
      <c r="J31" s="103">
        <f t="shared" ref="J31:N31" si="13">I31*40%+H31*30%+G31*10%+F31*10%+E31*10%</f>
        <v>3.9091880211955941</v>
      </c>
      <c r="K31" s="103">
        <f t="shared" si="13"/>
        <v>4.0443025418210228</v>
      </c>
      <c r="L31" s="103">
        <f t="shared" si="13"/>
        <v>3.9451716678048321</v>
      </c>
      <c r="M31" s="103">
        <f t="shared" si="13"/>
        <v>3.887751976345529</v>
      </c>
      <c r="N31" s="104">
        <f t="shared" si="13"/>
        <v>3.9440102105742789</v>
      </c>
    </row>
    <row r="32" spans="1:19">
      <c r="B32" s="91" t="s">
        <v>34</v>
      </c>
      <c r="C32" s="103"/>
      <c r="D32" s="103"/>
      <c r="E32" s="103"/>
      <c r="F32" s="103"/>
      <c r="G32" s="103"/>
      <c r="H32" s="103"/>
      <c r="I32" s="316"/>
      <c r="J32" s="103"/>
      <c r="K32" s="103"/>
      <c r="L32" s="103"/>
      <c r="M32" s="103"/>
      <c r="N32" s="104"/>
    </row>
    <row r="33" spans="2:14">
      <c r="B33" s="89" t="s">
        <v>35</v>
      </c>
      <c r="C33" s="103">
        <f>C14*365/'Profit &amp; Loss Statement'!C$5</f>
        <v>53.507730801308782</v>
      </c>
      <c r="D33" s="103">
        <f>D14*365/'Profit &amp; Loss Statement'!D$5</f>
        <v>37.170201233145875</v>
      </c>
      <c r="E33" s="103">
        <f>E14*365/'Profit &amp; Loss Statement'!E$5</f>
        <v>36.154452098938712</v>
      </c>
      <c r="F33" s="103">
        <f>F14*365/'Profit &amp; Loss Statement'!F$5</f>
        <v>51.780814833012244</v>
      </c>
      <c r="G33" s="103">
        <f>G14*365/'Profit &amp; Loss Statement'!G$5</f>
        <v>57.87134823755315</v>
      </c>
      <c r="H33" s="103">
        <f>H14*365/'Profit &amp; Loss Statement'!H$5</f>
        <v>90.598164123445912</v>
      </c>
      <c r="I33" s="316">
        <f>I14*365/'Profit &amp; Loss Statement'!I$5</f>
        <v>75.917915133012443</v>
      </c>
      <c r="J33" s="103">
        <f t="shared" ref="J33:N33" si="14">I33*40%+H33*30%+G33*10%+F33*10%+E33*10%</f>
        <v>72.127276807189162</v>
      </c>
      <c r="K33" s="103">
        <f t="shared" si="14"/>
        <v>71.651317982180529</v>
      </c>
      <c r="L33" s="103">
        <f t="shared" si="14"/>
        <v>72.737452984430107</v>
      </c>
      <c r="M33" s="103">
        <f t="shared" si="14"/>
        <v>74.454712194790943</v>
      </c>
      <c r="N33" s="104">
        <f t="shared" si="14"/>
        <v>73.572771765483623</v>
      </c>
    </row>
    <row r="34" spans="2:14">
      <c r="B34" s="89" t="s">
        <v>36</v>
      </c>
      <c r="C34" s="103">
        <f>C15*365/'Profit &amp; Loss Statement'!C$5</f>
        <v>11.36502641089797</v>
      </c>
      <c r="D34" s="103">
        <f>D15*365/'Profit &amp; Loss Statement'!D$5</f>
        <v>9.7809810962802359</v>
      </c>
      <c r="E34" s="103">
        <f>E15*365/'Profit &amp; Loss Statement'!E$5</f>
        <v>9.4934188854356147</v>
      </c>
      <c r="F34" s="103">
        <f>F15*365/'Profit &amp; Loss Statement'!F$5</f>
        <v>6.7109295199182837</v>
      </c>
      <c r="G34" s="103">
        <f>G15*365/'Profit &amp; Loss Statement'!G$5</f>
        <v>5.9807068074795406</v>
      </c>
      <c r="H34" s="103">
        <f>H15*365/'Profit &amp; Loss Statement'!H$5</f>
        <v>4.7473570793890669</v>
      </c>
      <c r="I34" s="316">
        <f>I15*365/'Profit &amp; Loss Statement'!I$5</f>
        <v>5.4188568685140277</v>
      </c>
      <c r="J34" s="103">
        <f t="shared" ref="J34:N34" si="15">I34*40%+H34*30%+G34*10%+F34*10%+E34*10%</f>
        <v>5.8102553925056757</v>
      </c>
      <c r="K34" s="103">
        <f t="shared" si="15"/>
        <v>5.6936585582351675</v>
      </c>
      <c r="L34" s="103">
        <f t="shared" si="15"/>
        <v>5.6352321165840333</v>
      </c>
      <c r="M34" s="103">
        <f t="shared" si="15"/>
        <v>5.5598373481450407</v>
      </c>
      <c r="N34" s="104">
        <f t="shared" si="15"/>
        <v>5.6067816561587129</v>
      </c>
    </row>
    <row r="35" spans="2:14">
      <c r="B35" s="89" t="s">
        <v>43</v>
      </c>
      <c r="C35" s="103">
        <f>C16*365/'Profit &amp; Loss Statement'!C$5</f>
        <v>19.498513718697204</v>
      </c>
      <c r="D35" s="103">
        <f>D16*365/'Profit &amp; Loss Statement'!D$5</f>
        <v>17.793719086658989</v>
      </c>
      <c r="E35" s="103">
        <f>E16*365/'Profit &amp; Loss Statement'!E$5</f>
        <v>17.993583592328957</v>
      </c>
      <c r="F35" s="103">
        <f>F16*365/'Profit &amp; Loss Statement'!F$5</f>
        <v>19.354094206177837</v>
      </c>
      <c r="G35" s="103">
        <f>G16*365/'Profit &amp; Loss Statement'!G$5</f>
        <v>20.264984227129336</v>
      </c>
      <c r="H35" s="103">
        <f>H16*365/'Profit &amp; Loss Statement'!H$5</f>
        <v>18.008801572808878</v>
      </c>
      <c r="I35" s="316">
        <f>I16*365/'Profit &amp; Loss Statement'!I$5</f>
        <v>17.78202823975478</v>
      </c>
      <c r="J35" s="103">
        <f t="shared" ref="J35:N35" si="16">I35*40%+H35*30%+G35*10%+F35*10%+E35*10%</f>
        <v>18.276717970308191</v>
      </c>
      <c r="K35" s="103">
        <f t="shared" si="16"/>
        <v>18.408083660661319</v>
      </c>
      <c r="L35" s="103">
        <f t="shared" si="16"/>
        <v>18.451830259326286</v>
      </c>
      <c r="M35" s="103">
        <f t="shared" si="16"/>
        <v>18.309911980216093</v>
      </c>
      <c r="N35" s="104">
        <f t="shared" si="16"/>
        <v>18.306196856956753</v>
      </c>
    </row>
    <row r="36" spans="2:14">
      <c r="B36" s="89" t="s">
        <v>44</v>
      </c>
      <c r="C36" s="103">
        <f>C17*365/'Profit &amp; Loss Statement'!C$5</f>
        <v>234.23194542460598</v>
      </c>
      <c r="D36" s="103">
        <f>D17*365/'Profit &amp; Loss Statement'!D$5</f>
        <v>185.04725929941054</v>
      </c>
      <c r="E36" s="103">
        <f>E17*365/'Profit &amp; Loss Statement'!E$5</f>
        <v>33.441299895446932</v>
      </c>
      <c r="F36" s="103">
        <f>F17*365/'Profit &amp; Loss Statement'!F$5</f>
        <v>32.440878705990357</v>
      </c>
      <c r="G36" s="103">
        <f>G17*365/'Profit &amp; Loss Statement'!G$5</f>
        <v>19.317148996479677</v>
      </c>
      <c r="H36" s="103">
        <f>H17*365/'Profit &amp; Loss Statement'!H$5</f>
        <v>18.968998593707365</v>
      </c>
      <c r="I36" s="316">
        <f>I17*365/'Profit &amp; Loss Statement'!I$5</f>
        <v>13.052884911304519</v>
      </c>
      <c r="J36" s="103">
        <f t="shared" ref="J36:N36" si="17">I36*40%+H36*30%+G36*10%+F36*10%+E36*10%</f>
        <v>19.431786302425714</v>
      </c>
      <c r="K36" s="103">
        <f t="shared" si="17"/>
        <v>18.761282623979383</v>
      </c>
      <c r="L36" s="103">
        <f t="shared" si="17"/>
        <v>18.467952190468626</v>
      </c>
      <c r="M36" s="103">
        <f t="shared" si="17"/>
        <v>18.160932644125026</v>
      </c>
      <c r="N36" s="104">
        <f t="shared" si="17"/>
        <v>17.929354098561557</v>
      </c>
    </row>
    <row r="37" spans="2:14">
      <c r="B37" s="28" t="s">
        <v>38</v>
      </c>
      <c r="C37" s="103">
        <f>C18*365/'Profit &amp; Loss Statement'!C$5</f>
        <v>6.4006330061375936</v>
      </c>
      <c r="D37" s="103">
        <f>D18*365/'Profit &amp; Loss Statement'!D$5</f>
        <v>6.1703028660478356</v>
      </c>
      <c r="E37" s="103">
        <f>E18*365/'Profit &amp; Loss Statement'!E$5</f>
        <v>6.5136563498087972</v>
      </c>
      <c r="F37" s="103">
        <f>F18*365/'Profit &amp; Loss Statement'!F$5</f>
        <v>7.1167944557220624</v>
      </c>
      <c r="G37" s="103">
        <f>G18*365/'Profit &amp; Loss Statement'!G$5</f>
        <v>4.8659991770676179</v>
      </c>
      <c r="H37" s="103">
        <f>H18*365/'Profit &amp; Loss Statement'!H$5</f>
        <v>4.5328449789755751</v>
      </c>
      <c r="I37" s="316">
        <f>I18*365/'Profit &amp; Loss Statement'!I$5</f>
        <v>4.7987886696293378</v>
      </c>
      <c r="J37" s="103">
        <f t="shared" ref="J37:N37" si="18">I37*40%+H37*30%+G37*10%+F37*10%+E37*10%</f>
        <v>5.1290139598042552</v>
      </c>
      <c r="K37" s="103">
        <f t="shared" si="18"/>
        <v>5.1428060459870286</v>
      </c>
      <c r="L37" s="103">
        <f t="shared" si="18"/>
        <v>5.0155898889033415</v>
      </c>
      <c r="M37" s="103">
        <f t="shared" si="18"/>
        <v>4.9951425301983621</v>
      </c>
      <c r="N37" s="104">
        <f t="shared" si="18"/>
        <v>5.0097948462924098</v>
      </c>
    </row>
    <row r="38" spans="2:14" ht="14.95" thickBot="1">
      <c r="B38" s="105" t="s">
        <v>45</v>
      </c>
      <c r="C38" s="106">
        <f>C19*365/'Profit &amp; Loss Statement'!C$5</f>
        <v>5.237591155022348</v>
      </c>
      <c r="D38" s="106">
        <f>D19*365/'Profit &amp; Loss Statement'!D$5</f>
        <v>4.550443797005217</v>
      </c>
      <c r="E38" s="106">
        <f>E19*365/'Profit &amp; Loss Statement'!E$5</f>
        <v>2.7758840463470875</v>
      </c>
      <c r="F38" s="106">
        <f>F19*365/'Profit &amp; Loss Statement'!F$5</f>
        <v>9.1083642569917629</v>
      </c>
      <c r="G38" s="106">
        <f>G19*365/'Profit &amp; Loss Statement'!G$5</f>
        <v>8.89429890732867</v>
      </c>
      <c r="H38" s="106">
        <f>H19*365/'Profit &amp; Loss Statement'!H$5</f>
        <v>7.3853451713787965</v>
      </c>
      <c r="I38" s="317">
        <f>I19*365/'Profit &amp; Loss Statement'!I$5</f>
        <v>6.3085199364790174</v>
      </c>
      <c r="J38" s="106">
        <f t="shared" ref="J38:N38" si="19">I38*40%+H38*30%+G38*10%+F38*10%+E38*10%</f>
        <v>6.8168662470719976</v>
      </c>
      <c r="K38" s="106">
        <f t="shared" si="19"/>
        <v>7.1581033133424263</v>
      </c>
      <c r="L38" s="106">
        <f t="shared" si="19"/>
        <v>7.1671176009772184</v>
      </c>
      <c r="M38" s="106">
        <f t="shared" si="19"/>
        <v>7.0653511698865961</v>
      </c>
      <c r="N38" s="107">
        <f t="shared" si="19"/>
        <v>7.0046246979371487</v>
      </c>
    </row>
    <row r="40" spans="2:14" ht="14.95" thickBot="1"/>
    <row r="41" spans="2:14" ht="14.95" thickBot="1">
      <c r="B41" s="26" t="s">
        <v>108</v>
      </c>
      <c r="C41" s="3" t="str">
        <f>C30</f>
        <v>FY18</v>
      </c>
      <c r="D41" s="3" t="str">
        <f t="shared" ref="D41:L41" si="20">D30</f>
        <v>FY19</v>
      </c>
      <c r="E41" s="3" t="str">
        <f t="shared" si="20"/>
        <v>FY20</v>
      </c>
      <c r="F41" s="3" t="str">
        <f t="shared" si="20"/>
        <v>FY21</v>
      </c>
      <c r="G41" s="3" t="str">
        <f t="shared" si="20"/>
        <v>FY22</v>
      </c>
      <c r="H41" s="3" t="str">
        <f t="shared" si="20"/>
        <v>FY23</v>
      </c>
      <c r="I41" s="4" t="str">
        <f t="shared" si="20"/>
        <v>FY24</v>
      </c>
      <c r="J41" s="3" t="str">
        <f t="shared" si="20"/>
        <v>FY25E</v>
      </c>
      <c r="K41" s="3" t="str">
        <f t="shared" si="20"/>
        <v>FY26E</v>
      </c>
      <c r="L41" s="3" t="str">
        <f t="shared" si="20"/>
        <v>FY27E</v>
      </c>
      <c r="M41" s="3" t="str">
        <f>M30</f>
        <v>FY28E</v>
      </c>
      <c r="N41" s="5" t="str">
        <f>N30</f>
        <v>FY29E</v>
      </c>
    </row>
    <row r="42" spans="2:14">
      <c r="B42" s="108" t="s">
        <v>109</v>
      </c>
      <c r="C42" s="109">
        <f>'Balance Sheet'!D37</f>
        <v>1483</v>
      </c>
      <c r="D42" s="109">
        <f>'Balance Sheet'!E37</f>
        <v>850</v>
      </c>
      <c r="E42" s="109">
        <f>'Balance Sheet'!F37</f>
        <v>132</v>
      </c>
      <c r="F42" s="109">
        <f>'Balance Sheet'!G37</f>
        <v>3661</v>
      </c>
      <c r="G42" s="109">
        <f>'Balance Sheet'!H37</f>
        <v>1724</v>
      </c>
      <c r="H42" s="109">
        <f>'Balance Sheet'!I37</f>
        <v>11278</v>
      </c>
      <c r="I42" s="318">
        <f>'Balance Sheet'!J37</f>
        <v>10445</v>
      </c>
      <c r="J42" s="109">
        <f>AVERAGE(E42:I42)/AVERAGE(E$44:I$44)*J$44</f>
        <v>9604.4898092411386</v>
      </c>
      <c r="K42" s="109">
        <f t="shared" ref="K42:N42" si="21">AVERAGE(F42:J42)/AVERAGE(F$44:J$44)*K$44</f>
        <v>10462.417161894746</v>
      </c>
      <c r="L42" s="109">
        <f>AVERAGE(G42:K42)/AVERAGE(G$44:K$44)*L$44</f>
        <v>10855.333366089582</v>
      </c>
      <c r="M42" s="109">
        <f t="shared" si="21"/>
        <v>11922.875732875264</v>
      </c>
      <c r="N42" s="110">
        <f t="shared" si="21"/>
        <v>12308.673801523491</v>
      </c>
    </row>
    <row r="43" spans="2:14">
      <c r="B43" s="49" t="s">
        <v>110</v>
      </c>
      <c r="C43" s="111">
        <f>'Balance Sheet'!D46</f>
        <v>6855</v>
      </c>
      <c r="D43" s="111">
        <f>'Balance Sheet'!E46</f>
        <v>6012</v>
      </c>
      <c r="E43" s="111">
        <f>'Balance Sheet'!F46</f>
        <v>6916</v>
      </c>
      <c r="F43" s="111">
        <f>'Balance Sheet'!G46</f>
        <v>10972</v>
      </c>
      <c r="G43" s="111">
        <f>'Balance Sheet'!H46</f>
        <v>17340</v>
      </c>
      <c r="H43" s="111">
        <f>'Balance Sheet'!I46</f>
        <v>35477</v>
      </c>
      <c r="I43" s="319">
        <f>'Balance Sheet'!J46</f>
        <v>33792</v>
      </c>
      <c r="J43" s="112">
        <f t="shared" ref="J43:M43" si="22">AVERAGE(E43:I43)/AVERAGE(E$44:I$44)*J$44</f>
        <v>36844.36019075886</v>
      </c>
      <c r="K43" s="112">
        <f t="shared" si="22"/>
        <v>38308.875338105252</v>
      </c>
      <c r="L43" s="112">
        <f>AVERAGE(G43:K43)/AVERAGE(G$44:K$44)*L$44</f>
        <v>40354.523758910407</v>
      </c>
      <c r="M43" s="112">
        <f t="shared" si="22"/>
        <v>41847.474248374725</v>
      </c>
      <c r="N43" s="113">
        <f>AVERAGE(I43:M43)/AVERAGE(I$44:M$44)*N$44</f>
        <v>44150.193678788986</v>
      </c>
    </row>
    <row r="44" spans="2:14">
      <c r="B44" s="41" t="s">
        <v>111</v>
      </c>
      <c r="C44" s="114">
        <f t="shared" ref="C44:I44" si="23">SUM(C42:C43)</f>
        <v>8338</v>
      </c>
      <c r="D44" s="114">
        <f t="shared" si="23"/>
        <v>6862</v>
      </c>
      <c r="E44" s="114">
        <f t="shared" si="23"/>
        <v>7048</v>
      </c>
      <c r="F44" s="114">
        <f t="shared" si="23"/>
        <v>14633</v>
      </c>
      <c r="G44" s="114">
        <f t="shared" si="23"/>
        <v>19064</v>
      </c>
      <c r="H44" s="114">
        <f t="shared" si="23"/>
        <v>46755</v>
      </c>
      <c r="I44" s="320">
        <f t="shared" si="23"/>
        <v>44237</v>
      </c>
      <c r="J44" s="115">
        <f>I44+J60</f>
        <v>46448.85</v>
      </c>
      <c r="K44" s="115">
        <f t="shared" ref="K44:N44" si="24">J44+K60</f>
        <v>48771.292499999996</v>
      </c>
      <c r="L44" s="115">
        <f t="shared" si="24"/>
        <v>51209.857124999995</v>
      </c>
      <c r="M44" s="115">
        <f t="shared" si="24"/>
        <v>53770.349981249994</v>
      </c>
      <c r="N44" s="116">
        <f t="shared" si="24"/>
        <v>56458.867480312496</v>
      </c>
    </row>
    <row r="45" spans="2:14">
      <c r="B45" s="41"/>
      <c r="C45" s="114"/>
      <c r="D45" s="114"/>
      <c r="E45" s="114"/>
      <c r="F45" s="114"/>
      <c r="G45" s="114"/>
      <c r="H45" s="114"/>
      <c r="I45" s="320"/>
      <c r="J45" s="112"/>
      <c r="K45" s="112"/>
      <c r="L45" s="112"/>
      <c r="M45" s="112"/>
      <c r="N45" s="113"/>
    </row>
    <row r="46" spans="2:14">
      <c r="B46" s="91" t="s">
        <v>112</v>
      </c>
      <c r="C46" s="112">
        <f>'Balance Sheet'!D38</f>
        <v>4314</v>
      </c>
      <c r="D46" s="112">
        <f>'Balance Sheet'!E38</f>
        <v>2964</v>
      </c>
      <c r="E46" s="112">
        <f>'Balance Sheet'!F38</f>
        <v>1731</v>
      </c>
      <c r="F46" s="112">
        <f>'Balance Sheet'!G38</f>
        <v>1223</v>
      </c>
      <c r="G46" s="112">
        <f>'Balance Sheet'!H38</f>
        <v>4119</v>
      </c>
      <c r="H46" s="112">
        <f>'Balance Sheet'!I38</f>
        <v>4761</v>
      </c>
      <c r="I46" s="321">
        <f>'Balance Sheet'!J38</f>
        <v>4570</v>
      </c>
      <c r="J46" s="112">
        <f>AVERAGE(E46:I46)/AVERAGE(E$48:I$48)*J$48</f>
        <v>4678.442497568567</v>
      </c>
      <c r="K46" s="112">
        <f t="shared" ref="K46:N46" si="25">AVERAGE(F46:J46)/AVERAGE(F$48:J$48)*K$48</f>
        <v>5051.3826498137005</v>
      </c>
      <c r="L46" s="112">
        <f t="shared" si="25"/>
        <v>5423.9227796073619</v>
      </c>
      <c r="M46" s="112">
        <f t="shared" si="25"/>
        <v>5659.9075927365384</v>
      </c>
      <c r="N46" s="113">
        <f t="shared" si="25"/>
        <v>5862.9847094262514</v>
      </c>
    </row>
    <row r="47" spans="2:14">
      <c r="B47" s="49" t="s">
        <v>113</v>
      </c>
      <c r="C47" s="111">
        <f>'Balance Sheet'!D47</f>
        <v>1456</v>
      </c>
      <c r="D47" s="111">
        <f>'Balance Sheet'!E47</f>
        <v>1582</v>
      </c>
      <c r="E47" s="111">
        <f>'Balance Sheet'!F47</f>
        <v>1816</v>
      </c>
      <c r="F47" s="111">
        <f>'Balance Sheet'!G47</f>
        <v>1422</v>
      </c>
      <c r="G47" s="111">
        <f>'Balance Sheet'!H47</f>
        <v>1792</v>
      </c>
      <c r="H47" s="111">
        <f>'Balance Sheet'!I47</f>
        <v>1859</v>
      </c>
      <c r="I47" s="319">
        <f>'Balance Sheet'!J47</f>
        <v>2412</v>
      </c>
      <c r="J47" s="112">
        <f t="shared" ref="J47:N47" si="26">AVERAGE(E47:I47)/AVERAGE(E$48:I$48)*J$48</f>
        <v>2652.6575024314338</v>
      </c>
      <c r="K47" s="112">
        <f t="shared" si="26"/>
        <v>2646.2723501863006</v>
      </c>
      <c r="L47" s="112">
        <f t="shared" si="26"/>
        <v>2658.6149703926385</v>
      </c>
      <c r="M47" s="112">
        <f t="shared" si="26"/>
        <v>2826.7570447634616</v>
      </c>
      <c r="N47" s="113">
        <f t="shared" si="26"/>
        <v>3048.013159948749</v>
      </c>
    </row>
    <row r="48" spans="2:14">
      <c r="B48" s="41" t="s">
        <v>114</v>
      </c>
      <c r="C48" s="114">
        <f t="shared" ref="C48:I48" si="27">SUM(C46:C47)</f>
        <v>5770</v>
      </c>
      <c r="D48" s="114">
        <f t="shared" si="27"/>
        <v>4546</v>
      </c>
      <c r="E48" s="114">
        <f t="shared" si="27"/>
        <v>3547</v>
      </c>
      <c r="F48" s="114">
        <f t="shared" si="27"/>
        <v>2645</v>
      </c>
      <c r="G48" s="114">
        <f t="shared" si="27"/>
        <v>5911</v>
      </c>
      <c r="H48" s="114">
        <f t="shared" si="27"/>
        <v>6620</v>
      </c>
      <c r="I48" s="320">
        <f t="shared" si="27"/>
        <v>6982</v>
      </c>
      <c r="J48" s="114">
        <f>I48+J65</f>
        <v>7331.1</v>
      </c>
      <c r="K48" s="114">
        <f t="shared" ref="K48:N48" si="28">J48+K65</f>
        <v>7697.6550000000007</v>
      </c>
      <c r="L48" s="114">
        <f t="shared" si="28"/>
        <v>8082.5377500000004</v>
      </c>
      <c r="M48" s="114">
        <f t="shared" si="28"/>
        <v>8486.6646375</v>
      </c>
      <c r="N48" s="117">
        <f t="shared" si="28"/>
        <v>8910.9978693749999</v>
      </c>
    </row>
    <row r="49" spans="1:14">
      <c r="B49" s="49"/>
      <c r="I49" s="322"/>
      <c r="N49" s="37"/>
    </row>
    <row r="50" spans="1:14">
      <c r="A50" t="s">
        <v>283</v>
      </c>
      <c r="B50" s="118" t="s">
        <v>115</v>
      </c>
      <c r="C50" s="112"/>
      <c r="D50" s="112">
        <v>576</v>
      </c>
      <c r="E50" s="112">
        <v>336</v>
      </c>
      <c r="F50" s="112">
        <v>293</v>
      </c>
      <c r="G50" s="112">
        <v>343</v>
      </c>
      <c r="H50" s="112">
        <v>1548</v>
      </c>
      <c r="I50" s="321">
        <f>2460+948</f>
        <v>3408</v>
      </c>
      <c r="J50" s="112">
        <f>J55*AVERAGE(I44:J44)</f>
        <v>2764.6890308828943</v>
      </c>
      <c r="K50" s="112">
        <f t="shared" ref="K50:N50" si="29">K55*AVERAGE(J44:K44)</f>
        <v>3234.6418319907298</v>
      </c>
      <c r="L50" s="112">
        <f t="shared" si="29"/>
        <v>3222.2217900693281</v>
      </c>
      <c r="M50" s="112">
        <f t="shared" si="29"/>
        <v>3474.7627496712867</v>
      </c>
      <c r="N50" s="113">
        <f t="shared" si="29"/>
        <v>3600.5002053531421</v>
      </c>
    </row>
    <row r="51" spans="1:14">
      <c r="A51" t="s">
        <v>284</v>
      </c>
      <c r="B51" s="118" t="s">
        <v>116</v>
      </c>
      <c r="C51" s="112"/>
      <c r="D51" s="112">
        <v>549</v>
      </c>
      <c r="E51" s="112">
        <v>414</v>
      </c>
      <c r="F51" s="112">
        <v>328</v>
      </c>
      <c r="G51" s="112">
        <v>487</v>
      </c>
      <c r="H51" s="112">
        <v>544</v>
      </c>
      <c r="I51" s="321">
        <v>614</v>
      </c>
      <c r="J51" s="112">
        <f>J56*AVERAGE(I48:J48)</f>
        <v>694.05118383963077</v>
      </c>
      <c r="K51" s="112">
        <f t="shared" ref="K51:N51" si="30">K56*AVERAGE(J48:K48)</f>
        <v>686.53048217679191</v>
      </c>
      <c r="L51" s="112">
        <f t="shared" si="30"/>
        <v>732.79099106378851</v>
      </c>
      <c r="M51" s="112">
        <f t="shared" si="30"/>
        <v>776.59379963641447</v>
      </c>
      <c r="N51" s="113">
        <f t="shared" si="30"/>
        <v>806.02346889865669</v>
      </c>
    </row>
    <row r="52" spans="1:14">
      <c r="B52" s="118" t="s">
        <v>117</v>
      </c>
      <c r="C52" s="112"/>
      <c r="D52" s="112">
        <v>469</v>
      </c>
      <c r="E52" s="112">
        <v>52</v>
      </c>
      <c r="F52" s="112">
        <v>28</v>
      </c>
      <c r="G52" s="112">
        <v>165</v>
      </c>
      <c r="H52" s="112">
        <v>94</v>
      </c>
      <c r="I52" s="321">
        <v>205</v>
      </c>
      <c r="J52" s="112">
        <f>AVERAGE(E52:I52)</f>
        <v>108.8</v>
      </c>
      <c r="K52" s="112">
        <f t="shared" ref="K52:N52" si="31">AVERAGE(F52:J52)</f>
        <v>120.16</v>
      </c>
      <c r="L52" s="112">
        <f t="shared" si="31"/>
        <v>138.59199999999998</v>
      </c>
      <c r="M52" s="112">
        <f t="shared" si="31"/>
        <v>133.31040000000002</v>
      </c>
      <c r="N52" s="113">
        <f t="shared" si="31"/>
        <v>141.17248000000001</v>
      </c>
    </row>
    <row r="53" spans="1:14">
      <c r="B53" s="119" t="s">
        <v>118</v>
      </c>
      <c r="C53" s="115"/>
      <c r="D53" s="115">
        <f t="shared" ref="D53:I53" si="32">SUM(D50:D52)</f>
        <v>1594</v>
      </c>
      <c r="E53" s="115">
        <f t="shared" si="32"/>
        <v>802</v>
      </c>
      <c r="F53" s="115">
        <f t="shared" si="32"/>
        <v>649</v>
      </c>
      <c r="G53" s="115">
        <f t="shared" si="32"/>
        <v>995</v>
      </c>
      <c r="H53" s="115">
        <f t="shared" si="32"/>
        <v>2186</v>
      </c>
      <c r="I53" s="323">
        <f t="shared" si="32"/>
        <v>4227</v>
      </c>
      <c r="J53" s="115">
        <f>SUM(J50:J52)</f>
        <v>3567.540214722525</v>
      </c>
      <c r="K53" s="115">
        <f t="shared" ref="K53:N53" si="33">SUM(K50:K52)</f>
        <v>4041.3323141675214</v>
      </c>
      <c r="L53" s="115">
        <f t="shared" si="33"/>
        <v>4093.6047811331168</v>
      </c>
      <c r="M53" s="115">
        <f t="shared" si="33"/>
        <v>4384.6669493077015</v>
      </c>
      <c r="N53" s="116">
        <f t="shared" si="33"/>
        <v>4547.6961542517993</v>
      </c>
    </row>
    <row r="54" spans="1:14">
      <c r="B54" s="89"/>
      <c r="C54" s="103"/>
      <c r="D54" s="103"/>
      <c r="E54" s="103"/>
      <c r="F54" s="103"/>
      <c r="G54" s="103"/>
      <c r="H54" s="103"/>
      <c r="I54" s="316"/>
      <c r="J54" s="103"/>
      <c r="K54" s="103"/>
      <c r="L54" s="103"/>
      <c r="M54" s="103"/>
      <c r="N54" s="104"/>
    </row>
    <row r="55" spans="1:14">
      <c r="B55" s="91" t="s">
        <v>119</v>
      </c>
      <c r="C55" s="50"/>
      <c r="D55" s="50">
        <f>D50/C44</f>
        <v>6.9081314463900215E-2</v>
      </c>
      <c r="E55" s="50">
        <f>E50/AVERAGE(D44:E44)</f>
        <v>4.831056793673616E-2</v>
      </c>
      <c r="F55" s="50">
        <f>F50/AVERAGE(E44:F44)</f>
        <v>2.7028273603616069E-2</v>
      </c>
      <c r="G55" s="50">
        <f>G50/AVERAGE(F44:G44)</f>
        <v>2.0357895361604889E-2</v>
      </c>
      <c r="H55" s="50">
        <f>H50/AVERAGE(G44:H44)</f>
        <v>4.7038089305519684E-2</v>
      </c>
      <c r="I55" s="324">
        <f>I50/AVERAGE(H44:I44)</f>
        <v>7.4907684192016877E-2</v>
      </c>
      <c r="J55" s="50">
        <f>AVERAGE(H55:I55)</f>
        <v>6.097288674876828E-2</v>
      </c>
      <c r="K55" s="50">
        <f t="shared" ref="K55:N55" si="34">AVERAGE(I55:J55)</f>
        <v>6.7940285470392575E-2</v>
      </c>
      <c r="L55" s="50">
        <f t="shared" si="34"/>
        <v>6.4456586109580424E-2</v>
      </c>
      <c r="M55" s="50">
        <f t="shared" si="34"/>
        <v>6.6198435789986493E-2</v>
      </c>
      <c r="N55" s="51">
        <f t="shared" si="34"/>
        <v>6.5327510949783452E-2</v>
      </c>
    </row>
    <row r="56" spans="1:14">
      <c r="B56" s="91" t="s">
        <v>120</v>
      </c>
      <c r="C56" s="50"/>
      <c r="D56" s="50">
        <f>D51/C48</f>
        <v>9.5147313691507793E-2</v>
      </c>
      <c r="E56" s="50">
        <f>E51/AVERAGE(D48:E48)</f>
        <v>0.10231063882367478</v>
      </c>
      <c r="F56" s="50">
        <f>F51/AVERAGE(E48:F48)</f>
        <v>0.10594315245478036</v>
      </c>
      <c r="G56" s="50">
        <f>G51/AVERAGE(F48:G48)</f>
        <v>0.11383824216923796</v>
      </c>
      <c r="H56" s="50">
        <f>H51/AVERAGE(G48:H48)</f>
        <v>8.6824674806479929E-2</v>
      </c>
      <c r="I56" s="324">
        <f>I51/AVERAGE(H48:I48)</f>
        <v>9.0280841052786359E-2</v>
      </c>
      <c r="J56" s="50">
        <f>AVERAGE(G56:I56)</f>
        <v>9.6981252676168084E-2</v>
      </c>
      <c r="K56" s="50">
        <f t="shared" ref="K56:N56" si="35">AVERAGE(H56:J56)</f>
        <v>9.136225617847811E-2</v>
      </c>
      <c r="L56" s="50">
        <f t="shared" si="35"/>
        <v>9.2874783302477518E-2</v>
      </c>
      <c r="M56" s="50">
        <f t="shared" si="35"/>
        <v>9.3739430719041228E-2</v>
      </c>
      <c r="N56" s="51">
        <f t="shared" si="35"/>
        <v>9.2658823399998938E-2</v>
      </c>
    </row>
    <row r="57" spans="1:14">
      <c r="B57" s="91" t="s">
        <v>121</v>
      </c>
      <c r="C57" s="50"/>
      <c r="D57" s="50"/>
      <c r="E57" s="50"/>
      <c r="F57" s="50"/>
      <c r="G57" s="50"/>
      <c r="H57" s="50"/>
      <c r="I57" s="324"/>
      <c r="J57" s="103"/>
      <c r="K57" s="103"/>
      <c r="L57" s="103"/>
      <c r="M57" s="103"/>
      <c r="N57" s="104"/>
    </row>
    <row r="58" spans="1:14">
      <c r="B58" s="91" t="s">
        <v>122</v>
      </c>
      <c r="C58" s="120"/>
      <c r="D58" s="120"/>
      <c r="E58" s="120"/>
      <c r="F58" s="120"/>
      <c r="G58" s="120"/>
      <c r="H58" s="120"/>
      <c r="I58" s="384">
        <v>0.1</v>
      </c>
      <c r="J58" s="112">
        <f>I44*10%</f>
        <v>4423.7</v>
      </c>
      <c r="K58" s="112">
        <f t="shared" ref="K58:N58" si="36">J44*10%</f>
        <v>4644.8850000000002</v>
      </c>
      <c r="L58" s="112">
        <f t="shared" si="36"/>
        <v>4877.12925</v>
      </c>
      <c r="M58" s="112">
        <f t="shared" si="36"/>
        <v>5120.9857124999999</v>
      </c>
      <c r="N58" s="113">
        <f t="shared" si="36"/>
        <v>5377.0349981250001</v>
      </c>
    </row>
    <row r="59" spans="1:14">
      <c r="B59" s="91" t="s">
        <v>123</v>
      </c>
      <c r="C59" s="120"/>
      <c r="D59" s="120"/>
      <c r="E59" s="120"/>
      <c r="F59" s="120"/>
      <c r="G59" s="120"/>
      <c r="H59" s="120"/>
      <c r="I59" s="384">
        <v>0.05</v>
      </c>
      <c r="J59" s="112">
        <f>I44*5%</f>
        <v>2211.85</v>
      </c>
      <c r="K59" s="112">
        <f t="shared" ref="K59:N59" si="37">J44*5%</f>
        <v>2322.4425000000001</v>
      </c>
      <c r="L59" s="112">
        <f t="shared" si="37"/>
        <v>2438.564625</v>
      </c>
      <c r="M59" s="112">
        <f t="shared" si="37"/>
        <v>2560.4928562499999</v>
      </c>
      <c r="N59" s="113">
        <f t="shared" si="37"/>
        <v>2688.5174990625001</v>
      </c>
    </row>
    <row r="60" spans="1:14">
      <c r="B60" s="91" t="s">
        <v>124</v>
      </c>
      <c r="C60" s="120"/>
      <c r="D60" s="120"/>
      <c r="E60" s="120"/>
      <c r="F60" s="120"/>
      <c r="G60" s="120"/>
      <c r="H60" s="120"/>
      <c r="I60" s="384">
        <f>I58-I59</f>
        <v>0.05</v>
      </c>
      <c r="J60" s="112">
        <f>J58-J59</f>
        <v>2211.85</v>
      </c>
      <c r="K60" s="112">
        <f t="shared" ref="K60:N60" si="38">K58-K59</f>
        <v>2322.4425000000001</v>
      </c>
      <c r="L60" s="112">
        <f t="shared" si="38"/>
        <v>2438.564625</v>
      </c>
      <c r="M60" s="112">
        <f t="shared" si="38"/>
        <v>2560.4928562499999</v>
      </c>
      <c r="N60" s="113">
        <f t="shared" si="38"/>
        <v>2688.5174990625001</v>
      </c>
    </row>
    <row r="61" spans="1:14">
      <c r="B61" s="91" t="s">
        <v>125</v>
      </c>
      <c r="C61" s="120"/>
      <c r="D61" s="120"/>
      <c r="E61" s="120"/>
      <c r="F61" s="120"/>
      <c r="G61" s="120"/>
      <c r="H61" s="120"/>
      <c r="I61" s="325"/>
      <c r="J61" s="112">
        <f>J42-I42</f>
        <v>-840.51019075886143</v>
      </c>
      <c r="K61" s="112">
        <f t="shared" ref="K61:N61" si="39">K42-J42</f>
        <v>857.92735265360716</v>
      </c>
      <c r="L61" s="112">
        <f t="shared" si="39"/>
        <v>392.91620419483661</v>
      </c>
      <c r="M61" s="112">
        <f t="shared" si="39"/>
        <v>1067.5423667856812</v>
      </c>
      <c r="N61" s="113">
        <f t="shared" si="39"/>
        <v>385.79806864822785</v>
      </c>
    </row>
    <row r="62" spans="1:14">
      <c r="B62" s="91"/>
      <c r="C62" s="120"/>
      <c r="D62" s="120"/>
      <c r="E62" s="120"/>
      <c r="F62" s="120"/>
      <c r="G62" s="120"/>
      <c r="H62" s="120"/>
      <c r="I62" s="325"/>
      <c r="J62" s="103"/>
      <c r="K62" s="103"/>
      <c r="L62" s="103"/>
      <c r="M62" s="103"/>
      <c r="N62" s="104"/>
    </row>
    <row r="63" spans="1:14">
      <c r="B63" s="91" t="s">
        <v>126</v>
      </c>
      <c r="C63" s="120"/>
      <c r="D63" s="120"/>
      <c r="E63" s="120"/>
      <c r="F63" s="120"/>
      <c r="G63" s="120"/>
      <c r="H63" s="120"/>
      <c r="I63" s="325"/>
      <c r="J63" s="112">
        <f>I48*10%</f>
        <v>698.2</v>
      </c>
      <c r="K63" s="112">
        <f t="shared" ref="K63:N63" si="40">J48*10%</f>
        <v>733.11000000000013</v>
      </c>
      <c r="L63" s="112">
        <f t="shared" si="40"/>
        <v>769.76550000000009</v>
      </c>
      <c r="M63" s="112">
        <f t="shared" si="40"/>
        <v>808.25377500000013</v>
      </c>
      <c r="N63" s="113">
        <f t="shared" si="40"/>
        <v>848.66646375000005</v>
      </c>
    </row>
    <row r="64" spans="1:14">
      <c r="B64" s="91" t="s">
        <v>127</v>
      </c>
      <c r="C64" s="120"/>
      <c r="D64" s="120"/>
      <c r="E64" s="120"/>
      <c r="F64" s="120"/>
      <c r="G64" s="120"/>
      <c r="H64" s="120"/>
      <c r="I64" s="325"/>
      <c r="J64" s="112">
        <f>I48*5%</f>
        <v>349.1</v>
      </c>
      <c r="K64" s="112">
        <f t="shared" ref="K64:N64" si="41">J48*5%</f>
        <v>366.55500000000006</v>
      </c>
      <c r="L64" s="112">
        <f t="shared" si="41"/>
        <v>384.88275000000004</v>
      </c>
      <c r="M64" s="112">
        <f t="shared" si="41"/>
        <v>404.12688750000007</v>
      </c>
      <c r="N64" s="113">
        <f t="shared" si="41"/>
        <v>424.33323187500002</v>
      </c>
    </row>
    <row r="65" spans="1:18">
      <c r="B65" s="49" t="s">
        <v>128</v>
      </c>
      <c r="C65" s="120"/>
      <c r="D65" s="120"/>
      <c r="E65" s="120"/>
      <c r="F65" s="120"/>
      <c r="G65" s="120"/>
      <c r="H65" s="120"/>
      <c r="I65" s="325"/>
      <c r="J65" s="112">
        <f>J63-J64</f>
        <v>349.1</v>
      </c>
      <c r="K65" s="112">
        <f t="shared" ref="K65:N65" si="42">K63-K64</f>
        <v>366.55500000000006</v>
      </c>
      <c r="L65" s="112">
        <f t="shared" si="42"/>
        <v>384.88275000000004</v>
      </c>
      <c r="M65" s="112">
        <f t="shared" si="42"/>
        <v>404.12688750000007</v>
      </c>
      <c r="N65" s="113">
        <f t="shared" si="42"/>
        <v>424.33323187500002</v>
      </c>
    </row>
    <row r="66" spans="1:18" ht="14.95" thickBot="1">
      <c r="B66" s="121" t="s">
        <v>129</v>
      </c>
      <c r="C66" s="122"/>
      <c r="D66" s="122"/>
      <c r="E66" s="122"/>
      <c r="F66" s="122"/>
      <c r="G66" s="122"/>
      <c r="H66" s="122"/>
      <c r="I66" s="326"/>
      <c r="J66" s="123">
        <f>J46-I46</f>
        <v>108.44249756856698</v>
      </c>
      <c r="K66" s="123">
        <f t="shared" ref="K66:N66" si="43">K46-J46</f>
        <v>372.9401522451335</v>
      </c>
      <c r="L66" s="123">
        <f t="shared" si="43"/>
        <v>372.54012979366144</v>
      </c>
      <c r="M66" s="123">
        <f t="shared" si="43"/>
        <v>235.98481312917647</v>
      </c>
      <c r="N66" s="124">
        <f t="shared" si="43"/>
        <v>203.07711668971297</v>
      </c>
      <c r="R66" s="380"/>
    </row>
    <row r="67" spans="1:18">
      <c r="B67" s="125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</row>
    <row r="68" spans="1:18">
      <c r="B68" s="125" t="s">
        <v>282</v>
      </c>
    </row>
    <row r="69" spans="1:18" ht="14.95" thickBot="1"/>
    <row r="70" spans="1:18" ht="14.95" thickBot="1">
      <c r="B70" s="26" t="s">
        <v>130</v>
      </c>
      <c r="C70" s="3" t="str">
        <f t="shared" ref="C70:N70" si="44">C41</f>
        <v>FY18</v>
      </c>
      <c r="D70" s="3" t="str">
        <f t="shared" si="44"/>
        <v>FY19</v>
      </c>
      <c r="E70" s="3" t="str">
        <f t="shared" si="44"/>
        <v>FY20</v>
      </c>
      <c r="F70" s="3" t="str">
        <f t="shared" si="44"/>
        <v>FY21</v>
      </c>
      <c r="G70" s="3" t="str">
        <f t="shared" si="44"/>
        <v>FY22</v>
      </c>
      <c r="H70" s="3" t="str">
        <f t="shared" si="44"/>
        <v>FY23</v>
      </c>
      <c r="I70" s="3" t="str">
        <f t="shared" si="44"/>
        <v>FY24</v>
      </c>
      <c r="J70" s="3" t="str">
        <f t="shared" si="44"/>
        <v>FY25E</v>
      </c>
      <c r="K70" s="3" t="str">
        <f t="shared" si="44"/>
        <v>FY26E</v>
      </c>
      <c r="L70" s="3" t="str">
        <f t="shared" si="44"/>
        <v>FY27E</v>
      </c>
      <c r="M70" s="3" t="str">
        <f t="shared" si="44"/>
        <v>FY28E</v>
      </c>
      <c r="N70" s="5" t="str">
        <f t="shared" si="44"/>
        <v>FY29E</v>
      </c>
    </row>
    <row r="71" spans="1:18">
      <c r="A71" t="s">
        <v>260</v>
      </c>
      <c r="B71" s="126" t="s">
        <v>131</v>
      </c>
      <c r="C71" s="127">
        <f>'Balance Sheet'!D5</f>
        <v>264</v>
      </c>
      <c r="D71" s="127">
        <f>'Balance Sheet'!E5</f>
        <v>214</v>
      </c>
      <c r="E71" s="127">
        <f>'Balance Sheet'!F5</f>
        <v>93</v>
      </c>
      <c r="F71" s="127">
        <f>'Balance Sheet'!G5</f>
        <v>69</v>
      </c>
      <c r="G71" s="127">
        <f>'Balance Sheet'!H5</f>
        <v>78</v>
      </c>
      <c r="H71" s="127">
        <f>'Balance Sheet'!I5</f>
        <v>13278</v>
      </c>
      <c r="I71" s="128">
        <f>'Balance Sheet'!J5</f>
        <v>13778</v>
      </c>
      <c r="J71" s="127">
        <f>J78</f>
        <v>13995.651187609546</v>
      </c>
      <c r="K71" s="127">
        <f t="shared" ref="K71:N71" si="45">K78</f>
        <v>14231.888130690666</v>
      </c>
      <c r="L71" s="127">
        <f t="shared" si="45"/>
        <v>14479.581383145038</v>
      </c>
      <c r="M71" s="127">
        <f t="shared" si="45"/>
        <v>14739.894138090745</v>
      </c>
      <c r="N71" s="129">
        <f t="shared" si="45"/>
        <v>15013.243776851641</v>
      </c>
    </row>
    <row r="72" spans="1:18">
      <c r="A72" t="s">
        <v>260</v>
      </c>
      <c r="B72" s="126" t="s">
        <v>132</v>
      </c>
      <c r="C72" s="127">
        <f>'Balance Sheet'!D8</f>
        <v>793</v>
      </c>
      <c r="D72" s="127">
        <f>'Balance Sheet'!E8</f>
        <v>196</v>
      </c>
      <c r="E72" s="127">
        <f>'Balance Sheet'!F8</f>
        <v>72</v>
      </c>
      <c r="F72" s="127">
        <f>'Balance Sheet'!G8</f>
        <v>2966</v>
      </c>
      <c r="G72" s="127">
        <f>'Balance Sheet'!H8</f>
        <v>2396</v>
      </c>
      <c r="H72" s="127">
        <f>'Balance Sheet'!I8</f>
        <v>10182</v>
      </c>
      <c r="I72" s="128">
        <f>'Balance Sheet'!J8</f>
        <v>7786</v>
      </c>
      <c r="J72" s="127">
        <f>J82</f>
        <v>8969.55647262809</v>
      </c>
      <c r="K72" s="127">
        <f t="shared" ref="K72:N72" si="46">K82</f>
        <v>9465.896522534802</v>
      </c>
      <c r="L72" s="127">
        <f t="shared" si="46"/>
        <v>10514.811654969937</v>
      </c>
      <c r="M72" s="127">
        <f t="shared" si="46"/>
        <v>11579.988993532268</v>
      </c>
      <c r="N72" s="129">
        <f t="shared" si="46"/>
        <v>13065.263131285123</v>
      </c>
    </row>
    <row r="73" spans="1:18">
      <c r="A73" t="s">
        <v>260</v>
      </c>
      <c r="B73" s="126" t="s">
        <v>133</v>
      </c>
      <c r="C73" s="127">
        <f>'Balance Sheet'!D10</f>
        <v>5484</v>
      </c>
      <c r="D73" s="127">
        <f>'Balance Sheet'!E10</f>
        <v>3965</v>
      </c>
      <c r="E73" s="127">
        <f>'Balance Sheet'!F10</f>
        <v>3006</v>
      </c>
      <c r="F73" s="127">
        <f>'Balance Sheet'!G10</f>
        <v>2150</v>
      </c>
      <c r="G73" s="127">
        <f>'Balance Sheet'!H10</f>
        <v>5390</v>
      </c>
      <c r="H73" s="127">
        <f>'Balance Sheet'!I10</f>
        <v>5786</v>
      </c>
      <c r="I73" s="128">
        <f>'Balance Sheet'!J10</f>
        <v>5698</v>
      </c>
      <c r="J73" s="127">
        <f>J86</f>
        <v>6621.1873663268652</v>
      </c>
      <c r="K73" s="127">
        <f t="shared" ref="K73:N73" si="47">K86</f>
        <v>7820.0213706847535</v>
      </c>
      <c r="L73" s="127">
        <f t="shared" si="47"/>
        <v>8960.1412938744907</v>
      </c>
      <c r="M73" s="127">
        <f t="shared" si="47"/>
        <v>10294.554432397299</v>
      </c>
      <c r="N73" s="129">
        <f t="shared" si="47"/>
        <v>11934.800443196262</v>
      </c>
    </row>
    <row r="74" spans="1:18">
      <c r="B74" s="130"/>
      <c r="C74" s="42"/>
      <c r="D74" s="42"/>
      <c r="E74" s="42"/>
      <c r="F74" s="42"/>
      <c r="G74" s="42"/>
      <c r="H74" s="42"/>
      <c r="I74" s="131"/>
      <c r="J74" s="42"/>
      <c r="K74" s="42"/>
      <c r="L74" s="42"/>
      <c r="M74" s="42"/>
      <c r="N74" s="43"/>
    </row>
    <row r="75" spans="1:18">
      <c r="B75" s="132" t="s">
        <v>131</v>
      </c>
      <c r="C75" s="133"/>
      <c r="D75" s="133"/>
      <c r="E75" s="133"/>
      <c r="F75" s="133"/>
      <c r="G75" s="133"/>
      <c r="H75" s="133"/>
      <c r="I75" s="134"/>
      <c r="J75" s="133"/>
      <c r="K75" s="133"/>
      <c r="L75" s="133"/>
      <c r="M75" s="133"/>
      <c r="N75" s="135"/>
    </row>
    <row r="76" spans="1:18">
      <c r="B76" s="136" t="s">
        <v>134</v>
      </c>
      <c r="C76" s="23">
        <v>264</v>
      </c>
      <c r="D76" s="23">
        <v>357</v>
      </c>
      <c r="E76" s="23">
        <v>403</v>
      </c>
      <c r="F76" s="23">
        <v>452</v>
      </c>
      <c r="G76" s="23">
        <v>505</v>
      </c>
      <c r="H76" s="23">
        <v>13904</v>
      </c>
      <c r="I76" s="343">
        <v>14883</v>
      </c>
      <c r="J76" s="23">
        <f>I76+J99</f>
        <v>15625.5</v>
      </c>
      <c r="K76" s="23">
        <f t="shared" ref="K76:N76" si="48">J76+K99</f>
        <v>16412.77321858568</v>
      </c>
      <c r="L76" s="23">
        <f t="shared" si="48"/>
        <v>17239.32763184252</v>
      </c>
      <c r="M76" s="23">
        <f t="shared" si="48"/>
        <v>18107.619373046222</v>
      </c>
      <c r="N76" s="188">
        <f t="shared" si="48"/>
        <v>19019.587852433215</v>
      </c>
    </row>
    <row r="77" spans="1:18">
      <c r="B77" s="136" t="s">
        <v>135</v>
      </c>
      <c r="C77" s="42"/>
      <c r="D77" s="42">
        <v>143</v>
      </c>
      <c r="E77" s="42">
        <v>310</v>
      </c>
      <c r="F77" s="42">
        <v>383</v>
      </c>
      <c r="G77" s="42">
        <v>427</v>
      </c>
      <c r="H77" s="42">
        <v>626</v>
      </c>
      <c r="I77" s="131">
        <v>1105</v>
      </c>
      <c r="J77" s="42">
        <f>I77+J88</f>
        <v>1629.8488123904538</v>
      </c>
      <c r="K77" s="42">
        <f t="shared" ref="K77:N77" si="49">J77+K88</f>
        <v>2180.8850878950134</v>
      </c>
      <c r="L77" s="42">
        <f t="shared" si="49"/>
        <v>2759.7462486974819</v>
      </c>
      <c r="M77" s="42">
        <f t="shared" si="49"/>
        <v>3367.7252349554774</v>
      </c>
      <c r="N77" s="43">
        <f t="shared" si="49"/>
        <v>4006.3440755815736</v>
      </c>
    </row>
    <row r="78" spans="1:18">
      <c r="B78" s="136" t="s">
        <v>136</v>
      </c>
      <c r="C78" s="42">
        <f t="shared" ref="C78:I78" si="50">C76-C77</f>
        <v>264</v>
      </c>
      <c r="D78" s="42">
        <f t="shared" si="50"/>
        <v>214</v>
      </c>
      <c r="E78" s="42">
        <f t="shared" si="50"/>
        <v>93</v>
      </c>
      <c r="F78" s="42">
        <f t="shared" si="50"/>
        <v>69</v>
      </c>
      <c r="G78" s="42">
        <f t="shared" si="50"/>
        <v>78</v>
      </c>
      <c r="H78" s="42">
        <f t="shared" si="50"/>
        <v>13278</v>
      </c>
      <c r="I78" s="131">
        <f t="shared" si="50"/>
        <v>13778</v>
      </c>
      <c r="J78" s="42">
        <f>J76-J77</f>
        <v>13995.651187609546</v>
      </c>
      <c r="K78" s="42">
        <f t="shared" ref="K78:N78" si="51">K76-K77</f>
        <v>14231.888130690666</v>
      </c>
      <c r="L78" s="42">
        <f t="shared" si="51"/>
        <v>14479.581383145038</v>
      </c>
      <c r="M78" s="42">
        <f t="shared" si="51"/>
        <v>14739.894138090745</v>
      </c>
      <c r="N78" s="43">
        <f t="shared" si="51"/>
        <v>15013.243776851641</v>
      </c>
    </row>
    <row r="79" spans="1:18">
      <c r="B79" s="132" t="s">
        <v>132</v>
      </c>
      <c r="C79" s="133"/>
      <c r="D79" s="133"/>
      <c r="E79" s="133"/>
      <c r="F79" s="133"/>
      <c r="G79" s="133"/>
      <c r="H79" s="133"/>
      <c r="I79" s="134"/>
      <c r="J79" s="133"/>
      <c r="K79" s="133"/>
      <c r="L79" s="133"/>
      <c r="M79" s="133"/>
      <c r="N79" s="135"/>
    </row>
    <row r="80" spans="1:18">
      <c r="B80" s="136" t="s">
        <v>134</v>
      </c>
      <c r="C80" s="42">
        <f>29+545+39+180</f>
        <v>793</v>
      </c>
      <c r="D80" s="42">
        <f>32+577+42+187</f>
        <v>838</v>
      </c>
      <c r="E80" s="42">
        <f>32+577+42+254</f>
        <v>905</v>
      </c>
      <c r="F80" s="42">
        <v>3619</v>
      </c>
      <c r="G80" s="42">
        <v>4041</v>
      </c>
      <c r="H80" s="42">
        <v>13357</v>
      </c>
      <c r="I80" s="131">
        <v>13675</v>
      </c>
      <c r="J80" s="42">
        <f>I80+J102</f>
        <v>17687.5</v>
      </c>
      <c r="K80" s="42">
        <f t="shared" ref="K80:N80" si="52">J80+K102</f>
        <v>21930.915291057863</v>
      </c>
      <c r="L80" s="42">
        <f t="shared" si="52"/>
        <v>27551.528152784587</v>
      </c>
      <c r="M80" s="42">
        <f t="shared" si="52"/>
        <v>34409.07474672197</v>
      </c>
      <c r="N80" s="43">
        <f t="shared" si="52"/>
        <v>43097.628629784544</v>
      </c>
    </row>
    <row r="81" spans="1:14">
      <c r="B81" s="136" t="s">
        <v>135</v>
      </c>
      <c r="C81" s="42"/>
      <c r="D81" s="42">
        <f>32+468+36+106</f>
        <v>642</v>
      </c>
      <c r="E81" s="42">
        <f>32+574+41+186</f>
        <v>833</v>
      </c>
      <c r="F81" s="42">
        <v>653</v>
      </c>
      <c r="G81" s="42">
        <v>1645</v>
      </c>
      <c r="H81" s="42">
        <v>3175</v>
      </c>
      <c r="I81" s="131">
        <v>5889</v>
      </c>
      <c r="J81" s="42">
        <f>I81+J90</f>
        <v>8717.94352737191</v>
      </c>
      <c r="K81" s="42">
        <f t="shared" ref="K81:N81" si="53">J81+K90</f>
        <v>12465.018768523061</v>
      </c>
      <c r="L81" s="42">
        <f t="shared" si="53"/>
        <v>17036.71649781465</v>
      </c>
      <c r="M81" s="42">
        <f t="shared" si="53"/>
        <v>22829.085753189702</v>
      </c>
      <c r="N81" s="43">
        <f t="shared" si="53"/>
        <v>30032.365498499421</v>
      </c>
    </row>
    <row r="82" spans="1:14">
      <c r="B82" s="136" t="s">
        <v>137</v>
      </c>
      <c r="C82" s="42">
        <f t="shared" ref="C82:I82" si="54">C80-C81</f>
        <v>793</v>
      </c>
      <c r="D82" s="42">
        <f t="shared" si="54"/>
        <v>196</v>
      </c>
      <c r="E82" s="42">
        <f t="shared" si="54"/>
        <v>72</v>
      </c>
      <c r="F82" s="42">
        <f t="shared" si="54"/>
        <v>2966</v>
      </c>
      <c r="G82" s="42">
        <f t="shared" si="54"/>
        <v>2396</v>
      </c>
      <c r="H82" s="42">
        <f t="shared" si="54"/>
        <v>10182</v>
      </c>
      <c r="I82" s="131">
        <f t="shared" si="54"/>
        <v>7786</v>
      </c>
      <c r="J82" s="42">
        <f>J80-J81</f>
        <v>8969.55647262809</v>
      </c>
      <c r="K82" s="42">
        <f t="shared" ref="K82:N82" si="55">K80-K81</f>
        <v>9465.896522534802</v>
      </c>
      <c r="L82" s="42">
        <f t="shared" si="55"/>
        <v>10514.811654969937</v>
      </c>
      <c r="M82" s="42">
        <f t="shared" si="55"/>
        <v>11579.988993532268</v>
      </c>
      <c r="N82" s="43">
        <f t="shared" si="55"/>
        <v>13065.263131285123</v>
      </c>
    </row>
    <row r="83" spans="1:14">
      <c r="B83" s="132" t="s">
        <v>133</v>
      </c>
      <c r="C83" s="133"/>
      <c r="D83" s="133"/>
      <c r="E83" s="133"/>
      <c r="F83" s="133"/>
      <c r="G83" s="133"/>
      <c r="H83" s="133"/>
      <c r="I83" s="134"/>
      <c r="J83" s="133"/>
      <c r="K83" s="133"/>
      <c r="L83" s="133"/>
      <c r="M83" s="133"/>
      <c r="N83" s="135"/>
    </row>
    <row r="84" spans="1:14">
      <c r="B84" s="136" t="s">
        <v>134</v>
      </c>
      <c r="C84" s="42">
        <v>5484</v>
      </c>
      <c r="D84" s="42">
        <f>5484+255-71</f>
        <v>5668</v>
      </c>
      <c r="E84" s="42">
        <f>3965+706</f>
        <v>4671</v>
      </c>
      <c r="F84" s="42">
        <v>4081</v>
      </c>
      <c r="G84" s="42">
        <f>2150+5487</f>
        <v>7637</v>
      </c>
      <c r="H84" s="42">
        <f>5390+4317-1395</f>
        <v>8312</v>
      </c>
      <c r="I84" s="131">
        <f>5786+2571</f>
        <v>8357</v>
      </c>
      <c r="J84" s="42">
        <f>I86+J105</f>
        <v>9686.5</v>
      </c>
      <c r="K84" s="42">
        <f t="shared" ref="K84:N84" si="56">J86+K105</f>
        <v>11219.156316836568</v>
      </c>
      <c r="L84" s="42">
        <f t="shared" si="56"/>
        <v>12918.723789912474</v>
      </c>
      <c r="M84" s="42">
        <f t="shared" si="56"/>
        <v>14898.015037931465</v>
      </c>
      <c r="N84" s="43">
        <f t="shared" si="56"/>
        <v>17199.745340698548</v>
      </c>
    </row>
    <row r="85" spans="1:14">
      <c r="B85" s="136" t="s">
        <v>247</v>
      </c>
      <c r="C85" s="42">
        <v>0</v>
      </c>
      <c r="D85" s="42">
        <v>1703</v>
      </c>
      <c r="E85" s="42">
        <v>1665</v>
      </c>
      <c r="F85" s="42">
        <v>1931</v>
      </c>
      <c r="G85" s="42">
        <v>2247</v>
      </c>
      <c r="H85" s="42">
        <v>2526</v>
      </c>
      <c r="I85" s="131">
        <v>2659</v>
      </c>
      <c r="J85" s="42">
        <f>J92</f>
        <v>3065.3126336731348</v>
      </c>
      <c r="K85" s="42">
        <f t="shared" ref="K85:N85" si="57">K92</f>
        <v>3399.1349461518143</v>
      </c>
      <c r="L85" s="42">
        <f t="shared" si="57"/>
        <v>3958.5824960379832</v>
      </c>
      <c r="M85" s="42">
        <f t="shared" si="57"/>
        <v>4603.4606055341665</v>
      </c>
      <c r="N85" s="43">
        <f t="shared" si="57"/>
        <v>5264.9448975022869</v>
      </c>
    </row>
    <row r="86" spans="1:14">
      <c r="B86" s="136" t="s">
        <v>138</v>
      </c>
      <c r="C86" s="42">
        <f t="shared" ref="C86:I86" si="58">C84-C85</f>
        <v>5484</v>
      </c>
      <c r="D86" s="42">
        <f t="shared" si="58"/>
        <v>3965</v>
      </c>
      <c r="E86" s="42">
        <f t="shared" si="58"/>
        <v>3006</v>
      </c>
      <c r="F86" s="42">
        <f t="shared" si="58"/>
        <v>2150</v>
      </c>
      <c r="G86" s="42">
        <f t="shared" si="58"/>
        <v>5390</v>
      </c>
      <c r="H86" s="42">
        <f t="shared" si="58"/>
        <v>5786</v>
      </c>
      <c r="I86" s="131">
        <f t="shared" si="58"/>
        <v>5698</v>
      </c>
      <c r="J86" s="42">
        <f>J84-J85</f>
        <v>6621.1873663268652</v>
      </c>
      <c r="K86" s="42">
        <f t="shared" ref="K86:N86" si="59">K84-K85</f>
        <v>7820.0213706847535</v>
      </c>
      <c r="L86" s="42">
        <f t="shared" si="59"/>
        <v>8960.1412938744907</v>
      </c>
      <c r="M86" s="42">
        <f t="shared" si="59"/>
        <v>10294.554432397299</v>
      </c>
      <c r="N86" s="43">
        <f t="shared" si="59"/>
        <v>11934.800443196262</v>
      </c>
    </row>
    <row r="87" spans="1:14">
      <c r="B87" s="136"/>
      <c r="C87" s="42"/>
      <c r="D87" s="42"/>
      <c r="E87" s="42"/>
      <c r="F87" s="42"/>
      <c r="G87" s="42"/>
      <c r="H87" s="42"/>
      <c r="I87" s="131"/>
      <c r="J87" s="42"/>
      <c r="K87" s="42"/>
      <c r="L87" s="42"/>
      <c r="M87" s="42"/>
      <c r="N87" s="43"/>
    </row>
    <row r="88" spans="1:14" ht="13.75" customHeight="1">
      <c r="B88" s="132" t="s">
        <v>139</v>
      </c>
      <c r="C88" s="133"/>
      <c r="D88" s="133">
        <v>143</v>
      </c>
      <c r="E88" s="133">
        <v>167</v>
      </c>
      <c r="F88" s="133">
        <v>88</v>
      </c>
      <c r="G88" s="133">
        <v>71</v>
      </c>
      <c r="H88" s="133">
        <v>248</v>
      </c>
      <c r="I88" s="134">
        <v>495</v>
      </c>
      <c r="J88" s="133">
        <f>J89*AVERAGE(I76:J76)</f>
        <v>524.84881239045376</v>
      </c>
      <c r="K88" s="133">
        <f t="shared" ref="K88:N88" si="60">K89*AVERAGE(J76:K76)</f>
        <v>551.03627550455974</v>
      </c>
      <c r="L88" s="133">
        <f t="shared" si="60"/>
        <v>578.8611608024687</v>
      </c>
      <c r="M88" s="133">
        <f t="shared" si="60"/>
        <v>607.9789862579953</v>
      </c>
      <c r="N88" s="135">
        <f t="shared" si="60"/>
        <v>638.61884062609602</v>
      </c>
    </row>
    <row r="89" spans="1:14">
      <c r="B89" s="132" t="s">
        <v>140</v>
      </c>
      <c r="C89" s="133"/>
      <c r="D89" s="137">
        <f>D88/D76</f>
        <v>0.40056022408963587</v>
      </c>
      <c r="E89" s="137">
        <f t="shared" ref="E89:H89" si="61">E88/(AVERAGE(D76:E76))</f>
        <v>0.43947368421052629</v>
      </c>
      <c r="F89" s="137">
        <f t="shared" si="61"/>
        <v>0.20584795321637428</v>
      </c>
      <c r="G89" s="137">
        <f t="shared" si="61"/>
        <v>0.14838035527690699</v>
      </c>
      <c r="H89" s="327">
        <f t="shared" si="61"/>
        <v>3.4422930113123744E-2</v>
      </c>
      <c r="I89" s="328">
        <f>I88/(AVERAGE(H76:I76))</f>
        <v>3.4390523500191061E-2</v>
      </c>
      <c r="J89" s="327">
        <f>AVERAGE(H89:I89)</f>
        <v>3.4406726806657406E-2</v>
      </c>
      <c r="K89" s="327">
        <f t="shared" ref="K89:N89" si="62">AVERAGE(I89:J89)</f>
        <v>3.4398625153424234E-2</v>
      </c>
      <c r="L89" s="327">
        <f t="shared" si="62"/>
        <v>3.440267598004082E-2</v>
      </c>
      <c r="M89" s="327">
        <f t="shared" si="62"/>
        <v>3.4400650566732527E-2</v>
      </c>
      <c r="N89" s="383">
        <f t="shared" si="62"/>
        <v>3.4401663273386673E-2</v>
      </c>
    </row>
    <row r="90" spans="1:14">
      <c r="B90" s="132" t="s">
        <v>141</v>
      </c>
      <c r="C90" s="133"/>
      <c r="D90" s="133">
        <v>632</v>
      </c>
      <c r="E90" s="133">
        <v>191</v>
      </c>
      <c r="F90" s="133">
        <v>255</v>
      </c>
      <c r="G90" s="133">
        <v>970</v>
      </c>
      <c r="H90" s="133">
        <v>1417</v>
      </c>
      <c r="I90" s="134">
        <v>2675</v>
      </c>
      <c r="J90" s="133">
        <f>J91*AVERAGE(I80:J80)</f>
        <v>2828.9435273719096</v>
      </c>
      <c r="K90" s="133">
        <f t="shared" ref="K90:N90" si="63">K91*AVERAGE(J80:K80)</f>
        <v>3747.0752411511507</v>
      </c>
      <c r="L90" s="133">
        <f t="shared" si="63"/>
        <v>4571.6977292915881</v>
      </c>
      <c r="M90" s="133">
        <f t="shared" si="63"/>
        <v>5792.3692553750507</v>
      </c>
      <c r="N90" s="135">
        <f t="shared" si="63"/>
        <v>7203.2797453097182</v>
      </c>
    </row>
    <row r="91" spans="1:14">
      <c r="B91" s="132" t="s">
        <v>140</v>
      </c>
      <c r="C91" s="133"/>
      <c r="D91" s="137">
        <f>D90/D80</f>
        <v>0.75417661097852029</v>
      </c>
      <c r="E91" s="137">
        <f>E90/AVERAGE(D80:E80)</f>
        <v>0.21916236374067699</v>
      </c>
      <c r="F91" s="137">
        <f>F90/AVERAGE(E80:F80)</f>
        <v>0.11273209549071618</v>
      </c>
      <c r="G91" s="137">
        <f>G90/AVERAGE(F80:G80)</f>
        <v>0.25326370757180156</v>
      </c>
      <c r="H91" s="137">
        <f>H90/AVERAGE(G80:H80)</f>
        <v>0.16289228646970916</v>
      </c>
      <c r="I91" s="138">
        <f>I90/AVERAGE(H80:I80)</f>
        <v>0.1979135839005623</v>
      </c>
      <c r="J91" s="327">
        <f>AVERAGE(H91:I91)</f>
        <v>0.18040293518513573</v>
      </c>
      <c r="K91" s="327">
        <f t="shared" ref="K91:N91" si="64">AVERAGE(I91:J91)</f>
        <v>0.18915825954284901</v>
      </c>
      <c r="L91" s="327">
        <f t="shared" si="64"/>
        <v>0.18478059736399238</v>
      </c>
      <c r="M91" s="327">
        <f t="shared" si="64"/>
        <v>0.18696942845342068</v>
      </c>
      <c r="N91" s="383">
        <f t="shared" si="64"/>
        <v>0.18587501290870653</v>
      </c>
    </row>
    <row r="92" spans="1:14">
      <c r="B92" s="132" t="s">
        <v>142</v>
      </c>
      <c r="C92" s="133"/>
      <c r="D92" s="133">
        <v>1703</v>
      </c>
      <c r="E92" s="133">
        <v>1665</v>
      </c>
      <c r="F92" s="133">
        <v>1931</v>
      </c>
      <c r="G92" s="133">
        <v>2247</v>
      </c>
      <c r="H92" s="133">
        <v>2526</v>
      </c>
      <c r="I92" s="134">
        <v>2659</v>
      </c>
      <c r="J92" s="133">
        <f>J93*AVERAGE(I84:J84)</f>
        <v>3065.3126336731348</v>
      </c>
      <c r="K92" s="133">
        <f t="shared" ref="K92:N92" si="65">K93*AVERAGE(J84:K84)</f>
        <v>3399.1349461518143</v>
      </c>
      <c r="L92" s="133">
        <f t="shared" si="65"/>
        <v>3958.5824960379832</v>
      </c>
      <c r="M92" s="133">
        <f t="shared" si="65"/>
        <v>4603.4606055341665</v>
      </c>
      <c r="N92" s="135">
        <f t="shared" si="65"/>
        <v>5264.9448975022869</v>
      </c>
    </row>
    <row r="93" spans="1:14">
      <c r="B93" s="132" t="s">
        <v>140</v>
      </c>
      <c r="C93" s="133"/>
      <c r="D93" s="137">
        <f>D92/D84</f>
        <v>0.30045871559633025</v>
      </c>
      <c r="E93" s="137">
        <f>E92/AVERAGE(D84:E84)</f>
        <v>0.32208143921075538</v>
      </c>
      <c r="F93" s="137">
        <f>F92/AVERAGE(E84:F84)</f>
        <v>0.44127056672760512</v>
      </c>
      <c r="G93" s="137">
        <f>G92/AVERAGE(F84:G84)</f>
        <v>0.38351254480286739</v>
      </c>
      <c r="H93" s="137">
        <f>H92/AVERAGE(G84:H84)</f>
        <v>0.31675967145275563</v>
      </c>
      <c r="I93" s="138">
        <f>I92/AVERAGE(H84:I84)</f>
        <v>0.31903533505309256</v>
      </c>
      <c r="J93" s="327">
        <f>AVERAGE(G93:I93)</f>
        <v>0.33976918376957183</v>
      </c>
      <c r="K93" s="327">
        <f t="shared" ref="K93:N93" si="66">AVERAGE(H93:J93)</f>
        <v>0.32518806342514001</v>
      </c>
      <c r="L93" s="327">
        <f t="shared" si="66"/>
        <v>0.3279975274159348</v>
      </c>
      <c r="M93" s="327">
        <f t="shared" si="66"/>
        <v>0.33098492487021552</v>
      </c>
      <c r="N93" s="383">
        <f t="shared" si="66"/>
        <v>0.32805683857043011</v>
      </c>
    </row>
    <row r="94" spans="1:14" ht="14.95" thickBot="1">
      <c r="A94" t="s">
        <v>261</v>
      </c>
      <c r="B94" s="302" t="s">
        <v>143</v>
      </c>
      <c r="C94" s="303">
        <f t="shared" ref="C94:I94" si="67">C88+C90+C92</f>
        <v>0</v>
      </c>
      <c r="D94" s="303">
        <f t="shared" si="67"/>
        <v>2478</v>
      </c>
      <c r="E94" s="303">
        <f t="shared" si="67"/>
        <v>2023</v>
      </c>
      <c r="F94" s="303">
        <f t="shared" si="67"/>
        <v>2274</v>
      </c>
      <c r="G94" s="303">
        <f t="shared" si="67"/>
        <v>3288</v>
      </c>
      <c r="H94" s="303">
        <f t="shared" si="67"/>
        <v>4191</v>
      </c>
      <c r="I94" s="304">
        <f t="shared" si="67"/>
        <v>5829</v>
      </c>
      <c r="J94" s="303">
        <f>J92+J90+J88</f>
        <v>6419.1049734354983</v>
      </c>
      <c r="K94" s="305">
        <f t="shared" ref="K94:N94" si="68">K92+K90+K88</f>
        <v>7697.2464628075249</v>
      </c>
      <c r="L94" s="305">
        <f t="shared" si="68"/>
        <v>9109.1413861320398</v>
      </c>
      <c r="M94" s="305">
        <f t="shared" si="68"/>
        <v>11003.808847167211</v>
      </c>
      <c r="N94" s="306">
        <f t="shared" si="68"/>
        <v>13106.843483438101</v>
      </c>
    </row>
    <row r="95" spans="1:14">
      <c r="B95" s="139"/>
      <c r="C95" s="140"/>
      <c r="D95" s="140"/>
      <c r="E95" s="140"/>
      <c r="F95" s="140"/>
      <c r="G95" s="140"/>
      <c r="H95" s="140"/>
      <c r="I95" s="141"/>
      <c r="J95" s="140">
        <v>0.5</v>
      </c>
      <c r="K95" s="140">
        <v>0.5</v>
      </c>
      <c r="L95" s="140">
        <v>0.5</v>
      </c>
      <c r="M95" s="140">
        <v>0.5</v>
      </c>
      <c r="N95" s="142">
        <v>0.5</v>
      </c>
    </row>
    <row r="96" spans="1:14">
      <c r="B96" s="49"/>
      <c r="C96" s="140"/>
      <c r="D96" s="140"/>
      <c r="E96" s="140"/>
      <c r="F96" s="140"/>
      <c r="G96" s="140"/>
      <c r="H96" s="140"/>
      <c r="I96" s="141"/>
      <c r="J96" s="140"/>
      <c r="K96" s="140"/>
      <c r="L96" s="140"/>
      <c r="M96" s="140"/>
      <c r="N96" s="142"/>
    </row>
    <row r="97" spans="1:14">
      <c r="B97" s="132" t="s">
        <v>145</v>
      </c>
      <c r="C97" s="296"/>
      <c r="D97" s="143"/>
      <c r="E97" s="143"/>
      <c r="F97" s="143"/>
      <c r="G97" s="143"/>
      <c r="H97" s="143"/>
      <c r="I97" s="144"/>
      <c r="J97" s="143">
        <f>I88</f>
        <v>495</v>
      </c>
      <c r="K97" s="143">
        <f t="shared" ref="K97:N97" si="69">J88</f>
        <v>524.84881239045376</v>
      </c>
      <c r="L97" s="143">
        <f t="shared" si="69"/>
        <v>551.03627550455974</v>
      </c>
      <c r="M97" s="143">
        <f t="shared" si="69"/>
        <v>578.8611608024687</v>
      </c>
      <c r="N97" s="145">
        <f t="shared" si="69"/>
        <v>607.9789862579953</v>
      </c>
    </row>
    <row r="98" spans="1:14">
      <c r="B98" s="132" t="s">
        <v>146</v>
      </c>
      <c r="C98" s="143"/>
      <c r="D98" s="143"/>
      <c r="E98" s="143"/>
      <c r="F98" s="143"/>
      <c r="G98" s="143"/>
      <c r="H98" s="143"/>
      <c r="I98" s="144"/>
      <c r="J98" s="143">
        <f>J97*J$95</f>
        <v>247.5</v>
      </c>
      <c r="K98" s="143">
        <f t="shared" ref="K98:N98" si="70">K97*K$95</f>
        <v>262.42440619522688</v>
      </c>
      <c r="L98" s="143">
        <f t="shared" si="70"/>
        <v>275.51813775227987</v>
      </c>
      <c r="M98" s="143">
        <f t="shared" si="70"/>
        <v>289.43058040123435</v>
      </c>
      <c r="N98" s="145">
        <f t="shared" si="70"/>
        <v>303.98949312899765</v>
      </c>
    </row>
    <row r="99" spans="1:14">
      <c r="B99" s="152" t="s">
        <v>147</v>
      </c>
      <c r="C99" s="153"/>
      <c r="D99" s="153"/>
      <c r="E99" s="153"/>
      <c r="F99" s="153"/>
      <c r="G99" s="153"/>
      <c r="H99" s="153"/>
      <c r="I99" s="154"/>
      <c r="J99" s="153">
        <f>J97+J98</f>
        <v>742.5</v>
      </c>
      <c r="K99" s="153">
        <f t="shared" ref="K99:N99" si="71">K97+K98</f>
        <v>787.27321858568064</v>
      </c>
      <c r="L99" s="153">
        <f t="shared" si="71"/>
        <v>826.55441325683955</v>
      </c>
      <c r="M99" s="153">
        <f t="shared" si="71"/>
        <v>868.29174120370305</v>
      </c>
      <c r="N99" s="155">
        <f t="shared" si="71"/>
        <v>911.96847938699295</v>
      </c>
    </row>
    <row r="100" spans="1:14">
      <c r="B100" s="132" t="s">
        <v>148</v>
      </c>
      <c r="C100" s="296"/>
      <c r="D100" s="143"/>
      <c r="E100" s="143"/>
      <c r="F100" s="143"/>
      <c r="G100" s="143"/>
      <c r="H100" s="143"/>
      <c r="I100" s="144"/>
      <c r="J100" s="143">
        <f>I90</f>
        <v>2675</v>
      </c>
      <c r="K100" s="143">
        <f t="shared" ref="K100:N100" si="72">J90</f>
        <v>2828.9435273719096</v>
      </c>
      <c r="L100" s="143">
        <f t="shared" si="72"/>
        <v>3747.0752411511507</v>
      </c>
      <c r="M100" s="143">
        <f t="shared" si="72"/>
        <v>4571.6977292915881</v>
      </c>
      <c r="N100" s="145">
        <f t="shared" si="72"/>
        <v>5792.3692553750507</v>
      </c>
    </row>
    <row r="101" spans="1:14">
      <c r="B101" s="132" t="s">
        <v>149</v>
      </c>
      <c r="C101" s="143"/>
      <c r="D101" s="143"/>
      <c r="E101" s="143"/>
      <c r="F101" s="143"/>
      <c r="G101" s="143"/>
      <c r="H101" s="143"/>
      <c r="I101" s="144"/>
      <c r="J101" s="143">
        <f>J100*J$95</f>
        <v>1337.5</v>
      </c>
      <c r="K101" s="143">
        <f t="shared" ref="K101:N101" si="73">K100*K$95</f>
        <v>1414.4717636859548</v>
      </c>
      <c r="L101" s="143">
        <f t="shared" si="73"/>
        <v>1873.5376205755754</v>
      </c>
      <c r="M101" s="143">
        <f t="shared" si="73"/>
        <v>2285.848864645794</v>
      </c>
      <c r="N101" s="145">
        <f t="shared" si="73"/>
        <v>2896.1846276875253</v>
      </c>
    </row>
    <row r="102" spans="1:14">
      <c r="B102" s="152" t="s">
        <v>152</v>
      </c>
      <c r="C102" s="153"/>
      <c r="D102" s="153"/>
      <c r="E102" s="153"/>
      <c r="F102" s="153"/>
      <c r="G102" s="153"/>
      <c r="H102" s="153"/>
      <c r="I102" s="154"/>
      <c r="J102" s="153">
        <f>J100+J101</f>
        <v>4012.5</v>
      </c>
      <c r="K102" s="153">
        <f t="shared" ref="K102:N102" si="74">K100+K101</f>
        <v>4243.4152910578641</v>
      </c>
      <c r="L102" s="153">
        <f t="shared" si="74"/>
        <v>5620.6128617267259</v>
      </c>
      <c r="M102" s="153">
        <f t="shared" si="74"/>
        <v>6857.5465939373826</v>
      </c>
      <c r="N102" s="155">
        <f t="shared" si="74"/>
        <v>8688.5538830625756</v>
      </c>
    </row>
    <row r="103" spans="1:14">
      <c r="B103" s="132" t="s">
        <v>150</v>
      </c>
      <c r="C103" s="296"/>
      <c r="D103" s="143"/>
      <c r="E103" s="143"/>
      <c r="F103" s="143"/>
      <c r="G103" s="143"/>
      <c r="H103" s="143"/>
      <c r="I103" s="144"/>
      <c r="J103" s="143">
        <f>I92</f>
        <v>2659</v>
      </c>
      <c r="K103" s="143">
        <f t="shared" ref="K103:N103" si="75">J92</f>
        <v>3065.3126336731348</v>
      </c>
      <c r="L103" s="143">
        <f t="shared" si="75"/>
        <v>3399.1349461518143</v>
      </c>
      <c r="M103" s="143">
        <f t="shared" si="75"/>
        <v>3958.5824960379832</v>
      </c>
      <c r="N103" s="145">
        <f t="shared" si="75"/>
        <v>4603.4606055341665</v>
      </c>
    </row>
    <row r="104" spans="1:14">
      <c r="B104" s="132" t="s">
        <v>151</v>
      </c>
      <c r="C104" s="143"/>
      <c r="D104" s="143"/>
      <c r="E104" s="143"/>
      <c r="F104" s="143"/>
      <c r="G104" s="143"/>
      <c r="H104" s="143"/>
      <c r="I104" s="144"/>
      <c r="J104" s="143">
        <f>J103*J$95</f>
        <v>1329.5</v>
      </c>
      <c r="K104" s="143">
        <f t="shared" ref="K104:N104" si="76">K103*K$95</f>
        <v>1532.6563168365674</v>
      </c>
      <c r="L104" s="143">
        <f t="shared" si="76"/>
        <v>1699.5674730759072</v>
      </c>
      <c r="M104" s="143">
        <f t="shared" si="76"/>
        <v>1979.2912480189916</v>
      </c>
      <c r="N104" s="145">
        <f t="shared" si="76"/>
        <v>2301.7303027670832</v>
      </c>
    </row>
    <row r="105" spans="1:14">
      <c r="B105" s="152" t="s">
        <v>153</v>
      </c>
      <c r="C105" s="156"/>
      <c r="D105" s="157"/>
      <c r="E105" s="157"/>
      <c r="F105" s="157"/>
      <c r="G105" s="157"/>
      <c r="H105" s="157"/>
      <c r="I105" s="158"/>
      <c r="J105" s="153">
        <f>J103+J104</f>
        <v>3988.5</v>
      </c>
      <c r="K105" s="153">
        <f t="shared" ref="K105:N105" si="77">K103+K104</f>
        <v>4597.9689505097022</v>
      </c>
      <c r="L105" s="153">
        <f t="shared" si="77"/>
        <v>5098.7024192277213</v>
      </c>
      <c r="M105" s="153">
        <f t="shared" si="77"/>
        <v>5937.8737440569748</v>
      </c>
      <c r="N105" s="155">
        <f t="shared" si="77"/>
        <v>6905.1909083012497</v>
      </c>
    </row>
    <row r="106" spans="1:14" ht="14.95" thickBot="1">
      <c r="B106" s="147" t="s">
        <v>144</v>
      </c>
      <c r="C106" s="148"/>
      <c r="D106" s="148"/>
      <c r="E106" s="148"/>
      <c r="F106" s="148"/>
      <c r="G106" s="148"/>
      <c r="H106" s="148"/>
      <c r="I106" s="149"/>
      <c r="J106" s="150">
        <f>J99+J102+J105</f>
        <v>8743.5</v>
      </c>
      <c r="K106" s="150">
        <f t="shared" ref="K106:N106" si="78">K99+K102+K105</f>
        <v>9628.6574601532466</v>
      </c>
      <c r="L106" s="150">
        <f t="shared" si="78"/>
        <v>11545.869694211287</v>
      </c>
      <c r="M106" s="150">
        <f t="shared" si="78"/>
        <v>13663.71207919806</v>
      </c>
      <c r="N106" s="151">
        <f t="shared" si="78"/>
        <v>16505.713270750817</v>
      </c>
    </row>
    <row r="108" spans="1:14">
      <c r="B108" s="25" t="s">
        <v>262</v>
      </c>
    </row>
    <row r="109" spans="1:14">
      <c r="A109">
        <v>1</v>
      </c>
      <c r="B109" s="375" t="s">
        <v>263</v>
      </c>
    </row>
    <row r="110" spans="1:14">
      <c r="A110">
        <v>2</v>
      </c>
      <c r="B110" t="s">
        <v>264</v>
      </c>
      <c r="L110" s="25" t="s">
        <v>271</v>
      </c>
    </row>
    <row r="111" spans="1:14">
      <c r="A111">
        <v>3</v>
      </c>
      <c r="B111" t="s">
        <v>265</v>
      </c>
      <c r="L111" t="s">
        <v>272</v>
      </c>
    </row>
    <row r="112" spans="1:14">
      <c r="A112">
        <v>4</v>
      </c>
      <c r="B112" t="s">
        <v>266</v>
      </c>
      <c r="L112" t="s">
        <v>273</v>
      </c>
    </row>
    <row r="113" spans="1:12">
      <c r="L113" t="s">
        <v>274</v>
      </c>
    </row>
    <row r="114" spans="1:12">
      <c r="B114" s="25" t="s">
        <v>267</v>
      </c>
    </row>
    <row r="115" spans="1:12">
      <c r="A115">
        <v>1</v>
      </c>
      <c r="B115" t="s">
        <v>268</v>
      </c>
      <c r="L115" t="s">
        <v>275</v>
      </c>
    </row>
    <row r="116" spans="1:12">
      <c r="A116">
        <v>2</v>
      </c>
      <c r="B116" t="s">
        <v>269</v>
      </c>
    </row>
    <row r="117" spans="1:12">
      <c r="A117">
        <v>3</v>
      </c>
      <c r="B117" t="s">
        <v>270</v>
      </c>
      <c r="L117" t="s">
        <v>276</v>
      </c>
    </row>
    <row r="118" spans="1:12">
      <c r="A118">
        <v>4</v>
      </c>
      <c r="B118" t="s">
        <v>278</v>
      </c>
      <c r="L118" t="s">
        <v>277</v>
      </c>
    </row>
    <row r="119" spans="1:12">
      <c r="A119">
        <v>5</v>
      </c>
      <c r="B119" t="s">
        <v>279</v>
      </c>
    </row>
    <row r="120" spans="1:12">
      <c r="A120">
        <v>6</v>
      </c>
      <c r="B120" t="s">
        <v>280</v>
      </c>
    </row>
    <row r="121" spans="1:12">
      <c r="A121">
        <v>7</v>
      </c>
      <c r="B121" t="s">
        <v>281</v>
      </c>
    </row>
    <row r="124" spans="1:12">
      <c r="G124" t="s">
        <v>250</v>
      </c>
    </row>
    <row r="125" spans="1:12">
      <c r="G125" t="s">
        <v>251</v>
      </c>
    </row>
    <row r="126" spans="1:12">
      <c r="G126" t="s">
        <v>252</v>
      </c>
    </row>
  </sheetData>
  <pageMargins left="0.7" right="0.7" top="0.75" bottom="0.75" header="0.3" footer="0.3"/>
  <pageSetup orientation="portrait" r:id="rId1"/>
  <ignoredErrors>
    <ignoredError sqref="E91:H91" formulaRange="1"/>
    <ignoredError sqref="J30:N3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AA30-244B-47EF-A7DB-4F46AD2A6F42}">
  <dimension ref="B1:P32"/>
  <sheetViews>
    <sheetView showGridLines="0" zoomScale="90" zoomScaleNormal="90" workbookViewId="0">
      <selection activeCell="J32" sqref="J32"/>
    </sheetView>
  </sheetViews>
  <sheetFormatPr defaultRowHeight="14.3" outlineLevelCol="1"/>
  <cols>
    <col min="2" max="2" width="40.75" customWidth="1"/>
    <col min="3" max="4" width="12.25" hidden="1" customWidth="1" outlineLevel="1"/>
    <col min="5" max="5" width="12.25" customWidth="1" collapsed="1"/>
    <col min="6" max="14" width="12.25" customWidth="1"/>
  </cols>
  <sheetData>
    <row r="1" spans="2:16">
      <c r="B1" s="25" t="s">
        <v>58</v>
      </c>
    </row>
    <row r="2" spans="2:16" ht="14.95" thickBot="1"/>
    <row r="3" spans="2:16" ht="14.95" thickBot="1">
      <c r="B3" s="26" t="s">
        <v>59</v>
      </c>
      <c r="C3" s="3" t="str">
        <f>'Balance Sheet'!D3</f>
        <v>FY18</v>
      </c>
      <c r="D3" s="3" t="str">
        <f>'Balance Sheet'!E3</f>
        <v>FY19</v>
      </c>
      <c r="E3" s="3" t="str">
        <f>'Balance Sheet'!F3</f>
        <v>FY20</v>
      </c>
      <c r="F3" s="3" t="str">
        <f>'Balance Sheet'!G3</f>
        <v>FY21</v>
      </c>
      <c r="G3" s="3" t="str">
        <f>'Balance Sheet'!H3</f>
        <v>FY22</v>
      </c>
      <c r="H3" s="3" t="str">
        <f>'Balance Sheet'!I3</f>
        <v>FY23</v>
      </c>
      <c r="I3" s="5" t="str">
        <f>'Balance Sheet'!J3</f>
        <v>FY24</v>
      </c>
      <c r="J3" s="3" t="str">
        <f>'Balance Sheet'!K3</f>
        <v>FY25E</v>
      </c>
      <c r="K3" s="3" t="str">
        <f>'Balance Sheet'!L3</f>
        <v>FY26E</v>
      </c>
      <c r="L3" s="3" t="str">
        <f>'Balance Sheet'!M3</f>
        <v>FY27E</v>
      </c>
      <c r="M3" s="3" t="str">
        <f>'Balance Sheet'!N3</f>
        <v>FY28E</v>
      </c>
      <c r="N3" s="5" t="str">
        <f>'Balance Sheet'!O3</f>
        <v>FY29E</v>
      </c>
    </row>
    <row r="4" spans="2:16" ht="16.149999999999999" customHeight="1">
      <c r="B4" s="32" t="s">
        <v>60</v>
      </c>
      <c r="C4" s="29"/>
      <c r="D4" s="29"/>
      <c r="E4" s="29"/>
      <c r="F4" s="29"/>
      <c r="G4" s="29"/>
      <c r="H4" s="29"/>
      <c r="I4" s="30"/>
      <c r="J4" s="29"/>
      <c r="K4" s="29"/>
      <c r="L4" s="29"/>
      <c r="M4" s="29"/>
      <c r="N4" s="37"/>
    </row>
    <row r="5" spans="2:16" s="379" customFormat="1">
      <c r="B5" s="376" t="s">
        <v>61</v>
      </c>
      <c r="C5" s="377">
        <v>46761</v>
      </c>
      <c r="D5" s="377">
        <v>59036</v>
      </c>
      <c r="E5" s="377">
        <v>69821</v>
      </c>
      <c r="F5" s="377">
        <v>77341</v>
      </c>
      <c r="G5" s="377">
        <v>109365</v>
      </c>
      <c r="H5" s="377">
        <v>142929</v>
      </c>
      <c r="I5" s="378">
        <v>162466</v>
      </c>
      <c r="J5" s="377">
        <f>'Revenue Model'!J3</f>
        <v>195067.6676958639</v>
      </c>
      <c r="K5" s="377">
        <f>'Revenue Model'!K3</f>
        <v>231801.29635273234</v>
      </c>
      <c r="L5" s="377">
        <f>'Revenue Model'!L3</f>
        <v>275014.39355143718</v>
      </c>
      <c r="M5" s="377">
        <f>'Revenue Model'!M3</f>
        <v>327242.45051101397</v>
      </c>
      <c r="N5" s="378">
        <f>'Revenue Model'!N3</f>
        <v>388777.96024030668</v>
      </c>
    </row>
    <row r="6" spans="2:16" s="379" customFormat="1" ht="14.95" thickBot="1">
      <c r="B6" s="376" t="s">
        <v>62</v>
      </c>
      <c r="C6" s="377">
        <v>1672</v>
      </c>
      <c r="D6" s="377">
        <v>1145</v>
      </c>
      <c r="E6" s="377">
        <v>1602</v>
      </c>
      <c r="F6" s="377">
        <v>2424</v>
      </c>
      <c r="G6" s="377">
        <v>3710</v>
      </c>
      <c r="H6" s="377">
        <v>2111</v>
      </c>
      <c r="I6" s="378">
        <v>8537</v>
      </c>
      <c r="J6" s="377">
        <f>Assumptions!J4</f>
        <v>6084.9388814721478</v>
      </c>
      <c r="K6" s="377">
        <f>Assumptions!K4</f>
        <v>7656.5646559315464</v>
      </c>
      <c r="L6" s="377">
        <f>Assumptions!L4</f>
        <v>9239.0240786935647</v>
      </c>
      <c r="M6" s="377">
        <f>Assumptions!M4</f>
        <v>10781.181905839258</v>
      </c>
      <c r="N6" s="378">
        <f>Assumptions!N4</f>
        <v>14183.017103030759</v>
      </c>
    </row>
    <row r="7" spans="2:16" ht="14.95" thickBot="1">
      <c r="B7" s="38" t="s">
        <v>63</v>
      </c>
      <c r="C7" s="39">
        <f>SUM(C5:C6)</f>
        <v>48433</v>
      </c>
      <c r="D7" s="39">
        <f>SUM(D5:D6)</f>
        <v>60181</v>
      </c>
      <c r="E7" s="39">
        <f>SUM(E5:E6)</f>
        <v>71423</v>
      </c>
      <c r="F7" s="39">
        <f>SUM(F5:F6)</f>
        <v>79765</v>
      </c>
      <c r="G7" s="39">
        <f t="shared" ref="G7:L7" si="0">SUM(G5:G6)</f>
        <v>113075</v>
      </c>
      <c r="H7" s="39">
        <f t="shared" si="0"/>
        <v>145040</v>
      </c>
      <c r="I7" s="40">
        <f t="shared" si="0"/>
        <v>171003</v>
      </c>
      <c r="J7" s="39">
        <f t="shared" si="0"/>
        <v>201152.60657733606</v>
      </c>
      <c r="K7" s="39">
        <f t="shared" si="0"/>
        <v>239457.86100866389</v>
      </c>
      <c r="L7" s="39">
        <f t="shared" si="0"/>
        <v>284253.41763013077</v>
      </c>
      <c r="M7" s="39">
        <f>SUM(M5:M6)</f>
        <v>338023.63241685322</v>
      </c>
      <c r="N7" s="40">
        <f>SUM(N5:N6)</f>
        <v>402960.97734333744</v>
      </c>
      <c r="O7" s="291"/>
    </row>
    <row r="8" spans="2:16">
      <c r="B8" s="33"/>
      <c r="C8" s="29"/>
      <c r="D8" s="29"/>
      <c r="E8" s="29"/>
      <c r="F8" s="29"/>
      <c r="G8" s="29"/>
      <c r="H8" s="29"/>
      <c r="I8" s="30"/>
      <c r="J8" s="29"/>
      <c r="K8" s="29"/>
      <c r="L8" s="29"/>
      <c r="M8" s="29"/>
      <c r="N8" s="43"/>
    </row>
    <row r="9" spans="2:16">
      <c r="B9" s="32" t="s">
        <v>64</v>
      </c>
      <c r="C9" s="29"/>
      <c r="D9" s="29"/>
      <c r="E9" s="29"/>
      <c r="F9" s="29"/>
      <c r="G9" s="29"/>
      <c r="H9" s="29"/>
      <c r="I9" s="30"/>
      <c r="J9" s="29"/>
      <c r="K9" s="29"/>
      <c r="L9" s="29"/>
      <c r="M9" s="29"/>
      <c r="N9" s="43"/>
    </row>
    <row r="10" spans="2:16">
      <c r="B10" s="339" t="s">
        <v>65</v>
      </c>
      <c r="C10" s="23">
        <v>35254</v>
      </c>
      <c r="D10" s="23">
        <v>38505</v>
      </c>
      <c r="E10" s="23">
        <v>44123</v>
      </c>
      <c r="F10" s="23">
        <v>45238</v>
      </c>
      <c r="G10" s="23">
        <v>62000</v>
      </c>
      <c r="H10" s="23">
        <v>80681</v>
      </c>
      <c r="I10" s="188">
        <v>101469</v>
      </c>
      <c r="J10" s="23">
        <f>Assumptions!J9</f>
        <v>116155.0807859886</v>
      </c>
      <c r="K10" s="23">
        <f>Assumptions!K9</f>
        <v>132966.74641909881</v>
      </c>
      <c r="L10" s="23">
        <f>Assumptions!L9</f>
        <v>152211.64269048168</v>
      </c>
      <c r="M10" s="23">
        <f>Assumptions!M9</f>
        <v>174241.94239896847</v>
      </c>
      <c r="N10" s="188">
        <f>Assumptions!N9</f>
        <v>199460.78995219973</v>
      </c>
    </row>
    <row r="11" spans="2:16" s="379" customFormat="1">
      <c r="B11" s="376" t="s">
        <v>66</v>
      </c>
      <c r="C11" s="377">
        <v>687</v>
      </c>
      <c r="D11" s="377">
        <v>2478</v>
      </c>
      <c r="E11" s="377">
        <v>2023</v>
      </c>
      <c r="F11" s="377">
        <v>2274</v>
      </c>
      <c r="G11" s="377">
        <v>3288</v>
      </c>
      <c r="H11" s="377">
        <v>4191</v>
      </c>
      <c r="I11" s="378">
        <v>5829</v>
      </c>
      <c r="J11" s="377">
        <f>Schedules_Populated!J94</f>
        <v>6419.1049734354983</v>
      </c>
      <c r="K11" s="377">
        <f>Schedules_Populated!K94</f>
        <v>7697.2464628075249</v>
      </c>
      <c r="L11" s="377">
        <f>Schedules_Populated!L94</f>
        <v>9109.1413861320398</v>
      </c>
      <c r="M11" s="377">
        <f>Schedules_Populated!M94</f>
        <v>11003.808847167211</v>
      </c>
      <c r="N11" s="378">
        <f>Schedules_Populated!N94</f>
        <v>13106.843483438101</v>
      </c>
      <c r="P11" s="379" t="s">
        <v>130</v>
      </c>
    </row>
    <row r="12" spans="2:16">
      <c r="B12" s="339" t="s">
        <v>67</v>
      </c>
      <c r="C12" s="23">
        <v>606</v>
      </c>
      <c r="D12" s="23">
        <v>1594</v>
      </c>
      <c r="E12" s="23">
        <v>802</v>
      </c>
      <c r="F12" s="23">
        <v>697</v>
      </c>
      <c r="G12" s="23">
        <v>995</v>
      </c>
      <c r="H12" s="23">
        <v>2186</v>
      </c>
      <c r="I12" s="188">
        <v>4227</v>
      </c>
      <c r="J12" s="23">
        <f>Schedules_Populated!J53</f>
        <v>3567.540214722525</v>
      </c>
      <c r="K12" s="23">
        <f>Schedules_Populated!K53</f>
        <v>4041.3323141675214</v>
      </c>
      <c r="L12" s="23">
        <f>Schedules_Populated!L53</f>
        <v>4093.6047811331168</v>
      </c>
      <c r="M12" s="23">
        <f>Schedules_Populated!M53</f>
        <v>4384.6669493077015</v>
      </c>
      <c r="N12" s="188">
        <f>Schedules_Populated!N53</f>
        <v>4547.6961542517993</v>
      </c>
    </row>
    <row r="13" spans="2:16" ht="14.95" thickBot="1">
      <c r="B13" s="339" t="s">
        <v>68</v>
      </c>
      <c r="C13" s="23">
        <f>13527+335</f>
        <v>13862</v>
      </c>
      <c r="D13" s="23">
        <v>15048</v>
      </c>
      <c r="E13" s="23">
        <v>15988</v>
      </c>
      <c r="F13" s="23">
        <v>12954</v>
      </c>
      <c r="G13" s="23">
        <v>21598</v>
      </c>
      <c r="H13" s="23">
        <v>26362</v>
      </c>
      <c r="I13" s="188">
        <v>27412</v>
      </c>
      <c r="J13" s="23">
        <f>Assumptions!J13</f>
        <v>37328.555316300248</v>
      </c>
      <c r="K13" s="23">
        <f>Assumptions!K13</f>
        <v>42888.268920297654</v>
      </c>
      <c r="L13" s="23">
        <f>Assumptions!L13</f>
        <v>52182.252035232712</v>
      </c>
      <c r="M13" s="23">
        <f>Assumptions!M13</f>
        <v>60477.045332323527</v>
      </c>
      <c r="N13" s="188">
        <f>Assumptions!N13</f>
        <v>71317.778530060285</v>
      </c>
    </row>
    <row r="14" spans="2:16" ht="14.95" thickBot="1">
      <c r="B14" s="38" t="s">
        <v>69</v>
      </c>
      <c r="C14" s="39">
        <f>SUM(C10:C13)</f>
        <v>50409</v>
      </c>
      <c r="D14" s="39">
        <f>SUM(D10:D13)</f>
        <v>57625</v>
      </c>
      <c r="E14" s="39">
        <f>SUM(E10:E13)</f>
        <v>62936</v>
      </c>
      <c r="F14" s="39">
        <f>SUM(F10:F13)</f>
        <v>61163</v>
      </c>
      <c r="G14" s="39">
        <f t="shared" ref="G14:L14" si="1">SUM(G10:G13)</f>
        <v>87881</v>
      </c>
      <c r="H14" s="39">
        <f t="shared" si="1"/>
        <v>113420</v>
      </c>
      <c r="I14" s="40">
        <f t="shared" si="1"/>
        <v>138937</v>
      </c>
      <c r="J14" s="39">
        <f t="shared" si="1"/>
        <v>163470.28129044687</v>
      </c>
      <c r="K14" s="39">
        <f t="shared" si="1"/>
        <v>187593.5941163715</v>
      </c>
      <c r="L14" s="39">
        <f t="shared" si="1"/>
        <v>217596.64089297957</v>
      </c>
      <c r="M14" s="39">
        <f>SUM(M10:M13)</f>
        <v>250107.4635277669</v>
      </c>
      <c r="N14" s="40">
        <f>SUM(N10:N13)</f>
        <v>288433.10811994993</v>
      </c>
    </row>
    <row r="15" spans="2:16">
      <c r="B15" s="33"/>
      <c r="C15" s="29"/>
      <c r="D15" s="29"/>
      <c r="E15" s="29"/>
      <c r="F15" s="29"/>
      <c r="G15" s="29"/>
      <c r="H15" s="29"/>
      <c r="I15" s="30"/>
      <c r="J15" s="29"/>
      <c r="K15" s="29"/>
      <c r="L15" s="29"/>
      <c r="M15" s="29"/>
      <c r="N15" s="43"/>
    </row>
    <row r="16" spans="2:16">
      <c r="B16" s="32" t="s">
        <v>70</v>
      </c>
      <c r="C16" s="36">
        <f>C7-C14</f>
        <v>-1976</v>
      </c>
      <c r="D16" s="36">
        <f>D7-D14</f>
        <v>2556</v>
      </c>
      <c r="E16" s="36">
        <f>E7-E14</f>
        <v>8487</v>
      </c>
      <c r="F16" s="36">
        <f>F7-F14</f>
        <v>18602</v>
      </c>
      <c r="G16" s="36">
        <f t="shared" ref="G16:M16" si="2">G7-G14</f>
        <v>25194</v>
      </c>
      <c r="H16" s="36">
        <f t="shared" si="2"/>
        <v>31620</v>
      </c>
      <c r="I16" s="93">
        <f t="shared" si="2"/>
        <v>32066</v>
      </c>
      <c r="J16" s="36">
        <f t="shared" si="2"/>
        <v>37682.325286889187</v>
      </c>
      <c r="K16" s="36">
        <f t="shared" si="2"/>
        <v>51864.266892292391</v>
      </c>
      <c r="L16" s="36">
        <f t="shared" si="2"/>
        <v>66656.776737151202</v>
      </c>
      <c r="M16" s="36">
        <f t="shared" si="2"/>
        <v>87916.168889086315</v>
      </c>
      <c r="N16" s="53">
        <f>N7-N14</f>
        <v>114527.8692233875</v>
      </c>
    </row>
    <row r="17" spans="2:14" ht="14.95" thickBot="1">
      <c r="B17" s="339" t="s">
        <v>71</v>
      </c>
      <c r="C17" s="23">
        <v>0</v>
      </c>
      <c r="D17" s="23">
        <v>1258</v>
      </c>
      <c r="E17" s="23">
        <v>1126</v>
      </c>
      <c r="F17" s="23">
        <v>0</v>
      </c>
      <c r="G17" s="23">
        <v>609</v>
      </c>
      <c r="H17" s="23">
        <v>634</v>
      </c>
      <c r="I17" s="188">
        <v>-1402</v>
      </c>
      <c r="J17" s="23">
        <f>Assumptions!J15</f>
        <v>0</v>
      </c>
      <c r="K17" s="23">
        <f>Assumptions!K15</f>
        <v>0</v>
      </c>
      <c r="L17" s="23">
        <f>Assumptions!L15</f>
        <v>0</v>
      </c>
      <c r="M17" s="23">
        <f>Assumptions!M15</f>
        <v>0</v>
      </c>
      <c r="N17" s="188">
        <f>Assumptions!N15</f>
        <v>0</v>
      </c>
    </row>
    <row r="18" spans="2:14" ht="14.95" thickBot="1">
      <c r="B18" s="38" t="s">
        <v>72</v>
      </c>
      <c r="C18" s="39">
        <f t="shared" ref="C18:N18" si="3">C16-C17</f>
        <v>-1976</v>
      </c>
      <c r="D18" s="39">
        <f t="shared" si="3"/>
        <v>1298</v>
      </c>
      <c r="E18" s="39">
        <f t="shared" si="3"/>
        <v>7361</v>
      </c>
      <c r="F18" s="39">
        <f t="shared" si="3"/>
        <v>18602</v>
      </c>
      <c r="G18" s="39">
        <f t="shared" si="3"/>
        <v>24585</v>
      </c>
      <c r="H18" s="39">
        <f t="shared" si="3"/>
        <v>30986</v>
      </c>
      <c r="I18" s="40">
        <f t="shared" si="3"/>
        <v>33468</v>
      </c>
      <c r="J18" s="39">
        <f t="shared" si="3"/>
        <v>37682.325286889187</v>
      </c>
      <c r="K18" s="39">
        <f t="shared" si="3"/>
        <v>51864.266892292391</v>
      </c>
      <c r="L18" s="39">
        <f t="shared" si="3"/>
        <v>66656.776737151202</v>
      </c>
      <c r="M18" s="39">
        <f t="shared" si="3"/>
        <v>87916.168889086315</v>
      </c>
      <c r="N18" s="40">
        <f t="shared" si="3"/>
        <v>114527.8692233875</v>
      </c>
    </row>
    <row r="19" spans="2:14">
      <c r="B19" s="31"/>
      <c r="C19" s="27"/>
      <c r="D19" s="27"/>
      <c r="E19" s="27"/>
      <c r="F19" s="27"/>
      <c r="G19" s="27"/>
      <c r="H19" s="27"/>
      <c r="I19" s="292"/>
      <c r="J19" s="27"/>
      <c r="K19" s="27"/>
      <c r="L19" s="27"/>
      <c r="M19" s="27"/>
      <c r="N19" s="76"/>
    </row>
    <row r="20" spans="2:14">
      <c r="B20" s="32" t="s">
        <v>73</v>
      </c>
      <c r="C20" s="29"/>
      <c r="D20" s="29"/>
      <c r="E20" s="29"/>
      <c r="F20" s="29"/>
      <c r="G20" s="29"/>
      <c r="H20" s="29"/>
      <c r="I20" s="30"/>
      <c r="J20" s="29"/>
      <c r="K20" s="29"/>
      <c r="L20" s="29"/>
      <c r="M20" s="29"/>
      <c r="N20" s="43"/>
    </row>
    <row r="21" spans="2:14">
      <c r="B21" s="28" t="s">
        <v>74</v>
      </c>
      <c r="C21" s="29">
        <v>0</v>
      </c>
      <c r="D21" s="29">
        <v>0</v>
      </c>
      <c r="E21" s="29">
        <v>172</v>
      </c>
      <c r="F21" s="29">
        <v>3527</v>
      </c>
      <c r="G21" s="29">
        <v>6266</v>
      </c>
      <c r="H21" s="29">
        <v>8508</v>
      </c>
      <c r="I21" s="30">
        <v>9518</v>
      </c>
      <c r="J21" s="34"/>
      <c r="K21" s="34"/>
      <c r="L21" s="34"/>
      <c r="M21" s="34"/>
      <c r="N21" s="35"/>
    </row>
    <row r="22" spans="2:14">
      <c r="B22" s="28" t="s">
        <v>75</v>
      </c>
      <c r="C22" s="29">
        <v>0</v>
      </c>
      <c r="D22" s="29">
        <v>0</v>
      </c>
      <c r="E22" s="29">
        <v>18</v>
      </c>
      <c r="F22" s="29">
        <v>0</v>
      </c>
      <c r="G22" s="29">
        <v>44</v>
      </c>
      <c r="H22" s="29">
        <v>0</v>
      </c>
      <c r="I22" s="30">
        <v>0</v>
      </c>
      <c r="J22" s="34"/>
      <c r="K22" s="34"/>
      <c r="L22" s="34"/>
      <c r="M22" s="34"/>
      <c r="N22" s="35"/>
    </row>
    <row r="23" spans="2:14">
      <c r="B23" s="28" t="s">
        <v>76</v>
      </c>
      <c r="C23" s="29">
        <v>0</v>
      </c>
      <c r="D23" s="29">
        <v>-123</v>
      </c>
      <c r="E23" s="29">
        <v>0</v>
      </c>
      <c r="F23" s="29">
        <v>-1171</v>
      </c>
      <c r="G23" s="29">
        <v>155</v>
      </c>
      <c r="H23" s="29">
        <v>-621</v>
      </c>
      <c r="I23" s="30">
        <v>-889</v>
      </c>
      <c r="J23" s="34"/>
      <c r="K23" s="34"/>
      <c r="L23" s="34"/>
      <c r="M23" s="34"/>
      <c r="N23" s="35"/>
    </row>
    <row r="24" spans="2:14" ht="14.95" thickBot="1">
      <c r="B24" s="340" t="s">
        <v>77</v>
      </c>
      <c r="C24" s="341">
        <f t="shared" ref="C24:I24" si="4">SUM(C21:C23)</f>
        <v>0</v>
      </c>
      <c r="D24" s="341">
        <f t="shared" si="4"/>
        <v>-123</v>
      </c>
      <c r="E24" s="341">
        <f t="shared" si="4"/>
        <v>190</v>
      </c>
      <c r="F24" s="341">
        <f t="shared" si="4"/>
        <v>2356</v>
      </c>
      <c r="G24" s="341">
        <f t="shared" si="4"/>
        <v>6465</v>
      </c>
      <c r="H24" s="341">
        <f t="shared" si="4"/>
        <v>7887</v>
      </c>
      <c r="I24" s="342">
        <f t="shared" si="4"/>
        <v>8629</v>
      </c>
      <c r="J24" s="341">
        <f>Assumptions!J18</f>
        <v>9484.6412747100076</v>
      </c>
      <c r="K24" s="341">
        <f>Assumptions!K18</f>
        <v>13054.235976789994</v>
      </c>
      <c r="L24" s="341">
        <f>Assumptions!L18</f>
        <v>16777.510704740955</v>
      </c>
      <c r="M24" s="341">
        <f>Assumptions!M18</f>
        <v>22128.499709383024</v>
      </c>
      <c r="N24" s="342">
        <f>Assumptions!N18</f>
        <v>28826.664683526633</v>
      </c>
    </row>
    <row r="25" spans="2:14" ht="14.95" thickBot="1">
      <c r="B25" s="38" t="s">
        <v>78</v>
      </c>
      <c r="C25" s="39">
        <f t="shared" ref="C25:N25" si="5">C18-C24</f>
        <v>-1976</v>
      </c>
      <c r="D25" s="39">
        <f t="shared" si="5"/>
        <v>1421</v>
      </c>
      <c r="E25" s="39">
        <f t="shared" si="5"/>
        <v>7171</v>
      </c>
      <c r="F25" s="39">
        <f t="shared" si="5"/>
        <v>16246</v>
      </c>
      <c r="G25" s="39">
        <f t="shared" si="5"/>
        <v>18120</v>
      </c>
      <c r="H25" s="39">
        <f t="shared" si="5"/>
        <v>23099</v>
      </c>
      <c r="I25" s="40">
        <f t="shared" si="5"/>
        <v>24839</v>
      </c>
      <c r="J25" s="39">
        <f>J18-J24</f>
        <v>28197.684012179179</v>
      </c>
      <c r="K25" s="39">
        <f t="shared" si="5"/>
        <v>38810.030915502401</v>
      </c>
      <c r="L25" s="39">
        <f t="shared" si="5"/>
        <v>49879.266032410247</v>
      </c>
      <c r="M25" s="39">
        <f t="shared" si="5"/>
        <v>65787.669179703284</v>
      </c>
      <c r="N25" s="40">
        <f t="shared" si="5"/>
        <v>85701.204539860875</v>
      </c>
    </row>
    <row r="26" spans="2:14">
      <c r="J26" s="239"/>
      <c r="K26" s="239"/>
    </row>
    <row r="27" spans="2:14">
      <c r="J27">
        <v>9</v>
      </c>
      <c r="K27">
        <v>3</v>
      </c>
    </row>
    <row r="28" spans="2:14">
      <c r="J28" s="239">
        <f>J25*9/12</f>
        <v>21148.263009134385</v>
      </c>
      <c r="K28" s="239">
        <f>K25*3/12</f>
        <v>9702.5077288756002</v>
      </c>
    </row>
    <row r="29" spans="2:14">
      <c r="J29" t="s">
        <v>310</v>
      </c>
      <c r="K29" s="239">
        <f>K28+J28</f>
        <v>30850.770738009986</v>
      </c>
    </row>
    <row r="32" spans="2:14">
      <c r="J32" s="18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BC0B-C81A-4C33-949E-B4D3B3976F33}">
  <dimension ref="B1:S68"/>
  <sheetViews>
    <sheetView showGridLines="0" zoomScale="90" zoomScaleNormal="90" workbookViewId="0">
      <selection activeCell="E30" sqref="E30"/>
    </sheetView>
  </sheetViews>
  <sheetFormatPr defaultRowHeight="14.3" outlineLevelCol="1"/>
  <cols>
    <col min="2" max="2" width="23.875" customWidth="1"/>
    <col min="3" max="3" width="11.625" hidden="1" customWidth="1" outlineLevel="1"/>
    <col min="4" max="4" width="11.875" hidden="1" customWidth="1" outlineLevel="1"/>
    <col min="5" max="5" width="11.875" bestFit="1" customWidth="1" collapsed="1"/>
    <col min="6" max="6" width="11.875" bestFit="1" customWidth="1"/>
    <col min="7" max="9" width="16.75" bestFit="1" customWidth="1"/>
    <col min="10" max="13" width="16.625" bestFit="1" customWidth="1"/>
    <col min="14" max="14" width="11.375" bestFit="1" customWidth="1"/>
  </cols>
  <sheetData>
    <row r="1" spans="2:18" ht="14.95" thickBot="1">
      <c r="B1" t="s">
        <v>154</v>
      </c>
    </row>
    <row r="2" spans="2:18" ht="14.95" thickBot="1">
      <c r="B2" s="26" t="s">
        <v>88</v>
      </c>
      <c r="C2" s="3" t="str">
        <f>Assumptions!C2</f>
        <v>FY18</v>
      </c>
      <c r="D2" s="3" t="str">
        <f>Assumptions!D2</f>
        <v>FY19</v>
      </c>
      <c r="E2" s="3" t="str">
        <f>Assumptions!E2</f>
        <v>FY20</v>
      </c>
      <c r="F2" s="3" t="str">
        <f>Assumptions!F2</f>
        <v>FY21</v>
      </c>
      <c r="G2" s="3" t="str">
        <f>Assumptions!G2</f>
        <v>FY22</v>
      </c>
      <c r="H2" s="3" t="str">
        <f>Assumptions!H2</f>
        <v>FY23</v>
      </c>
      <c r="I2" s="5" t="str">
        <f>Assumptions!I2</f>
        <v>FY24</v>
      </c>
      <c r="J2" s="3" t="str">
        <f>Assumptions!J2</f>
        <v>FY25E</v>
      </c>
      <c r="K2" s="3" t="str">
        <f>Assumptions!K2</f>
        <v>FY26E</v>
      </c>
      <c r="L2" s="3" t="str">
        <f>Assumptions!L2</f>
        <v>FY27E</v>
      </c>
      <c r="M2" s="3" t="str">
        <f>Assumptions!M2</f>
        <v>FY28E</v>
      </c>
      <c r="N2" s="3" t="str">
        <f>Assumptions!N2</f>
        <v>FY29E</v>
      </c>
      <c r="R2" s="25" t="s">
        <v>253</v>
      </c>
    </row>
    <row r="3" spans="2:18" s="356" customFormat="1">
      <c r="B3" s="353" t="s">
        <v>89</v>
      </c>
      <c r="C3" s="354">
        <f>'Profit &amp; Loss Statement'!C5</f>
        <v>46761</v>
      </c>
      <c r="D3" s="354">
        <f>'Profit &amp; Loss Statement'!D5</f>
        <v>59036</v>
      </c>
      <c r="E3" s="354">
        <f>'Profit &amp; Loss Statement'!E5</f>
        <v>69821</v>
      </c>
      <c r="F3" s="354">
        <f>'Profit &amp; Loss Statement'!F5</f>
        <v>77341</v>
      </c>
      <c r="G3" s="354">
        <f>'Profit &amp; Loss Statement'!G5</f>
        <v>109365</v>
      </c>
      <c r="H3" s="354">
        <f>'Profit &amp; Loss Statement'!H5</f>
        <v>142929</v>
      </c>
      <c r="I3" s="355">
        <f>'Profit &amp; Loss Statement'!I5</f>
        <v>162466</v>
      </c>
      <c r="J3" s="354">
        <f>J4+J6</f>
        <v>195067.6676958639</v>
      </c>
      <c r="K3" s="354">
        <f t="shared" ref="K3:N3" si="0">K4+K6</f>
        <v>231801.29635273234</v>
      </c>
      <c r="L3" s="354">
        <f t="shared" si="0"/>
        <v>275014.39355143718</v>
      </c>
      <c r="M3" s="354">
        <f t="shared" si="0"/>
        <v>327242.45051101397</v>
      </c>
      <c r="N3" s="355">
        <f t="shared" si="0"/>
        <v>388777.96024030668</v>
      </c>
      <c r="R3" s="356" t="s">
        <v>246</v>
      </c>
    </row>
    <row r="4" spans="2:18" s="360" customFormat="1">
      <c r="B4" s="357" t="s">
        <v>90</v>
      </c>
      <c r="C4" s="358">
        <f t="shared" ref="C4:H4" si="1">C3*C5</f>
        <v>10006.853999999999</v>
      </c>
      <c r="D4" s="358">
        <f t="shared" si="1"/>
        <v>12987.92</v>
      </c>
      <c r="E4" s="358">
        <f t="shared" si="1"/>
        <v>15709.725</v>
      </c>
      <c r="F4" s="358">
        <f t="shared" si="1"/>
        <v>14694.79</v>
      </c>
      <c r="G4" s="358">
        <f t="shared" si="1"/>
        <v>16951.575000000001</v>
      </c>
      <c r="H4" s="358">
        <f t="shared" si="1"/>
        <v>21725.207999999999</v>
      </c>
      <c r="I4" s="359">
        <f>I3*I5</f>
        <v>23395.103999999999</v>
      </c>
      <c r="J4" s="358">
        <f>J10*J16*J20*J23/10^5</f>
        <v>29785.012921519756</v>
      </c>
      <c r="K4" s="358">
        <f t="shared" ref="K4:N4" si="2">K10*K16*K20*K23/10^5</f>
        <v>34559.032536995146</v>
      </c>
      <c r="L4" s="358">
        <f t="shared" si="2"/>
        <v>39473.5162027966</v>
      </c>
      <c r="M4" s="358">
        <f t="shared" si="2"/>
        <v>46330.404570545266</v>
      </c>
      <c r="N4" s="359">
        <f t="shared" si="2"/>
        <v>53528.021636484315</v>
      </c>
      <c r="R4" s="360" t="s">
        <v>254</v>
      </c>
    </row>
    <row r="5" spans="2:18">
      <c r="B5" s="33" t="s">
        <v>91</v>
      </c>
      <c r="C5" s="81">
        <v>0.214</v>
      </c>
      <c r="D5" s="81">
        <v>0.22</v>
      </c>
      <c r="E5" s="81">
        <v>0.22500000000000001</v>
      </c>
      <c r="F5" s="81">
        <v>0.19</v>
      </c>
      <c r="G5" s="168">
        <v>0.155</v>
      </c>
      <c r="H5" s="168">
        <v>0.152</v>
      </c>
      <c r="I5" s="172">
        <v>0.14399999999999999</v>
      </c>
      <c r="J5" s="50"/>
      <c r="K5" s="50"/>
      <c r="L5" s="50"/>
      <c r="M5" s="50"/>
      <c r="N5" s="51"/>
      <c r="R5" t="s">
        <v>255</v>
      </c>
    </row>
    <row r="6" spans="2:18" s="360" customFormat="1">
      <c r="B6" s="357" t="s">
        <v>92</v>
      </c>
      <c r="C6" s="361">
        <f t="shared" ref="C6:H6" si="3">C3*C7</f>
        <v>36754.146000000001</v>
      </c>
      <c r="D6" s="361">
        <f t="shared" si="3"/>
        <v>46048.08</v>
      </c>
      <c r="E6" s="361">
        <f t="shared" si="3"/>
        <v>54111.275000000001</v>
      </c>
      <c r="F6" s="361">
        <f t="shared" si="3"/>
        <v>62646.210000000006</v>
      </c>
      <c r="G6" s="361">
        <f t="shared" si="3"/>
        <v>92413.425000000003</v>
      </c>
      <c r="H6" s="361">
        <f t="shared" si="3"/>
        <v>121203.792</v>
      </c>
      <c r="I6" s="362">
        <f>I3*I7</f>
        <v>139070.89600000001</v>
      </c>
      <c r="J6" s="361">
        <f>J11*J16*J21*J23/10^5</f>
        <v>165282.65477434415</v>
      </c>
      <c r="K6" s="361">
        <f t="shared" ref="K6:N6" si="4">K11*K16*K21*K23/10^5</f>
        <v>197242.26381573718</v>
      </c>
      <c r="L6" s="361">
        <f t="shared" si="4"/>
        <v>235540.87734864058</v>
      </c>
      <c r="M6" s="361">
        <f t="shared" si="4"/>
        <v>280912.04594046873</v>
      </c>
      <c r="N6" s="362">
        <f t="shared" si="4"/>
        <v>335249.93860382237</v>
      </c>
      <c r="R6" s="360" t="s">
        <v>256</v>
      </c>
    </row>
    <row r="7" spans="2:18" ht="14.95" thickBot="1">
      <c r="B7" s="59" t="s">
        <v>91</v>
      </c>
      <c r="C7" s="82">
        <f>1-C5</f>
        <v>0.78600000000000003</v>
      </c>
      <c r="D7" s="82">
        <f>1-D5</f>
        <v>0.78</v>
      </c>
      <c r="E7" s="82">
        <f>1-E5</f>
        <v>0.77500000000000002</v>
      </c>
      <c r="F7" s="82">
        <f>1-F5</f>
        <v>0.81</v>
      </c>
      <c r="G7" s="82">
        <f>1-G5</f>
        <v>0.84499999999999997</v>
      </c>
      <c r="H7" s="82">
        <v>0.84799999999999998</v>
      </c>
      <c r="I7" s="173">
        <v>0.85599999999999998</v>
      </c>
      <c r="J7" s="79"/>
      <c r="K7" s="79"/>
      <c r="L7" s="79"/>
      <c r="M7" s="79"/>
      <c r="N7" s="80"/>
    </row>
    <row r="8" spans="2:18" ht="14.95" thickBot="1">
      <c r="B8" s="33"/>
      <c r="I8" s="37"/>
      <c r="N8" s="37"/>
    </row>
    <row r="9" spans="2:18" ht="14.95" thickBot="1">
      <c r="B9" s="26" t="s">
        <v>82</v>
      </c>
      <c r="C9" s="3" t="str">
        <f>C2</f>
        <v>FY18</v>
      </c>
      <c r="D9" s="3" t="str">
        <f t="shared" ref="D9:H9" si="5">D2</f>
        <v>FY19</v>
      </c>
      <c r="E9" s="3" t="str">
        <f t="shared" si="5"/>
        <v>FY20</v>
      </c>
      <c r="F9" s="3" t="str">
        <f t="shared" si="5"/>
        <v>FY21</v>
      </c>
      <c r="G9" s="3" t="str">
        <f t="shared" si="5"/>
        <v>FY22</v>
      </c>
      <c r="H9" s="3" t="str">
        <f t="shared" si="5"/>
        <v>FY23</v>
      </c>
      <c r="I9" s="5" t="s">
        <v>244</v>
      </c>
      <c r="J9" s="3"/>
      <c r="K9" s="3"/>
      <c r="L9" s="3"/>
      <c r="M9" s="3"/>
      <c r="N9" s="5"/>
    </row>
    <row r="10" spans="2:18">
      <c r="B10" s="33" t="s">
        <v>93</v>
      </c>
      <c r="C10" s="2">
        <v>105</v>
      </c>
      <c r="D10" s="2">
        <v>132</v>
      </c>
      <c r="E10" s="2">
        <v>123</v>
      </c>
      <c r="F10" s="2">
        <v>166</v>
      </c>
      <c r="G10">
        <v>172</v>
      </c>
      <c r="H10">
        <v>227</v>
      </c>
      <c r="I10" s="56">
        <v>211</v>
      </c>
      <c r="J10" s="300">
        <f>(AVERAGE(E10:I10)/AVERAGE(E$12:I$12))*J$12</f>
        <v>252.94444395259845</v>
      </c>
      <c r="K10" s="83">
        <f t="shared" ref="K10:N10" si="6">(AVERAGE(F10:J10)/AVERAGE(F$12:J$12))*K$12</f>
        <v>276.36153852480311</v>
      </c>
      <c r="L10" s="83">
        <f t="shared" si="6"/>
        <v>297.2549303179938</v>
      </c>
      <c r="M10" s="83">
        <f t="shared" si="6"/>
        <v>328.56014757542715</v>
      </c>
      <c r="N10" s="84">
        <f t="shared" si="6"/>
        <v>357.49798768079495</v>
      </c>
    </row>
    <row r="11" spans="2:18" ht="14.95" thickBot="1">
      <c r="B11" s="33" t="s">
        <v>94</v>
      </c>
      <c r="C11" s="2">
        <v>2148</v>
      </c>
      <c r="D11" s="2">
        <v>2330</v>
      </c>
      <c r="E11" s="2">
        <v>2543</v>
      </c>
      <c r="F11" s="2">
        <v>3062</v>
      </c>
      <c r="G11">
        <v>3996</v>
      </c>
      <c r="H11">
        <v>4690</v>
      </c>
      <c r="I11" s="56">
        <v>4957</v>
      </c>
      <c r="J11" s="83">
        <f t="shared" ref="J11:N11" si="7">(AVERAGE(E11:I11)/AVERAGE(E$12:I$12))*J$12</f>
        <v>5415.6559034478469</v>
      </c>
      <c r="K11" s="83">
        <f t="shared" si="7"/>
        <v>5941.3300053119729</v>
      </c>
      <c r="L11" s="83">
        <f t="shared" si="7"/>
        <v>6522.7157441057598</v>
      </c>
      <c r="M11" s="83">
        <f t="shared" si="7"/>
        <v>7152.0296616930209</v>
      </c>
      <c r="N11" s="84">
        <f t="shared" si="7"/>
        <v>7847.7020880892032</v>
      </c>
      <c r="O11" s="165"/>
    </row>
    <row r="12" spans="2:18" s="360" customFormat="1" ht="14.95" thickBot="1">
      <c r="B12" s="363" t="s">
        <v>80</v>
      </c>
      <c r="C12" s="364">
        <f t="shared" ref="C12:H12" si="8">SUM(C10:C11)</f>
        <v>2253</v>
      </c>
      <c r="D12" s="364">
        <f t="shared" si="8"/>
        <v>2462</v>
      </c>
      <c r="E12" s="364">
        <f t="shared" si="8"/>
        <v>2666</v>
      </c>
      <c r="F12" s="364">
        <f t="shared" si="8"/>
        <v>3228</v>
      </c>
      <c r="G12" s="364">
        <f t="shared" si="8"/>
        <v>4168</v>
      </c>
      <c r="H12" s="364">
        <f t="shared" si="8"/>
        <v>4917</v>
      </c>
      <c r="I12" s="365">
        <f>SUM(I10:I11)</f>
        <v>5168</v>
      </c>
      <c r="J12" s="366">
        <f>I12*(1+J13)</f>
        <v>5668.6003474004456</v>
      </c>
      <c r="K12" s="366">
        <f t="shared" ref="K12:O12" si="9">J12*(1+K13)</f>
        <v>6217.6915438367751</v>
      </c>
      <c r="L12" s="366">
        <f t="shared" si="9"/>
        <v>6819.9706744237528</v>
      </c>
      <c r="M12" s="366">
        <f t="shared" si="9"/>
        <v>7480.5898092684474</v>
      </c>
      <c r="N12" s="367">
        <f t="shared" si="9"/>
        <v>8205.2000757699989</v>
      </c>
      <c r="O12" s="368">
        <f t="shared" si="9"/>
        <v>8999.9999999999964</v>
      </c>
      <c r="P12" s="368"/>
    </row>
    <row r="13" spans="2:18" ht="14.95" thickBot="1">
      <c r="B13" s="59" t="s">
        <v>95</v>
      </c>
      <c r="C13" s="67"/>
      <c r="D13" s="79">
        <f t="shared" ref="D13:H13" si="10">D12/C12-1</f>
        <v>9.2765201952951681E-2</v>
      </c>
      <c r="E13" s="79">
        <f t="shared" si="10"/>
        <v>8.2859463850528003E-2</v>
      </c>
      <c r="F13" s="79">
        <f t="shared" si="10"/>
        <v>0.21080270067516871</v>
      </c>
      <c r="G13" s="79">
        <f t="shared" si="10"/>
        <v>0.29120198265179686</v>
      </c>
      <c r="H13" s="79">
        <f t="shared" si="10"/>
        <v>0.17970249520153558</v>
      </c>
      <c r="I13" s="80"/>
      <c r="J13" s="372">
        <v>9.686539229884783E-2</v>
      </c>
      <c r="K13" s="372">
        <v>9.686539229884783E-2</v>
      </c>
      <c r="L13" s="372">
        <v>9.686539229884783E-2</v>
      </c>
      <c r="M13" s="372">
        <v>9.686539229884783E-2</v>
      </c>
      <c r="N13" s="373">
        <v>9.686539229884783E-2</v>
      </c>
      <c r="O13">
        <v>9.686539229884783E-2</v>
      </c>
    </row>
    <row r="14" spans="2:18" ht="14.95" thickBot="1">
      <c r="B14" s="33"/>
      <c r="I14" s="37"/>
      <c r="J14" s="301"/>
      <c r="K14" s="83"/>
      <c r="L14" s="83"/>
      <c r="M14" s="83"/>
      <c r="N14" s="84"/>
      <c r="O14" s="371">
        <f>((O12/I12)^(1/6))-1</f>
        <v>9.686539229884783E-2</v>
      </c>
    </row>
    <row r="15" spans="2:18" ht="14.95" thickBot="1">
      <c r="B15" s="26" t="s">
        <v>96</v>
      </c>
      <c r="C15" s="3" t="str">
        <f>C2</f>
        <v>FY18</v>
      </c>
      <c r="D15" s="3" t="str">
        <f t="shared" ref="D15:H15" si="11">D2</f>
        <v>FY19</v>
      </c>
      <c r="E15" s="3" t="str">
        <f t="shared" si="11"/>
        <v>FY20</v>
      </c>
      <c r="F15" s="3" t="str">
        <f t="shared" si="11"/>
        <v>FY21</v>
      </c>
      <c r="G15" s="3" t="str">
        <f t="shared" si="11"/>
        <v>FY22</v>
      </c>
      <c r="H15" s="3" t="str">
        <f t="shared" si="11"/>
        <v>FY23</v>
      </c>
      <c r="I15" s="5"/>
      <c r="J15" s="3"/>
      <c r="K15" s="3"/>
      <c r="L15" s="3"/>
      <c r="M15" s="3"/>
      <c r="N15" s="5"/>
    </row>
    <row r="16" spans="2:18">
      <c r="B16" s="31" t="s">
        <v>97</v>
      </c>
      <c r="C16" s="69">
        <v>0.68400000000000005</v>
      </c>
      <c r="D16" s="69">
        <v>0.77300000000000002</v>
      </c>
      <c r="E16" s="297">
        <v>0.76900000000000002</v>
      </c>
      <c r="F16" s="297">
        <v>0.79500000000000004</v>
      </c>
      <c r="G16" s="298">
        <v>0.80500000000000005</v>
      </c>
      <c r="H16" s="298">
        <v>0.78500000000000003</v>
      </c>
      <c r="I16" s="299">
        <v>0.755</v>
      </c>
      <c r="J16" s="50">
        <f>I16+0.5%</f>
        <v>0.76</v>
      </c>
      <c r="K16" s="50">
        <f t="shared" ref="K16:N16" si="12">J16+0.5%</f>
        <v>0.76500000000000001</v>
      </c>
      <c r="L16" s="50">
        <f t="shared" si="12"/>
        <v>0.77</v>
      </c>
      <c r="M16" s="50">
        <f t="shared" si="12"/>
        <v>0.77500000000000002</v>
      </c>
      <c r="N16" s="51">
        <f t="shared" si="12"/>
        <v>0.78</v>
      </c>
    </row>
    <row r="17" spans="2:19">
      <c r="B17" s="33"/>
      <c r="I17" s="37"/>
      <c r="N17" s="37"/>
    </row>
    <row r="18" spans="2:19">
      <c r="B18" s="33" t="s">
        <v>98</v>
      </c>
      <c r="C18" s="83">
        <f t="shared" ref="C18:H18" si="13">C12*C16</f>
        <v>1541.0520000000001</v>
      </c>
      <c r="D18" s="83">
        <f t="shared" si="13"/>
        <v>1903.126</v>
      </c>
      <c r="E18" s="83">
        <f t="shared" si="13"/>
        <v>2050.154</v>
      </c>
      <c r="F18" s="83">
        <f t="shared" si="13"/>
        <v>2566.2600000000002</v>
      </c>
      <c r="G18" s="83">
        <f t="shared" si="13"/>
        <v>3355.2400000000002</v>
      </c>
      <c r="H18" s="83">
        <f t="shared" si="13"/>
        <v>3859.8450000000003</v>
      </c>
      <c r="I18" s="84">
        <f>I12*I16</f>
        <v>3901.84</v>
      </c>
      <c r="N18" s="37"/>
    </row>
    <row r="19" spans="2:19">
      <c r="B19" s="33"/>
      <c r="I19" s="37"/>
      <c r="N19" s="37"/>
    </row>
    <row r="20" spans="2:19">
      <c r="B20" s="33" t="s">
        <v>155</v>
      </c>
      <c r="C20" s="42">
        <f t="shared" ref="C20:H20" si="14">C4*10^5/(C10*C16*C23)</f>
        <v>6966.6207184628211</v>
      </c>
      <c r="D20" s="42">
        <f t="shared" si="14"/>
        <v>6364.3811987925828</v>
      </c>
      <c r="E20" s="42">
        <f t="shared" si="14"/>
        <v>8304.3785086745538</v>
      </c>
      <c r="F20" s="42">
        <f t="shared" si="14"/>
        <v>5567.4736682579378</v>
      </c>
      <c r="G20" s="42">
        <f t="shared" si="14"/>
        <v>6121.4700996677739</v>
      </c>
      <c r="H20" s="42">
        <f t="shared" si="14"/>
        <v>6095.9084149386908</v>
      </c>
      <c r="I20" s="370">
        <f t="shared" ref="I20" si="15">I4*10^5/(I10*I16*I23)</f>
        <v>7342.8655723298079</v>
      </c>
      <c r="J20" s="42">
        <f>I20*(1+J24)</f>
        <v>7746.9198103889175</v>
      </c>
      <c r="K20" s="42">
        <f t="shared" ref="K20:N20" si="16">J20*(1+K24)</f>
        <v>8173.2078515437479</v>
      </c>
      <c r="L20" s="42">
        <f t="shared" si="16"/>
        <v>8622.953150354444</v>
      </c>
      <c r="M20" s="42">
        <f t="shared" si="16"/>
        <v>9097.446484144346</v>
      </c>
      <c r="N20" s="43">
        <f t="shared" si="16"/>
        <v>9598.0496575547713</v>
      </c>
      <c r="P20" s="374"/>
      <c r="S20" s="374"/>
    </row>
    <row r="21" spans="2:19">
      <c r="B21" s="33" t="s">
        <v>156</v>
      </c>
      <c r="C21" s="42">
        <f t="shared" ref="C21:H21" si="17">C6*10^5/(C11*C16*C23)</f>
        <v>1250.7944967166518</v>
      </c>
      <c r="D21" s="42">
        <f t="shared" si="17"/>
        <v>1278.3392279119864</v>
      </c>
      <c r="E21" s="42">
        <f t="shared" si="17"/>
        <v>1383.5188208841732</v>
      </c>
      <c r="F21" s="42">
        <f t="shared" si="17"/>
        <v>1286.7450057306239</v>
      </c>
      <c r="G21" s="42">
        <f t="shared" si="17"/>
        <v>1436.4274989274988</v>
      </c>
      <c r="H21" s="42">
        <f t="shared" si="17"/>
        <v>1646.0526122798201</v>
      </c>
      <c r="I21" s="370">
        <f t="shared" ref="I21" si="18">I6*10^5/(I11*I16*I23)</f>
        <v>1857.9772266658829</v>
      </c>
      <c r="J21" s="42">
        <f>I21*(1+J25)</f>
        <v>2007.856307822361</v>
      </c>
      <c r="K21" s="42">
        <f t="shared" ref="K21:N21" si="19">J21*(1+K25)</f>
        <v>2169.8258164856502</v>
      </c>
      <c r="L21" s="42">
        <f t="shared" si="19"/>
        <v>2344.8610617927534</v>
      </c>
      <c r="M21" s="42">
        <f t="shared" si="19"/>
        <v>2534.0160289996261</v>
      </c>
      <c r="N21" s="43">
        <f t="shared" si="19"/>
        <v>2738.4297261167808</v>
      </c>
    </row>
    <row r="22" spans="2:19">
      <c r="B22" s="33"/>
      <c r="C22" s="65"/>
      <c r="D22" s="65"/>
      <c r="E22" s="65"/>
      <c r="F22" s="65"/>
      <c r="G22" s="65"/>
      <c r="H22" s="65"/>
      <c r="I22" s="60"/>
      <c r="J22" s="65"/>
      <c r="K22" s="65"/>
      <c r="L22" s="65"/>
      <c r="M22" s="65"/>
      <c r="N22" s="60"/>
    </row>
    <row r="23" spans="2:19">
      <c r="B23" s="33" t="s">
        <v>99</v>
      </c>
      <c r="C23" s="2">
        <v>2000</v>
      </c>
      <c r="D23" s="2">
        <f>C23</f>
        <v>2000</v>
      </c>
      <c r="E23" s="2">
        <f>D23</f>
        <v>2000</v>
      </c>
      <c r="F23" s="2">
        <f>E23</f>
        <v>2000</v>
      </c>
      <c r="G23" s="2">
        <f>F23</f>
        <v>2000</v>
      </c>
      <c r="H23" s="2">
        <v>2000</v>
      </c>
      <c r="I23" s="56">
        <v>2000</v>
      </c>
      <c r="J23" s="2">
        <v>2000</v>
      </c>
      <c r="K23" s="2">
        <v>2000</v>
      </c>
      <c r="L23" s="2">
        <v>2000</v>
      </c>
      <c r="M23" s="2">
        <v>2000</v>
      </c>
      <c r="N23" s="56">
        <v>2000</v>
      </c>
    </row>
    <row r="24" spans="2:19">
      <c r="B24" s="33" t="s">
        <v>100</v>
      </c>
      <c r="C24" s="2"/>
      <c r="D24" s="61">
        <f t="shared" ref="D24:H24" si="20">D20/C20-1</f>
        <v>-8.644643421941911E-2</v>
      </c>
      <c r="E24" s="61">
        <f t="shared" si="20"/>
        <v>0.30482104218553352</v>
      </c>
      <c r="F24" s="61">
        <f t="shared" si="20"/>
        <v>-0.32957371073075625</v>
      </c>
      <c r="G24" s="61">
        <f t="shared" si="20"/>
        <v>9.9505891616220588E-2</v>
      </c>
      <c r="H24" s="61">
        <f t="shared" si="20"/>
        <v>-4.1757428057143109E-3</v>
      </c>
      <c r="I24" s="162">
        <f>I20/H20-1</f>
        <v>0.20455641268089142</v>
      </c>
      <c r="J24" s="61">
        <f>AVERAGE(E24:I24)</f>
        <v>5.5026778589234993E-2</v>
      </c>
      <c r="K24" s="61">
        <f>J24</f>
        <v>5.5026778589234993E-2</v>
      </c>
      <c r="L24" s="61">
        <f t="shared" ref="L24:N24" si="21">K24</f>
        <v>5.5026778589234993E-2</v>
      </c>
      <c r="M24" s="61">
        <f t="shared" si="21"/>
        <v>5.5026778589234993E-2</v>
      </c>
      <c r="N24" s="162">
        <f t="shared" si="21"/>
        <v>5.5026778589234993E-2</v>
      </c>
    </row>
    <row r="25" spans="2:19" ht="14.95" thickBot="1">
      <c r="B25" s="169" t="s">
        <v>100</v>
      </c>
      <c r="C25" s="170"/>
      <c r="D25" s="171">
        <f t="shared" ref="D25:H25" si="22">D21/C21-1</f>
        <v>2.2021787965680772E-2</v>
      </c>
      <c r="E25" s="171">
        <f>E21/D21-1</f>
        <v>8.2278311324283759E-2</v>
      </c>
      <c r="F25" s="171">
        <f t="shared" si="22"/>
        <v>-6.9947595719517253E-2</v>
      </c>
      <c r="G25" s="171">
        <f t="shared" si="22"/>
        <v>0.11632646136588964</v>
      </c>
      <c r="H25" s="171">
        <f t="shared" si="22"/>
        <v>0.14593504615362551</v>
      </c>
      <c r="I25" s="174">
        <f>I21/H21-1</f>
        <v>0.12874716932197106</v>
      </c>
      <c r="J25" s="62">
        <f>AVERAGE(E25:I25)</f>
        <v>8.0667878489250541E-2</v>
      </c>
      <c r="K25" s="62">
        <f>J25</f>
        <v>8.0667878489250541E-2</v>
      </c>
      <c r="L25" s="62">
        <f t="shared" ref="L25:N25" si="23">K25</f>
        <v>8.0667878489250541E-2</v>
      </c>
      <c r="M25" s="62">
        <f t="shared" si="23"/>
        <v>8.0667878489250541E-2</v>
      </c>
      <c r="N25" s="163">
        <f t="shared" si="23"/>
        <v>8.0667878489250541E-2</v>
      </c>
    </row>
    <row r="26" spans="2:19" ht="15.65" thickTop="1" thickBot="1">
      <c r="B26" s="59" t="s">
        <v>157</v>
      </c>
      <c r="C26" s="67"/>
      <c r="D26" s="67"/>
      <c r="E26" s="67"/>
      <c r="F26" s="67"/>
      <c r="G26" s="67"/>
      <c r="H26" s="67"/>
      <c r="I26" s="175"/>
      <c r="J26" s="68"/>
      <c r="K26" s="68"/>
      <c r="L26" s="68"/>
      <c r="M26" s="68"/>
      <c r="N26" s="160"/>
    </row>
    <row r="30" spans="2:19">
      <c r="I30" t="s">
        <v>257</v>
      </c>
      <c r="K30" s="369" t="s">
        <v>258</v>
      </c>
    </row>
    <row r="31" spans="2:19">
      <c r="K31" t="s">
        <v>259</v>
      </c>
    </row>
    <row r="40" spans="7:10">
      <c r="J40" s="161"/>
    </row>
    <row r="41" spans="7:10">
      <c r="J41" s="161"/>
    </row>
    <row r="42" spans="7:10">
      <c r="J42" s="161"/>
    </row>
    <row r="45" spans="7:10">
      <c r="G45" s="161"/>
      <c r="H45" s="161"/>
      <c r="I45" s="161"/>
      <c r="J45" s="159"/>
    </row>
    <row r="46" spans="7:10">
      <c r="G46" s="161"/>
      <c r="H46" s="161"/>
      <c r="I46" s="161"/>
      <c r="J46" s="159"/>
    </row>
    <row r="68" spans="10:13">
      <c r="J68" s="161"/>
      <c r="K68" s="161"/>
      <c r="L68" s="161"/>
      <c r="M68" s="16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43E9-9190-400F-935D-12BDE31AE916}">
  <dimension ref="B1:Q44"/>
  <sheetViews>
    <sheetView showGridLines="0" topLeftCell="A26" zoomScaleNormal="100" workbookViewId="0">
      <selection activeCell="A50" sqref="A50:B53"/>
    </sheetView>
  </sheetViews>
  <sheetFormatPr defaultRowHeight="14.3" outlineLevelCol="1"/>
  <cols>
    <col min="2" max="2" width="36.375" bestFit="1" customWidth="1"/>
    <col min="3" max="3" width="12.125" hidden="1" customWidth="1" outlineLevel="1"/>
    <col min="4" max="4" width="11.625" hidden="1" customWidth="1" outlineLevel="1"/>
    <col min="5" max="5" width="11.625" bestFit="1" customWidth="1" collapsed="1"/>
    <col min="6" max="8" width="11.625" bestFit="1" customWidth="1"/>
    <col min="9" max="13" width="11.375" bestFit="1" customWidth="1"/>
    <col min="14" max="14" width="10.75" customWidth="1"/>
  </cols>
  <sheetData>
    <row r="1" spans="2:17" ht="14.95" thickBot="1"/>
    <row r="2" spans="2:17" ht="14.95" thickBot="1">
      <c r="B2" s="26" t="s">
        <v>79</v>
      </c>
      <c r="C2" s="3" t="str">
        <f>'Profit &amp; Loss Statement'!C3</f>
        <v>FY18</v>
      </c>
      <c r="D2" s="3" t="str">
        <f>'Profit &amp; Loss Statement'!D3</f>
        <v>FY19</v>
      </c>
      <c r="E2" s="3" t="str">
        <f>'Profit &amp; Loss Statement'!E3</f>
        <v>FY20</v>
      </c>
      <c r="F2" s="3" t="str">
        <f>'Profit &amp; Loss Statement'!F3</f>
        <v>FY21</v>
      </c>
      <c r="G2" s="3" t="str">
        <f>'Profit &amp; Loss Statement'!G3</f>
        <v>FY22</v>
      </c>
      <c r="H2" s="3" t="str">
        <f>'Profit &amp; Loss Statement'!H3</f>
        <v>FY23</v>
      </c>
      <c r="I2" s="5" t="str">
        <f>'Profit &amp; Loss Statement'!I3</f>
        <v>FY24</v>
      </c>
      <c r="J2" s="3" t="str">
        <f>'Profit &amp; Loss Statement'!J3</f>
        <v>FY25E</v>
      </c>
      <c r="K2" s="3" t="str">
        <f>'Profit &amp; Loss Statement'!K3</f>
        <v>FY26E</v>
      </c>
      <c r="L2" s="3" t="str">
        <f>'Profit &amp; Loss Statement'!L3</f>
        <v>FY27E</v>
      </c>
      <c r="M2" s="3" t="str">
        <f>'Profit &amp; Loss Statement'!M3</f>
        <v>FY28E</v>
      </c>
      <c r="N2" s="5" t="str">
        <f>'Profit &amp; Loss Statement'!N3</f>
        <v>FY29E</v>
      </c>
    </row>
    <row r="3" spans="2:17">
      <c r="B3" s="41" t="s">
        <v>61</v>
      </c>
      <c r="C3" s="42">
        <f>'Profit &amp; Loss Statement'!C5</f>
        <v>46761</v>
      </c>
      <c r="D3" s="42">
        <f>'Profit &amp; Loss Statement'!D5</f>
        <v>59036</v>
      </c>
      <c r="E3" s="42">
        <f>'Profit &amp; Loss Statement'!E5</f>
        <v>69821</v>
      </c>
      <c r="F3" s="42">
        <f>'Profit &amp; Loss Statement'!F5</f>
        <v>77341</v>
      </c>
      <c r="G3" s="42">
        <f>'Profit &amp; Loss Statement'!G5</f>
        <v>109365</v>
      </c>
      <c r="H3" s="42">
        <f>'Profit &amp; Loss Statement'!H5</f>
        <v>142929</v>
      </c>
      <c r="I3" s="43">
        <f>'Profit &amp; Loss Statement'!I5</f>
        <v>162466</v>
      </c>
      <c r="J3" s="42">
        <f>'Revenue Model'!J3</f>
        <v>195067.6676958639</v>
      </c>
      <c r="K3" s="42">
        <f>'Revenue Model'!K3</f>
        <v>231801.29635273234</v>
      </c>
      <c r="L3" s="42">
        <f>'Revenue Model'!L3</f>
        <v>275014.39355143718</v>
      </c>
      <c r="M3" s="42">
        <f>'Revenue Model'!M3</f>
        <v>327242.45051101397</v>
      </c>
      <c r="N3" s="43">
        <f>'Revenue Model'!N3</f>
        <v>388777.96024030668</v>
      </c>
    </row>
    <row r="4" spans="2:17">
      <c r="B4" s="41" t="s">
        <v>62</v>
      </c>
      <c r="C4" s="42">
        <f>'Profit &amp; Loss Statement'!C6</f>
        <v>1672</v>
      </c>
      <c r="D4" s="42">
        <f>'Profit &amp; Loss Statement'!D6</f>
        <v>1145</v>
      </c>
      <c r="E4" s="42">
        <f>'Profit &amp; Loss Statement'!E6</f>
        <v>1602</v>
      </c>
      <c r="F4" s="42">
        <f>'Profit &amp; Loss Statement'!F6</f>
        <v>2424</v>
      </c>
      <c r="G4" s="42">
        <f>'Profit &amp; Loss Statement'!G6</f>
        <v>3710</v>
      </c>
      <c r="H4" s="42">
        <f>'Profit &amp; Loss Statement'!H6</f>
        <v>2111</v>
      </c>
      <c r="I4" s="43">
        <f>'Profit &amp; Loss Statement'!I6</f>
        <v>8537</v>
      </c>
      <c r="J4" s="42">
        <f>J5*(AVERAGE(I3:J3))</f>
        <v>6084.9388814721478</v>
      </c>
      <c r="K4" s="42">
        <f t="shared" ref="K4:N4" si="0">K5*(AVERAGE(J3:K3))</f>
        <v>7656.5646559315464</v>
      </c>
      <c r="L4" s="42">
        <f t="shared" si="0"/>
        <v>9239.0240786935647</v>
      </c>
      <c r="M4" s="42">
        <f t="shared" si="0"/>
        <v>10781.181905839258</v>
      </c>
      <c r="N4" s="43">
        <f t="shared" si="0"/>
        <v>14183.017103030759</v>
      </c>
    </row>
    <row r="5" spans="2:17" ht="14.95" thickBot="1">
      <c r="B5" s="44" t="s">
        <v>248</v>
      </c>
      <c r="C5" s="45"/>
      <c r="D5" s="176">
        <f>D4/C4-1</f>
        <v>-0.31519138755980858</v>
      </c>
      <c r="E5" s="176">
        <f t="shared" ref="E5:H5" si="1">E4/AVERAGE(D3:E3)</f>
        <v>2.486477257735319E-2</v>
      </c>
      <c r="F5" s="176">
        <f t="shared" si="1"/>
        <v>3.2943286989847921E-2</v>
      </c>
      <c r="G5" s="176">
        <f t="shared" si="1"/>
        <v>3.9741625871691319E-2</v>
      </c>
      <c r="H5" s="176">
        <f t="shared" si="1"/>
        <v>1.6734444735110626E-2</v>
      </c>
      <c r="I5" s="177">
        <f>I4/AVERAGE(H3:I3)</f>
        <v>5.5907922526563958E-2</v>
      </c>
      <c r="J5" s="176">
        <f>AVERAGE(E5:I5)</f>
        <v>3.4038410540113404E-2</v>
      </c>
      <c r="K5" s="176">
        <f t="shared" ref="K5:N5" si="2">AVERAGE(F5:J5)</f>
        <v>3.5873138132665447E-2</v>
      </c>
      <c r="L5" s="176">
        <f t="shared" si="2"/>
        <v>3.6459108361228953E-2</v>
      </c>
      <c r="M5" s="176">
        <f t="shared" si="2"/>
        <v>3.5802604859136479E-2</v>
      </c>
      <c r="N5" s="177">
        <f t="shared" si="2"/>
        <v>3.9616236883941648E-2</v>
      </c>
    </row>
    <row r="6" spans="2:17" ht="15.65" thickTop="1" thickBot="1">
      <c r="B6" s="46" t="s">
        <v>80</v>
      </c>
      <c r="C6" s="47">
        <f>C3+C4</f>
        <v>48433</v>
      </c>
      <c r="D6" s="47">
        <f t="shared" ref="D6:H6" si="3">D3+D4</f>
        <v>60181</v>
      </c>
      <c r="E6" s="47">
        <f t="shared" si="3"/>
        <v>71423</v>
      </c>
      <c r="F6" s="47">
        <f t="shared" si="3"/>
        <v>79765</v>
      </c>
      <c r="G6" s="47">
        <f t="shared" si="3"/>
        <v>113075</v>
      </c>
      <c r="H6" s="47">
        <f t="shared" si="3"/>
        <v>145040</v>
      </c>
      <c r="I6" s="48">
        <f>I3+I4</f>
        <v>171003</v>
      </c>
      <c r="J6" s="47">
        <f t="shared" ref="J6:N6" si="4">J3+J4</f>
        <v>201152.60657733606</v>
      </c>
      <c r="K6" s="47">
        <f t="shared" si="4"/>
        <v>239457.86100866389</v>
      </c>
      <c r="L6" s="47">
        <f t="shared" si="4"/>
        <v>284253.41763013077</v>
      </c>
      <c r="M6" s="47">
        <f t="shared" si="4"/>
        <v>338023.63241685322</v>
      </c>
      <c r="N6" s="48">
        <f t="shared" si="4"/>
        <v>402960.97734333744</v>
      </c>
    </row>
    <row r="7" spans="2:17" ht="14.95" thickBot="1">
      <c r="B7" s="49"/>
      <c r="C7" s="42"/>
      <c r="D7" s="42"/>
      <c r="E7" s="42"/>
      <c r="F7" s="42"/>
      <c r="G7" s="42"/>
      <c r="H7" s="42"/>
      <c r="I7" s="43"/>
      <c r="J7" s="42"/>
      <c r="K7" s="42"/>
      <c r="L7" s="42"/>
      <c r="M7" s="42"/>
      <c r="N7" s="43"/>
    </row>
    <row r="8" spans="2:17" ht="14.95" thickBot="1">
      <c r="B8" s="26" t="s">
        <v>81</v>
      </c>
      <c r="C8" s="77"/>
      <c r="D8" s="77"/>
      <c r="E8" s="77" t="str">
        <f>E2</f>
        <v>FY20</v>
      </c>
      <c r="F8" s="77" t="str">
        <f t="shared" ref="F8:I8" si="5">F2</f>
        <v>FY21</v>
      </c>
      <c r="G8" s="77" t="str">
        <f t="shared" si="5"/>
        <v>FY22</v>
      </c>
      <c r="H8" s="77" t="str">
        <f t="shared" si="5"/>
        <v>FY23</v>
      </c>
      <c r="I8" s="78" t="str">
        <f t="shared" si="5"/>
        <v>FY24</v>
      </c>
      <c r="J8" s="77"/>
      <c r="K8" s="77"/>
      <c r="L8" s="77"/>
      <c r="M8" s="77"/>
      <c r="N8" s="78"/>
    </row>
    <row r="9" spans="2:17">
      <c r="B9" s="33" t="s">
        <v>65</v>
      </c>
      <c r="C9" s="42">
        <f>'Profit &amp; Loss Statement'!C10</f>
        <v>35254</v>
      </c>
      <c r="D9" s="42">
        <f>'Profit &amp; Loss Statement'!D10</f>
        <v>38505</v>
      </c>
      <c r="E9" s="42">
        <f>'Profit &amp; Loss Statement'!E10</f>
        <v>44123</v>
      </c>
      <c r="F9" s="42">
        <f>'Profit &amp; Loss Statement'!F10</f>
        <v>45238</v>
      </c>
      <c r="G9" s="42">
        <f>'Profit &amp; Loss Statement'!G10</f>
        <v>62000</v>
      </c>
      <c r="H9" s="42">
        <f>'Profit &amp; Loss Statement'!H10</f>
        <v>80681</v>
      </c>
      <c r="I9" s="43">
        <f>'Profit &amp; Loss Statement'!I10</f>
        <v>101469</v>
      </c>
      <c r="J9" s="377">
        <f>J10*J11</f>
        <v>116155.0807859886</v>
      </c>
      <c r="K9" s="377">
        <f t="shared" ref="K9:N9" si="6">K10*K11</f>
        <v>132966.74641909881</v>
      </c>
      <c r="L9" s="377">
        <f t="shared" si="6"/>
        <v>152211.64269048168</v>
      </c>
      <c r="M9" s="377">
        <f t="shared" si="6"/>
        <v>174241.94239896847</v>
      </c>
      <c r="N9" s="378">
        <f t="shared" si="6"/>
        <v>199460.78995219973</v>
      </c>
    </row>
    <row r="10" spans="2:17">
      <c r="B10" s="32" t="s">
        <v>82</v>
      </c>
      <c r="C10" s="103">
        <f>'Revenue Model'!C12</f>
        <v>2253</v>
      </c>
      <c r="D10" s="103">
        <f>'Revenue Model'!D12</f>
        <v>2462</v>
      </c>
      <c r="E10" s="103">
        <f>'Revenue Model'!E12</f>
        <v>2666</v>
      </c>
      <c r="F10" s="103">
        <f>'Revenue Model'!F12</f>
        <v>3228</v>
      </c>
      <c r="G10" s="103">
        <f>'Revenue Model'!G12</f>
        <v>4168</v>
      </c>
      <c r="H10" s="103">
        <f>'Revenue Model'!H12</f>
        <v>4917</v>
      </c>
      <c r="I10" s="104">
        <f>'Revenue Model'!I12</f>
        <v>5168</v>
      </c>
      <c r="J10" s="103">
        <f>'Revenue Model'!J12</f>
        <v>5668.6003474004456</v>
      </c>
      <c r="K10" s="103">
        <f>'Revenue Model'!K12</f>
        <v>6217.6915438367751</v>
      </c>
      <c r="L10" s="103">
        <f>'Revenue Model'!L12</f>
        <v>6819.9706744237528</v>
      </c>
      <c r="M10" s="103">
        <f>'Revenue Model'!M12</f>
        <v>7480.5898092684474</v>
      </c>
      <c r="N10" s="104">
        <f>'Revenue Model'!N12</f>
        <v>8205.2000757699989</v>
      </c>
    </row>
    <row r="11" spans="2:17">
      <c r="B11" s="41" t="s">
        <v>83</v>
      </c>
      <c r="C11" s="178">
        <f t="shared" ref="C11:D11" si="7">C9/C10</f>
        <v>15.647581003106968</v>
      </c>
      <c r="D11" s="178">
        <f t="shared" si="7"/>
        <v>15.639723801787165</v>
      </c>
      <c r="E11" s="178">
        <f>E9/E10</f>
        <v>16.550262565641411</v>
      </c>
      <c r="F11" s="178">
        <f t="shared" ref="F11:I11" si="8">F9/F10</f>
        <v>14.014250309789343</v>
      </c>
      <c r="G11" s="178">
        <f t="shared" si="8"/>
        <v>14.875239923224568</v>
      </c>
      <c r="H11" s="178">
        <f t="shared" si="8"/>
        <v>16.408582468985152</v>
      </c>
      <c r="I11" s="179">
        <f t="shared" si="8"/>
        <v>19.63409442724458</v>
      </c>
      <c r="J11" s="178">
        <f>I11*(1+J12)</f>
        <v>20.490963142119547</v>
      </c>
      <c r="K11" s="178">
        <f t="shared" ref="K11:N11" si="9">J11*(1+K12)</f>
        <v>21.385227215219576</v>
      </c>
      <c r="L11" s="178">
        <f t="shared" si="9"/>
        <v>22.318518650132269</v>
      </c>
      <c r="M11" s="178">
        <f t="shared" si="9"/>
        <v>23.292540674143471</v>
      </c>
      <c r="N11" s="179">
        <f t="shared" si="9"/>
        <v>24.309070846573082</v>
      </c>
      <c r="O11" t="s">
        <v>289</v>
      </c>
    </row>
    <row r="12" spans="2:17">
      <c r="B12" s="49" t="s">
        <v>84</v>
      </c>
      <c r="C12" s="42"/>
      <c r="D12" s="166"/>
      <c r="E12" s="166"/>
      <c r="F12" s="166"/>
      <c r="G12" s="166"/>
      <c r="H12" s="166"/>
      <c r="I12" s="167">
        <f>(I11/E11)^(1/4)-1</f>
        <v>4.3641876025917625E-2</v>
      </c>
      <c r="J12" s="166">
        <f>I12</f>
        <v>4.3641876025917625E-2</v>
      </c>
      <c r="K12" s="166">
        <f t="shared" ref="K12:N12" si="10">J12</f>
        <v>4.3641876025917625E-2</v>
      </c>
      <c r="L12" s="166">
        <f t="shared" si="10"/>
        <v>4.3641876025917625E-2</v>
      </c>
      <c r="M12" s="166">
        <f t="shared" si="10"/>
        <v>4.3641876025917625E-2</v>
      </c>
      <c r="N12" s="167">
        <f t="shared" si="10"/>
        <v>4.3641876025917625E-2</v>
      </c>
      <c r="P12" t="s">
        <v>86</v>
      </c>
    </row>
    <row r="13" spans="2:17">
      <c r="B13" s="49" t="s">
        <v>68</v>
      </c>
      <c r="C13" s="42">
        <f>'Profit &amp; Loss Statement'!C13</f>
        <v>13862</v>
      </c>
      <c r="D13" s="42">
        <f>'Profit &amp; Loss Statement'!D13</f>
        <v>15048</v>
      </c>
      <c r="E13" s="42">
        <f>'Profit &amp; Loss Statement'!E13</f>
        <v>15988</v>
      </c>
      <c r="F13" s="42">
        <f>'Profit &amp; Loss Statement'!F13</f>
        <v>12954</v>
      </c>
      <c r="G13" s="42">
        <f>'Profit &amp; Loss Statement'!G13</f>
        <v>21598</v>
      </c>
      <c r="H13" s="42">
        <f>'Profit &amp; Loss Statement'!H13</f>
        <v>26362</v>
      </c>
      <c r="I13" s="43">
        <f>'Profit &amp; Loss Statement'!I13</f>
        <v>27412</v>
      </c>
      <c r="J13" s="42">
        <f>J14*AVERAGE(I3:J3)</f>
        <v>37328.555316300248</v>
      </c>
      <c r="K13" s="42">
        <f t="shared" ref="K13:N13" si="11">K14*AVERAGE(J3:K3)</f>
        <v>42888.268920297654</v>
      </c>
      <c r="L13" s="42">
        <f t="shared" si="11"/>
        <v>52182.252035232712</v>
      </c>
      <c r="M13" s="42">
        <f t="shared" si="11"/>
        <v>60477.045332323527</v>
      </c>
      <c r="N13" s="43">
        <f t="shared" si="11"/>
        <v>71317.778530060285</v>
      </c>
      <c r="P13" s="164">
        <v>0.25169999999999998</v>
      </c>
    </row>
    <row r="14" spans="2:17">
      <c r="B14" s="49" t="s">
        <v>85</v>
      </c>
      <c r="C14" s="50">
        <f t="shared" ref="C14:D14" si="12">C13/C3</f>
        <v>0.29644361754453497</v>
      </c>
      <c r="D14" s="50">
        <f t="shared" si="12"/>
        <v>0.25489531811098315</v>
      </c>
      <c r="E14" s="50">
        <f t="shared" ref="E14:H14" si="13">E13/AVERAGE(D3:E3)</f>
        <v>0.24815105116524519</v>
      </c>
      <c r="F14" s="50">
        <f t="shared" si="13"/>
        <v>0.17605088270069719</v>
      </c>
      <c r="G14" s="50">
        <f t="shared" si="13"/>
        <v>0.23135839233875719</v>
      </c>
      <c r="H14" s="50">
        <f t="shared" si="13"/>
        <v>0.208978414072471</v>
      </c>
      <c r="I14" s="51">
        <f>I13/AVERAGE(H3:I3)</f>
        <v>0.17951832872181928</v>
      </c>
      <c r="J14" s="50">
        <f>AVERAGE(E14:I14)</f>
        <v>0.20881141379979798</v>
      </c>
      <c r="K14" s="50">
        <f t="shared" ref="K14:N14" si="14">AVERAGE(F14:J14)</f>
        <v>0.2009434863267085</v>
      </c>
      <c r="L14" s="50">
        <f t="shared" si="14"/>
        <v>0.20592200705191077</v>
      </c>
      <c r="M14" s="50">
        <f t="shared" si="14"/>
        <v>0.20083472999454149</v>
      </c>
      <c r="N14" s="51">
        <f t="shared" si="14"/>
        <v>0.1992059931789556</v>
      </c>
    </row>
    <row r="15" spans="2:17">
      <c r="B15" s="49" t="s">
        <v>71</v>
      </c>
      <c r="C15" s="42">
        <f>'Profit &amp; Loss Statement'!C17</f>
        <v>0</v>
      </c>
      <c r="D15" s="42">
        <f>'Profit &amp; Loss Statement'!D17</f>
        <v>1258</v>
      </c>
      <c r="E15" s="42">
        <f>'Profit &amp; Loss Statement'!E17</f>
        <v>1126</v>
      </c>
      <c r="F15" s="42">
        <f>'Profit &amp; Loss Statement'!F17</f>
        <v>0</v>
      </c>
      <c r="G15" s="42">
        <f>'Profit &amp; Loss Statement'!G17</f>
        <v>609</v>
      </c>
      <c r="H15" s="42">
        <f>'Profit &amp; Loss Statement'!H17</f>
        <v>634</v>
      </c>
      <c r="I15" s="43">
        <f>'Profit &amp; Loss Statement'!I17</f>
        <v>-1402</v>
      </c>
      <c r="J15" s="42">
        <v>0</v>
      </c>
      <c r="K15" s="42">
        <v>0</v>
      </c>
      <c r="L15" s="42">
        <v>0</v>
      </c>
      <c r="M15" s="42">
        <v>0</v>
      </c>
      <c r="N15" s="43">
        <v>0</v>
      </c>
    </row>
    <row r="16" spans="2:17">
      <c r="B16" s="41" t="s">
        <v>72</v>
      </c>
      <c r="C16" s="52"/>
      <c r="D16" s="52"/>
      <c r="E16" s="52">
        <f>'Profit &amp; Loss Statement'!E18</f>
        <v>7361</v>
      </c>
      <c r="F16" s="52">
        <f>'Profit &amp; Loss Statement'!F18</f>
        <v>18602</v>
      </c>
      <c r="G16" s="52">
        <f>'Profit &amp; Loss Statement'!G18</f>
        <v>24585</v>
      </c>
      <c r="H16" s="52">
        <f>'Profit &amp; Loss Statement'!H18</f>
        <v>30986</v>
      </c>
      <c r="I16" s="53">
        <f>'Profit &amp; Loss Statement'!I18</f>
        <v>33468</v>
      </c>
      <c r="J16" s="52">
        <f>'Profit &amp; Loss Statement'!J18</f>
        <v>37682.325286889187</v>
      </c>
      <c r="K16" s="52">
        <f>'Profit &amp; Loss Statement'!K18</f>
        <v>51864.266892292391</v>
      </c>
      <c r="L16" s="52">
        <f>'Profit &amp; Loss Statement'!L18</f>
        <v>66656.776737151202</v>
      </c>
      <c r="M16" s="52">
        <f>'Profit &amp; Loss Statement'!M18</f>
        <v>87916.168889086315</v>
      </c>
      <c r="N16" s="53">
        <f>'Profit &amp; Loss Statement'!N18</f>
        <v>114527.8692233875</v>
      </c>
      <c r="P16" s="25"/>
      <c r="Q16" s="329"/>
    </row>
    <row r="17" spans="2:17">
      <c r="B17" s="49" t="s">
        <v>86</v>
      </c>
      <c r="C17" s="42"/>
      <c r="D17" s="42"/>
      <c r="E17" s="42"/>
      <c r="F17" s="42"/>
      <c r="G17" s="42"/>
      <c r="H17" s="42"/>
      <c r="I17" s="43"/>
      <c r="J17" s="186">
        <v>0.25169999999999998</v>
      </c>
      <c r="K17" s="186">
        <v>0.25169999999999998</v>
      </c>
      <c r="L17" s="186">
        <v>0.25169999999999998</v>
      </c>
      <c r="M17" s="186">
        <v>0.25169999999999998</v>
      </c>
      <c r="N17" s="187">
        <v>0.25169999999999998</v>
      </c>
    </row>
    <row r="18" spans="2:17" ht="14.95" thickBot="1">
      <c r="B18" s="46" t="s">
        <v>73</v>
      </c>
      <c r="C18" s="54"/>
      <c r="D18" s="54"/>
      <c r="E18" s="54"/>
      <c r="F18" s="54"/>
      <c r="G18" s="54"/>
      <c r="H18" s="54"/>
      <c r="I18" s="55"/>
      <c r="J18" s="47">
        <f>J17*J16</f>
        <v>9484.6412747100076</v>
      </c>
      <c r="K18" s="47">
        <f t="shared" ref="K18:N18" si="15">K17*K16</f>
        <v>13054.235976789994</v>
      </c>
      <c r="L18" s="47">
        <f t="shared" si="15"/>
        <v>16777.510704740955</v>
      </c>
      <c r="M18" s="47">
        <f t="shared" si="15"/>
        <v>22128.499709383024</v>
      </c>
      <c r="N18" s="48">
        <f t="shared" si="15"/>
        <v>28826.664683526633</v>
      </c>
    </row>
    <row r="19" spans="2:17">
      <c r="B19" s="49"/>
      <c r="C19" s="42"/>
      <c r="D19" s="42"/>
      <c r="E19" s="42"/>
      <c r="F19" s="42"/>
      <c r="G19" s="42"/>
      <c r="H19" s="42"/>
      <c r="I19" s="43"/>
      <c r="J19" s="42"/>
      <c r="K19" s="42"/>
      <c r="L19" s="42"/>
      <c r="M19" s="42"/>
      <c r="N19" s="43"/>
      <c r="Q19" s="161"/>
    </row>
    <row r="20" spans="2:17" ht="14.95" thickBot="1">
      <c r="B20" s="49"/>
      <c r="C20" s="42"/>
      <c r="D20" s="42"/>
      <c r="E20" s="42"/>
      <c r="F20" s="42"/>
      <c r="G20" s="42"/>
      <c r="H20" s="42"/>
      <c r="I20" s="43"/>
      <c r="J20" s="42"/>
      <c r="K20" s="42"/>
      <c r="L20" s="42"/>
      <c r="M20" s="42"/>
      <c r="N20" s="43"/>
      <c r="Q20" s="161"/>
    </row>
    <row r="21" spans="2:17" ht="14.95" thickBot="1">
      <c r="B21" s="26" t="s">
        <v>87</v>
      </c>
      <c r="C21" s="77" t="str">
        <f>C2</f>
        <v>FY18</v>
      </c>
      <c r="D21" s="77" t="str">
        <f t="shared" ref="D21:M21" si="16">D2</f>
        <v>FY19</v>
      </c>
      <c r="E21" s="77" t="str">
        <f t="shared" si="16"/>
        <v>FY20</v>
      </c>
      <c r="F21" s="77" t="str">
        <f t="shared" si="16"/>
        <v>FY21</v>
      </c>
      <c r="G21" s="77" t="str">
        <f t="shared" si="16"/>
        <v>FY22</v>
      </c>
      <c r="H21" s="77" t="str">
        <f t="shared" si="16"/>
        <v>FY23</v>
      </c>
      <c r="I21" s="78" t="str">
        <f>I2</f>
        <v>FY24</v>
      </c>
      <c r="J21" s="77" t="str">
        <f t="shared" si="16"/>
        <v>FY25E</v>
      </c>
      <c r="K21" s="77" t="str">
        <f t="shared" si="16"/>
        <v>FY26E</v>
      </c>
      <c r="L21" s="77" t="str">
        <f t="shared" si="16"/>
        <v>FY27E</v>
      </c>
      <c r="M21" s="77" t="str">
        <f t="shared" si="16"/>
        <v>FY28E</v>
      </c>
      <c r="N21" s="78" t="str">
        <f>N2</f>
        <v>FY29E</v>
      </c>
    </row>
    <row r="22" spans="2:17">
      <c r="B22" s="33" t="s">
        <v>4</v>
      </c>
      <c r="C22" s="29">
        <f>'Balance Sheet'!D6</f>
        <v>14</v>
      </c>
      <c r="D22" s="29">
        <f>'Balance Sheet'!E6</f>
        <v>0</v>
      </c>
      <c r="E22" s="29">
        <f>'Balance Sheet'!F6</f>
        <v>0</v>
      </c>
      <c r="F22" s="29">
        <f>'Balance Sheet'!G6</f>
        <v>14</v>
      </c>
      <c r="G22" s="29">
        <f>'Balance Sheet'!H6</f>
        <v>0</v>
      </c>
      <c r="H22" s="29">
        <f>'Balance Sheet'!I6</f>
        <v>185</v>
      </c>
      <c r="I22" s="30">
        <f>'Balance Sheet'!J6</f>
        <v>9</v>
      </c>
      <c r="J22" s="29">
        <f>I22*40%+H22*30%+G22*10%+F22*10%+E22*10%</f>
        <v>60.5</v>
      </c>
      <c r="K22" s="29">
        <f t="shared" ref="K22:N22" si="17">J22*40%+I22*30%+H22*10%+G22*10%+F22*10%</f>
        <v>46.800000000000004</v>
      </c>
      <c r="L22" s="29">
        <f t="shared" si="17"/>
        <v>56.27</v>
      </c>
      <c r="M22" s="29">
        <f t="shared" si="17"/>
        <v>61.997999999999998</v>
      </c>
      <c r="N22" s="30">
        <f t="shared" si="17"/>
        <v>53.310200000000002</v>
      </c>
      <c r="P22" t="s">
        <v>290</v>
      </c>
    </row>
    <row r="23" spans="2:17">
      <c r="B23" s="33" t="s">
        <v>5</v>
      </c>
      <c r="C23" s="29">
        <f>'Balance Sheet'!D7</f>
        <v>2961</v>
      </c>
      <c r="D23" s="29">
        <f>'Balance Sheet'!E7</f>
        <v>1736</v>
      </c>
      <c r="E23" s="29">
        <f>'Balance Sheet'!F7</f>
        <v>610</v>
      </c>
      <c r="F23" s="29">
        <f>'Balance Sheet'!G7</f>
        <v>7644</v>
      </c>
      <c r="G23" s="29">
        <f>'Balance Sheet'!H7</f>
        <v>7896</v>
      </c>
      <c r="H23" s="29">
        <f>'Balance Sheet'!I7</f>
        <v>13913</v>
      </c>
      <c r="I23" s="30">
        <f>'Balance Sheet'!J7</f>
        <v>14032</v>
      </c>
      <c r="J23" s="29">
        <f>I23</f>
        <v>14032</v>
      </c>
      <c r="K23" s="29">
        <f t="shared" ref="K23:N23" si="18">J23</f>
        <v>14032</v>
      </c>
      <c r="L23" s="29">
        <f t="shared" si="18"/>
        <v>14032</v>
      </c>
      <c r="M23" s="29">
        <f t="shared" si="18"/>
        <v>14032</v>
      </c>
      <c r="N23" s="30">
        <f t="shared" si="18"/>
        <v>14032</v>
      </c>
    </row>
    <row r="24" spans="2:17">
      <c r="B24" s="33" t="s">
        <v>7</v>
      </c>
      <c r="C24" s="29">
        <f>'Balance Sheet'!D9</f>
        <v>0</v>
      </c>
      <c r="D24" s="29">
        <f>'Balance Sheet'!E9</f>
        <v>17</v>
      </c>
      <c r="E24" s="29">
        <f>'Balance Sheet'!F9</f>
        <v>17</v>
      </c>
      <c r="F24" s="29">
        <f>'Balance Sheet'!G9</f>
        <v>0</v>
      </c>
      <c r="G24" s="29">
        <f>'Balance Sheet'!H9</f>
        <v>35</v>
      </c>
      <c r="H24" s="29">
        <f>'Balance Sheet'!I9</f>
        <v>81</v>
      </c>
      <c r="I24" s="30">
        <f>'Balance Sheet'!J9</f>
        <v>22</v>
      </c>
      <c r="J24" s="29">
        <f>I24*40%+H24*30%+G24*10%+F24*10%+E24*10%</f>
        <v>38.300000000000004</v>
      </c>
      <c r="K24" s="29">
        <f t="shared" ref="K24:N24" si="19">J24*40%+I24*30%+H24*10%+G24*10%+F24*10%</f>
        <v>33.520000000000003</v>
      </c>
      <c r="L24" s="29">
        <f t="shared" si="19"/>
        <v>38.698</v>
      </c>
      <c r="M24" s="29">
        <f t="shared" si="19"/>
        <v>39.665200000000006</v>
      </c>
      <c r="N24" s="30">
        <f t="shared" si="19"/>
        <v>36.85748000000001</v>
      </c>
      <c r="P24" t="s">
        <v>291</v>
      </c>
    </row>
    <row r="25" spans="2:17">
      <c r="B25" s="33"/>
      <c r="C25" s="29"/>
      <c r="D25" s="29"/>
      <c r="E25" s="29"/>
      <c r="F25" s="29"/>
      <c r="G25" s="29"/>
      <c r="H25" s="29"/>
      <c r="I25" s="30"/>
      <c r="J25" s="29"/>
      <c r="K25" s="29"/>
      <c r="L25" s="29"/>
      <c r="M25" s="29"/>
      <c r="N25" s="30"/>
    </row>
    <row r="26" spans="2:17">
      <c r="B26" s="32" t="s">
        <v>9</v>
      </c>
      <c r="C26" s="29"/>
      <c r="D26" s="29"/>
      <c r="E26" s="29"/>
      <c r="F26" s="29"/>
      <c r="G26" s="29"/>
      <c r="H26" s="29"/>
      <c r="I26" s="30"/>
      <c r="J26" s="29"/>
      <c r="K26" s="29"/>
      <c r="L26" s="29"/>
      <c r="M26" s="29"/>
      <c r="N26" s="30"/>
      <c r="P26" t="s">
        <v>293</v>
      </c>
    </row>
    <row r="27" spans="2:17">
      <c r="B27" s="33" t="s">
        <v>10</v>
      </c>
      <c r="C27" s="29">
        <f>'Balance Sheet'!D12</f>
        <v>585</v>
      </c>
      <c r="D27" s="29">
        <f>'Balance Sheet'!E12</f>
        <v>618</v>
      </c>
      <c r="E27" s="29">
        <f>'Balance Sheet'!F12</f>
        <v>767</v>
      </c>
      <c r="F27" s="29">
        <f>'Balance Sheet'!G12</f>
        <v>0</v>
      </c>
      <c r="G27" s="29">
        <f>'Balance Sheet'!H12</f>
        <v>762</v>
      </c>
      <c r="H27" s="29">
        <f>'Balance Sheet'!I12</f>
        <v>1296</v>
      </c>
      <c r="I27" s="30">
        <f>'Balance Sheet'!J12</f>
        <v>0</v>
      </c>
      <c r="J27" s="29">
        <f t="shared" ref="J27:J31" si="20">I27*40%+H27*30%+G27*10%+F27*10%+E27*10%</f>
        <v>541.70000000000005</v>
      </c>
      <c r="K27" s="29">
        <f t="shared" ref="K27:K31" si="21">J27*40%+I27*30%+H27*10%+G27*10%+F27*10%</f>
        <v>422.48</v>
      </c>
      <c r="L27" s="29">
        <f t="shared" ref="L27:L28" si="22">K27*40%+J27*30%+I27*10%+H27*10%+G27*10%</f>
        <v>537.30200000000013</v>
      </c>
      <c r="M27" s="29">
        <f t="shared" ref="M27:M31" si="23">L27*40%+K27*30%+J27*10%+I27*10%+H27*10%</f>
        <v>525.43480000000011</v>
      </c>
      <c r="N27" s="30">
        <f t="shared" ref="N27:N31" si="24">M27*40%+L27*30%+K27*10%+J27*10%+I27*10%</f>
        <v>467.78252000000009</v>
      </c>
    </row>
    <row r="28" spans="2:17">
      <c r="B28" s="33" t="s">
        <v>11</v>
      </c>
      <c r="C28" s="29">
        <f>'Balance Sheet'!D13</f>
        <v>185</v>
      </c>
      <c r="D28" s="29">
        <f>'Balance Sheet'!E13</f>
        <v>239</v>
      </c>
      <c r="E28" s="29">
        <f>'Balance Sheet'!F13</f>
        <v>368</v>
      </c>
      <c r="F28" s="29">
        <f>'Balance Sheet'!G13</f>
        <v>2458</v>
      </c>
      <c r="G28" s="29">
        <f>'Balance Sheet'!H13</f>
        <v>1827</v>
      </c>
      <c r="H28" s="29">
        <f>'Balance Sheet'!I13</f>
        <v>9389</v>
      </c>
      <c r="I28" s="30">
        <f>'Balance Sheet'!J13</f>
        <v>2480</v>
      </c>
      <c r="J28" s="29">
        <f t="shared" si="20"/>
        <v>4274</v>
      </c>
      <c r="K28" s="29">
        <f t="shared" si="21"/>
        <v>3821.0000000000005</v>
      </c>
      <c r="L28" s="29">
        <f t="shared" si="22"/>
        <v>4180.2000000000007</v>
      </c>
      <c r="M28" s="29">
        <f t="shared" si="23"/>
        <v>4432.68</v>
      </c>
      <c r="N28" s="30">
        <f t="shared" si="24"/>
        <v>4084.6320000000005</v>
      </c>
    </row>
    <row r="29" spans="2:17">
      <c r="B29" s="33" t="s">
        <v>12</v>
      </c>
      <c r="C29" s="29">
        <f>'Balance Sheet'!D14</f>
        <v>584</v>
      </c>
      <c r="D29" s="29">
        <f>'Balance Sheet'!E14</f>
        <v>920</v>
      </c>
      <c r="E29" s="29">
        <f>'Balance Sheet'!F14</f>
        <v>1335</v>
      </c>
      <c r="F29" s="29">
        <f>'Balance Sheet'!G14</f>
        <v>1408</v>
      </c>
      <c r="G29" s="29">
        <f>'Balance Sheet'!H14</f>
        <v>680</v>
      </c>
      <c r="H29" s="29">
        <f>'Balance Sheet'!I14</f>
        <v>1310</v>
      </c>
      <c r="I29" s="30">
        <f>'Balance Sheet'!J14</f>
        <v>1529</v>
      </c>
      <c r="J29" s="29">
        <f t="shared" si="20"/>
        <v>1346.8999999999999</v>
      </c>
      <c r="K29" s="29">
        <f t="shared" si="21"/>
        <v>1337.26</v>
      </c>
      <c r="L29" s="29">
        <f>K29*40%+J29*30%+I29*10%+H29*10%+G29*10%</f>
        <v>1290.874</v>
      </c>
      <c r="M29" s="29">
        <f t="shared" si="23"/>
        <v>1336.1176</v>
      </c>
      <c r="N29" s="30">
        <f t="shared" si="24"/>
        <v>1343.0252400000002</v>
      </c>
    </row>
    <row r="30" spans="2:17">
      <c r="B30" s="33" t="s">
        <v>13</v>
      </c>
      <c r="C30" s="29">
        <f>'Balance Sheet'!D15</f>
        <v>40</v>
      </c>
      <c r="D30" s="29">
        <f>'Balance Sheet'!E15</f>
        <v>48</v>
      </c>
      <c r="E30" s="29">
        <f>'Balance Sheet'!F15</f>
        <v>33</v>
      </c>
      <c r="F30" s="29">
        <f>'Balance Sheet'!G15</f>
        <v>7</v>
      </c>
      <c r="G30" s="29">
        <f>'Balance Sheet'!H15</f>
        <v>1</v>
      </c>
      <c r="H30" s="29">
        <f>'Balance Sheet'!I15</f>
        <v>119</v>
      </c>
      <c r="I30" s="30">
        <f>'Balance Sheet'!J15</f>
        <v>32</v>
      </c>
      <c r="J30" s="29">
        <f t="shared" si="20"/>
        <v>52.6</v>
      </c>
      <c r="K30" s="29">
        <f t="shared" si="21"/>
        <v>43.34</v>
      </c>
      <c r="L30" s="29">
        <f>K30*40%+J30*30%+I30*10%+H30*10%+G30*10%</f>
        <v>48.316000000000003</v>
      </c>
      <c r="M30" s="29">
        <f t="shared" si="23"/>
        <v>52.688400000000001</v>
      </c>
      <c r="N30" s="30">
        <f t="shared" si="24"/>
        <v>48.364160000000005</v>
      </c>
    </row>
    <row r="31" spans="2:17">
      <c r="B31" s="33" t="s">
        <v>14</v>
      </c>
      <c r="C31" s="29">
        <f>'Balance Sheet'!D16</f>
        <v>0</v>
      </c>
      <c r="D31" s="29">
        <f>'Balance Sheet'!E16</f>
        <v>0</v>
      </c>
      <c r="E31" s="29">
        <f>'Balance Sheet'!F16</f>
        <v>0</v>
      </c>
      <c r="F31" s="29">
        <f>'Balance Sheet'!G16</f>
        <v>1026</v>
      </c>
      <c r="G31" s="29">
        <f>'Balance Sheet'!H16</f>
        <v>697</v>
      </c>
      <c r="H31" s="29">
        <f>'Balance Sheet'!I16</f>
        <v>1246</v>
      </c>
      <c r="I31" s="30">
        <f>'Balance Sheet'!J16</f>
        <v>1636</v>
      </c>
      <c r="J31" s="29">
        <f t="shared" si="20"/>
        <v>1200.5</v>
      </c>
      <c r="K31" s="29">
        <f t="shared" si="21"/>
        <v>1267.8999999999999</v>
      </c>
      <c r="L31" s="29">
        <f>K31*40%+J31*30%+I31*10%+H31*10%+G31*10%</f>
        <v>1225.2099999999998</v>
      </c>
      <c r="M31" s="29">
        <f t="shared" si="23"/>
        <v>1278.7039999999997</v>
      </c>
      <c r="N31" s="30">
        <f t="shared" si="24"/>
        <v>1289.4845999999998</v>
      </c>
    </row>
    <row r="32" spans="2:17">
      <c r="B32" s="33"/>
      <c r="C32" s="29"/>
      <c r="D32" s="29"/>
      <c r="E32" s="29"/>
      <c r="F32" s="29"/>
      <c r="G32" s="29"/>
      <c r="H32" s="29"/>
      <c r="I32" s="30"/>
      <c r="J32" s="29"/>
      <c r="K32" s="29"/>
      <c r="L32" s="29"/>
      <c r="M32" s="29"/>
      <c r="N32" s="30"/>
    </row>
    <row r="33" spans="2:14" s="379" customFormat="1">
      <c r="B33" s="388" t="s">
        <v>27</v>
      </c>
      <c r="C33" s="377"/>
      <c r="D33" s="377"/>
      <c r="E33" s="377"/>
      <c r="F33" s="377"/>
      <c r="G33" s="377"/>
      <c r="H33" s="377"/>
      <c r="I33" s="378"/>
      <c r="J33" s="377"/>
      <c r="K33" s="377"/>
      <c r="L33" s="377"/>
      <c r="M33" s="377"/>
      <c r="N33" s="378"/>
    </row>
    <row r="34" spans="2:14" s="379" customFormat="1">
      <c r="B34" s="389" t="s">
        <v>28</v>
      </c>
      <c r="C34" s="377">
        <f>'Balance Sheet'!D30</f>
        <v>375</v>
      </c>
      <c r="D34" s="377">
        <f>'Balance Sheet'!E30</f>
        <v>597</v>
      </c>
      <c r="E34" s="377">
        <f>'Balance Sheet'!F30</f>
        <v>879</v>
      </c>
      <c r="F34" s="377">
        <f>'Balance Sheet'!G30</f>
        <v>2837</v>
      </c>
      <c r="G34" s="377">
        <f>'Balance Sheet'!H30</f>
        <v>2854</v>
      </c>
      <c r="H34" s="377">
        <f>'Balance Sheet'!I30</f>
        <v>2866</v>
      </c>
      <c r="I34" s="378">
        <f>'Balance Sheet'!J30</f>
        <v>2987</v>
      </c>
      <c r="J34" s="377">
        <f>I34</f>
        <v>2987</v>
      </c>
      <c r="K34" s="377">
        <f t="shared" ref="K34:N34" si="25">J34</f>
        <v>2987</v>
      </c>
      <c r="L34" s="377">
        <f t="shared" si="25"/>
        <v>2987</v>
      </c>
      <c r="M34" s="377">
        <f t="shared" si="25"/>
        <v>2987</v>
      </c>
      <c r="N34" s="378">
        <f t="shared" si="25"/>
        <v>2987</v>
      </c>
    </row>
    <row r="35" spans="2:14" s="379" customFormat="1">
      <c r="B35" s="389" t="s">
        <v>29</v>
      </c>
      <c r="C35" s="377">
        <f>'Balance Sheet'!D31</f>
        <v>2229</v>
      </c>
      <c r="D35" s="377">
        <f>'Balance Sheet'!E31</f>
        <v>2230</v>
      </c>
      <c r="E35" s="377">
        <f>'Balance Sheet'!F31</f>
        <v>3634</v>
      </c>
      <c r="F35" s="377">
        <f>'Balance Sheet'!G31</f>
        <v>0</v>
      </c>
      <c r="G35" s="377">
        <f>'Balance Sheet'!H31</f>
        <v>0</v>
      </c>
      <c r="H35" s="377">
        <f>'Balance Sheet'!I31</f>
        <v>0</v>
      </c>
      <c r="I35" s="378">
        <f>'Balance Sheet'!J31</f>
        <v>0</v>
      </c>
      <c r="J35" s="377">
        <v>0</v>
      </c>
      <c r="K35" s="377">
        <v>0</v>
      </c>
      <c r="L35" s="377">
        <v>0</v>
      </c>
      <c r="M35" s="377">
        <v>0</v>
      </c>
      <c r="N35" s="378">
        <v>0</v>
      </c>
    </row>
    <row r="36" spans="2:14" s="391" customFormat="1">
      <c r="B36" s="390" t="s">
        <v>292</v>
      </c>
      <c r="C36" s="153">
        <f>'Balance Sheet'!D32</f>
        <v>-13492</v>
      </c>
      <c r="D36" s="153">
        <f>'Balance Sheet'!E32</f>
        <v>-9432</v>
      </c>
      <c r="E36" s="153">
        <f>'Balance Sheet'!F32</f>
        <v>22018</v>
      </c>
      <c r="F36" s="153">
        <f>'Balance Sheet'!G32</f>
        <v>51762</v>
      </c>
      <c r="G36" s="153">
        <f>'Balance Sheet'!H32</f>
        <v>63726</v>
      </c>
      <c r="H36" s="153">
        <f>'Balance Sheet'!I32</f>
        <v>81016</v>
      </c>
      <c r="I36" s="155">
        <f>'Balance Sheet'!J32</f>
        <v>145037</v>
      </c>
      <c r="J36" s="153">
        <f>I36+'Profit &amp; Loss Statement'!J25</f>
        <v>173234.68401217918</v>
      </c>
      <c r="K36" s="153">
        <f>J36+'Profit &amp; Loss Statement'!K25</f>
        <v>212044.71492768158</v>
      </c>
      <c r="L36" s="153">
        <f>K36+'Profit &amp; Loss Statement'!L25</f>
        <v>261923.98096009181</v>
      </c>
      <c r="M36" s="153">
        <f>L36+'Profit &amp; Loss Statement'!M25</f>
        <v>327711.65013979509</v>
      </c>
      <c r="N36" s="155">
        <f>M36+'Profit &amp; Loss Statement'!N25</f>
        <v>413412.85467965598</v>
      </c>
    </row>
    <row r="37" spans="2:14">
      <c r="B37" s="33"/>
      <c r="C37" s="29"/>
      <c r="D37" s="29"/>
      <c r="E37" s="29"/>
      <c r="F37" s="29"/>
      <c r="G37" s="29"/>
      <c r="H37" s="29"/>
      <c r="I37" s="30"/>
      <c r="J37" s="29"/>
      <c r="K37" s="29"/>
      <c r="L37" s="29"/>
      <c r="M37" s="29"/>
      <c r="N37" s="30"/>
    </row>
    <row r="38" spans="2:14">
      <c r="B38" s="33" t="s">
        <v>180</v>
      </c>
      <c r="C38" s="29">
        <f>'Balance Sheet'!D39</f>
        <v>0</v>
      </c>
      <c r="D38" s="29">
        <f>'Balance Sheet'!E39</f>
        <v>0</v>
      </c>
      <c r="E38" s="29">
        <f>'Balance Sheet'!F39</f>
        <v>0</v>
      </c>
      <c r="F38" s="29">
        <f>'Balance Sheet'!G39</f>
        <v>2455</v>
      </c>
      <c r="G38" s="29">
        <f>'Balance Sheet'!H39</f>
        <v>1291</v>
      </c>
      <c r="H38" s="29">
        <f>'Balance Sheet'!I39</f>
        <v>1996</v>
      </c>
      <c r="I38" s="30">
        <f>'Balance Sheet'!J39</f>
        <v>401</v>
      </c>
      <c r="J38" s="29">
        <f t="shared" ref="J38:J40" si="26">I38*40%+H38*30%+G38*10%+F38*10%+E38*10%</f>
        <v>1133.8</v>
      </c>
      <c r="K38" s="29">
        <f t="shared" ref="K38:L40" si="27">J38*40%+I38*30%+H38*10%+G38*10%+F38*10%</f>
        <v>1148.02</v>
      </c>
      <c r="L38" s="29">
        <f t="shared" si="27"/>
        <v>1168.1479999999999</v>
      </c>
      <c r="M38" s="29">
        <f t="shared" ref="M38:M40" si="28">L38*40%+K38*30%+J38*10%+I38*10%+H38*10%</f>
        <v>1164.7451999999998</v>
      </c>
      <c r="N38" s="30">
        <f t="shared" ref="N38:N40" si="29">M38*40%+L38*30%+K38*10%+J38*10%+I38*10%</f>
        <v>1084.6244799999999</v>
      </c>
    </row>
    <row r="39" spans="2:14">
      <c r="B39" s="33" t="s">
        <v>38</v>
      </c>
      <c r="C39" s="29">
        <f>'Balance Sheet'!D40</f>
        <v>812</v>
      </c>
      <c r="D39" s="29">
        <f>'Balance Sheet'!E40</f>
        <v>940</v>
      </c>
      <c r="E39" s="29">
        <f>'Balance Sheet'!F40</f>
        <v>1255</v>
      </c>
      <c r="F39" s="29">
        <f>'Balance Sheet'!G40</f>
        <v>1653</v>
      </c>
      <c r="G39" s="29">
        <f>'Balance Sheet'!H40</f>
        <v>1858</v>
      </c>
      <c r="H39" s="29">
        <f>'Balance Sheet'!I40</f>
        <v>2466</v>
      </c>
      <c r="I39" s="30">
        <f>'Balance Sheet'!J40</f>
        <v>3338</v>
      </c>
      <c r="J39" s="29">
        <f t="shared" si="26"/>
        <v>2551.6000000000004</v>
      </c>
      <c r="K39" s="29">
        <f t="shared" si="27"/>
        <v>2619.7400000000007</v>
      </c>
      <c r="L39" s="29">
        <f t="shared" ref="L39:L40" si="30">K39*40%+J39*30%+I39*10%+H39*10%+G39*10%</f>
        <v>2579.5760000000009</v>
      </c>
      <c r="M39" s="29">
        <f t="shared" si="28"/>
        <v>2653.3124000000007</v>
      </c>
      <c r="N39" s="30">
        <f t="shared" si="29"/>
        <v>2686.1317600000007</v>
      </c>
    </row>
    <row r="40" spans="2:14" ht="14.95" thickBot="1">
      <c r="B40" s="57" t="s">
        <v>39</v>
      </c>
      <c r="C40" s="24">
        <f>'Balance Sheet'!D41</f>
        <v>123</v>
      </c>
      <c r="D40" s="24">
        <f>'Balance Sheet'!E41</f>
        <v>0</v>
      </c>
      <c r="E40" s="24">
        <f>'Balance Sheet'!F41</f>
        <v>0</v>
      </c>
      <c r="F40" s="24">
        <f>'Balance Sheet'!G41</f>
        <v>725</v>
      </c>
      <c r="G40" s="24">
        <f>'Balance Sheet'!H41</f>
        <v>468</v>
      </c>
      <c r="H40" s="24">
        <f>'Balance Sheet'!I41</f>
        <v>2060</v>
      </c>
      <c r="I40" s="58">
        <f>'Balance Sheet'!J41</f>
        <v>1303</v>
      </c>
      <c r="J40" s="24">
        <f t="shared" si="26"/>
        <v>1258.5</v>
      </c>
      <c r="K40" s="24">
        <f t="shared" si="27"/>
        <v>1219.5999999999999</v>
      </c>
      <c r="L40" s="24">
        <f t="shared" si="30"/>
        <v>1248.49</v>
      </c>
      <c r="M40" s="24">
        <f t="shared" si="28"/>
        <v>1327.4259999999999</v>
      </c>
      <c r="N40" s="58">
        <f t="shared" si="29"/>
        <v>1283.6273999999999</v>
      </c>
    </row>
    <row r="44" spans="2:14">
      <c r="I44" s="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079F-0F86-4992-AD3D-A07448BA89E2}">
  <dimension ref="A1:L926"/>
  <sheetViews>
    <sheetView showGridLines="0" topLeftCell="G1" zoomScaleNormal="100" workbookViewId="0">
      <selection activeCell="H24" sqref="H24"/>
    </sheetView>
  </sheetViews>
  <sheetFormatPr defaultRowHeight="14.3"/>
  <cols>
    <col min="1" max="1" width="10.375" bestFit="1" customWidth="1"/>
    <col min="2" max="2" width="14.125" bestFit="1" customWidth="1"/>
    <col min="3" max="3" width="8.5" bestFit="1" customWidth="1"/>
    <col min="4" max="4" width="15.25" style="165" bestFit="1" customWidth="1"/>
    <col min="5" max="5" width="8.875" style="165"/>
    <col min="7" max="7" width="21" bestFit="1" customWidth="1"/>
    <col min="8" max="8" width="20.25" bestFit="1" customWidth="1"/>
    <col min="9" max="9" width="31.625" bestFit="1" customWidth="1"/>
    <col min="10" max="10" width="65.5" customWidth="1"/>
    <col min="11" max="11" width="7.375" customWidth="1"/>
    <col min="16" max="16" width="35.75" customWidth="1"/>
  </cols>
  <sheetData>
    <row r="1" spans="1:12" ht="14.95" thickBot="1">
      <c r="B1" s="25" t="s">
        <v>181</v>
      </c>
      <c r="C1" s="25" t="s">
        <v>182</v>
      </c>
      <c r="D1" s="25" t="s">
        <v>183</v>
      </c>
      <c r="E1" s="25" t="s">
        <v>184</v>
      </c>
    </row>
    <row r="2" spans="1:12">
      <c r="A2" s="189">
        <v>44091</v>
      </c>
      <c r="B2" s="190">
        <v>363.96624800000001</v>
      </c>
      <c r="C2" s="83">
        <v>11646.150390999999</v>
      </c>
      <c r="J2" s="11" t="s">
        <v>185</v>
      </c>
      <c r="K2" s="337">
        <v>765</v>
      </c>
      <c r="L2" t="s">
        <v>299</v>
      </c>
    </row>
    <row r="3" spans="1:12" ht="14.95" thickBot="1">
      <c r="A3" s="189">
        <v>44092</v>
      </c>
      <c r="B3" s="190">
        <v>351.94686899999999</v>
      </c>
      <c r="C3" s="83">
        <v>11640.200194999999</v>
      </c>
      <c r="D3" s="165">
        <f>B3/B2-1</f>
        <v>-3.3023334075746535E-2</v>
      </c>
      <c r="E3" s="165">
        <f>C3/C2-1</f>
        <v>-5.1091526386248809E-4</v>
      </c>
      <c r="G3" s="25"/>
      <c r="J3" s="287" t="s">
        <v>186</v>
      </c>
      <c r="K3" s="338">
        <v>1484.5943500000001</v>
      </c>
      <c r="L3" t="s">
        <v>246</v>
      </c>
    </row>
    <row r="4" spans="1:12">
      <c r="A4" s="189">
        <v>44095</v>
      </c>
      <c r="B4" s="190">
        <v>342.82193000000001</v>
      </c>
      <c r="C4" s="83">
        <v>11367.25</v>
      </c>
      <c r="D4" s="165">
        <f>B4/B3-1</f>
        <v>-2.5927035594682235E-2</v>
      </c>
      <c r="E4" s="165">
        <f>C4/C3-1</f>
        <v>-2.3448926172012441E-2</v>
      </c>
      <c r="G4" s="25"/>
      <c r="H4" s="191"/>
    </row>
    <row r="5" spans="1:12">
      <c r="A5" s="189">
        <v>44096</v>
      </c>
      <c r="B5" s="190">
        <v>347.28625499999998</v>
      </c>
      <c r="C5" s="83">
        <v>11264.549805000001</v>
      </c>
      <c r="D5" s="165">
        <f t="shared" ref="D5:E67" si="0">B5/B4-1</f>
        <v>1.3022285359632457E-2</v>
      </c>
      <c r="E5" s="165">
        <f t="shared" si="0"/>
        <v>-9.0347441113725058E-3</v>
      </c>
      <c r="H5" s="335">
        <f>SLOPE(D3:D926,E3:E926)</f>
        <v>0.78248801130960344</v>
      </c>
    </row>
    <row r="6" spans="1:12" ht="14.95" thickBot="1">
      <c r="A6" s="189">
        <v>44097</v>
      </c>
      <c r="B6" s="190">
        <v>345.667328</v>
      </c>
      <c r="C6" s="83">
        <v>11241.599609000001</v>
      </c>
      <c r="D6" s="165">
        <f>B6/B5-1</f>
        <v>-4.6616500845966247E-3</v>
      </c>
      <c r="E6" s="165">
        <f t="shared" si="0"/>
        <v>-2.0373824429106291E-3</v>
      </c>
      <c r="H6" s="192"/>
    </row>
    <row r="7" spans="1:12" ht="14.95" thickBot="1">
      <c r="A7" s="189">
        <v>44098</v>
      </c>
      <c r="B7" s="190">
        <v>330.94970699999999</v>
      </c>
      <c r="C7" s="83">
        <v>10922.25</v>
      </c>
      <c r="D7" s="165">
        <f t="shared" si="0"/>
        <v>-4.2577414200974162E-2</v>
      </c>
      <c r="E7" s="165">
        <f t="shared" si="0"/>
        <v>-2.8407844088694456E-2</v>
      </c>
      <c r="G7" s="428" t="s">
        <v>187</v>
      </c>
      <c r="H7" s="429"/>
    </row>
    <row r="8" spans="1:12">
      <c r="A8" s="189">
        <v>44099</v>
      </c>
      <c r="B8" s="190">
        <v>356.55838</v>
      </c>
      <c r="C8" s="83">
        <v>11176.299805000001</v>
      </c>
      <c r="D8" s="165">
        <f t="shared" si="0"/>
        <v>7.7379349364403716E-2</v>
      </c>
      <c r="E8" s="165">
        <f>C8/C7-1</f>
        <v>2.3259841607727427E-2</v>
      </c>
      <c r="G8" s="88" t="s">
        <v>188</v>
      </c>
      <c r="H8" s="423">
        <f>_xlfn.COVARIANCE.S(D3:D926,E3:E926)/_xlfn.VAR.S(E3:E926)</f>
        <v>0.78248801130960188</v>
      </c>
    </row>
    <row r="9" spans="1:12" ht="14.95" thickBot="1">
      <c r="A9" s="189">
        <v>44102</v>
      </c>
      <c r="B9" s="190">
        <v>360.18872099999999</v>
      </c>
      <c r="C9" s="83">
        <v>11365.25</v>
      </c>
      <c r="D9" s="165">
        <f t="shared" si="0"/>
        <v>1.0181617383386188E-2</v>
      </c>
      <c r="E9" s="165">
        <f t="shared" si="0"/>
        <v>1.6906328417878314E-2</v>
      </c>
      <c r="G9" s="41" t="s">
        <v>189</v>
      </c>
      <c r="H9" s="187">
        <v>6.93E-2</v>
      </c>
      <c r="I9" t="s">
        <v>315</v>
      </c>
    </row>
    <row r="10" spans="1:12" ht="14.95" thickBot="1">
      <c r="A10" s="189">
        <v>44103</v>
      </c>
      <c r="B10" s="190">
        <v>344.83337399999999</v>
      </c>
      <c r="C10" s="83">
        <v>11353.650390999999</v>
      </c>
      <c r="D10" s="165">
        <f t="shared" si="0"/>
        <v>-4.263139322455356E-2</v>
      </c>
      <c r="E10" s="165">
        <f t="shared" si="0"/>
        <v>-1.0206206638657678E-3</v>
      </c>
      <c r="G10" s="41" t="s">
        <v>190</v>
      </c>
      <c r="H10" s="193">
        <v>7.8100000000000003E-2</v>
      </c>
      <c r="I10" t="s">
        <v>298</v>
      </c>
      <c r="J10" s="428" t="s">
        <v>191</v>
      </c>
      <c r="K10" s="430"/>
      <c r="L10" s="429"/>
    </row>
    <row r="11" spans="1:12">
      <c r="A11" s="189">
        <v>44104</v>
      </c>
      <c r="B11" s="190">
        <v>342.28225700000002</v>
      </c>
      <c r="C11" s="83">
        <v>11385.200194999999</v>
      </c>
      <c r="D11" s="165">
        <f t="shared" si="0"/>
        <v>-7.3981151255968491E-3</v>
      </c>
      <c r="E11" s="165">
        <f t="shared" si="0"/>
        <v>2.7788246875215528E-3</v>
      </c>
      <c r="G11" s="41"/>
      <c r="H11" s="194"/>
      <c r="J11" s="49" t="s">
        <v>192</v>
      </c>
      <c r="K11" s="195">
        <v>3.6999999999999998E-2</v>
      </c>
      <c r="L11" s="194">
        <v>0.4</v>
      </c>
    </row>
    <row r="12" spans="1:12">
      <c r="A12" s="189">
        <v>44105</v>
      </c>
      <c r="B12" s="190">
        <v>336.34619099999998</v>
      </c>
      <c r="C12" s="83">
        <v>11545.900390999999</v>
      </c>
      <c r="D12" s="165">
        <f t="shared" si="0"/>
        <v>-1.7342605053583093E-2</v>
      </c>
      <c r="E12" s="165">
        <f t="shared" si="0"/>
        <v>1.4114832699259283E-2</v>
      </c>
      <c r="G12" s="94" t="s">
        <v>193</v>
      </c>
      <c r="H12" s="196">
        <f>H9+(H8*H10)</f>
        <v>0.13041231368327991</v>
      </c>
      <c r="J12" s="49" t="s">
        <v>194</v>
      </c>
      <c r="K12" s="197">
        <v>5.5E-2</v>
      </c>
      <c r="L12" s="194">
        <v>0.3</v>
      </c>
    </row>
    <row r="13" spans="1:12">
      <c r="A13" s="189">
        <v>44109</v>
      </c>
      <c r="B13" s="190">
        <v>338.995361</v>
      </c>
      <c r="C13" s="83">
        <v>11625.599609000001</v>
      </c>
      <c r="D13" s="165">
        <f t="shared" si="0"/>
        <v>7.876319312918989E-3</v>
      </c>
      <c r="E13" s="165">
        <f t="shared" si="0"/>
        <v>6.9028153111494461E-3</v>
      </c>
      <c r="G13" s="49"/>
      <c r="H13" s="37"/>
      <c r="J13" s="49" t="s">
        <v>195</v>
      </c>
      <c r="K13" s="197">
        <v>6.8000000000000005E-2</v>
      </c>
      <c r="L13" s="194">
        <v>0.2</v>
      </c>
    </row>
    <row r="14" spans="1:12" ht="14.95" thickBot="1">
      <c r="A14" s="189">
        <v>44110</v>
      </c>
      <c r="B14" s="190">
        <v>343.459656</v>
      </c>
      <c r="C14" s="83">
        <v>11770.75</v>
      </c>
      <c r="D14" s="165">
        <f t="shared" si="0"/>
        <v>1.3169192011450503E-2</v>
      </c>
      <c r="E14" s="165">
        <f t="shared" si="0"/>
        <v>1.2485411151406778E-2</v>
      </c>
      <c r="G14" s="198" t="s">
        <v>196</v>
      </c>
      <c r="H14" s="43">
        <f>K2*K3</f>
        <v>1135714.67775</v>
      </c>
      <c r="J14" s="57" t="s">
        <v>197</v>
      </c>
      <c r="K14" s="199">
        <v>0.10299999999999999</v>
      </c>
      <c r="L14" s="200">
        <v>0.1</v>
      </c>
    </row>
    <row r="15" spans="1:12" ht="14.95" thickBot="1">
      <c r="A15" s="189">
        <v>44111</v>
      </c>
      <c r="B15" s="190">
        <v>338.70098899999999</v>
      </c>
      <c r="C15" s="83">
        <v>11833.900390999999</v>
      </c>
      <c r="D15" s="165">
        <f t="shared" si="0"/>
        <v>-1.3855097438285502E-2</v>
      </c>
      <c r="E15" s="165">
        <f t="shared" si="0"/>
        <v>5.3650269524030403E-3</v>
      </c>
      <c r="G15" s="198" t="s">
        <v>198</v>
      </c>
      <c r="H15" s="43">
        <f>Schedules_Populated!J44+Schedules_Populated!J48</f>
        <v>53779.95</v>
      </c>
      <c r="J15" s="431" t="s">
        <v>199</v>
      </c>
      <c r="K15" s="432"/>
      <c r="L15" s="201">
        <v>5.5E-2</v>
      </c>
    </row>
    <row r="16" spans="1:12">
      <c r="A16" s="189">
        <v>44112</v>
      </c>
      <c r="B16" s="190">
        <v>350.57321200000001</v>
      </c>
      <c r="C16" s="83">
        <v>11925.400390999999</v>
      </c>
      <c r="D16" s="165">
        <f t="shared" si="0"/>
        <v>3.5052224190582404E-2</v>
      </c>
      <c r="E16" s="165">
        <f t="shared" si="0"/>
        <v>7.7320238447831091E-3</v>
      </c>
      <c r="G16" s="202" t="s">
        <v>200</v>
      </c>
      <c r="H16" s="203">
        <f>Schedules_Populated!J55</f>
        <v>6.097288674876828E-2</v>
      </c>
      <c r="K16" s="192"/>
    </row>
    <row r="17" spans="1:10">
      <c r="A17" s="189">
        <v>44113</v>
      </c>
      <c r="B17" s="190">
        <v>344.14651500000002</v>
      </c>
      <c r="C17" s="83">
        <v>11990.700194999999</v>
      </c>
      <c r="D17" s="165">
        <f t="shared" si="0"/>
        <v>-1.8331968273719634E-2</v>
      </c>
      <c r="E17" s="165">
        <f t="shared" si="0"/>
        <v>5.475690698760971E-3</v>
      </c>
      <c r="G17" s="202" t="str">
        <f>G12</f>
        <v>Cost Of Equity</v>
      </c>
      <c r="H17" s="204">
        <f>H12</f>
        <v>0.13041231368327991</v>
      </c>
    </row>
    <row r="18" spans="1:10">
      <c r="A18" s="189">
        <v>44116</v>
      </c>
      <c r="B18" s="190">
        <v>337.76889</v>
      </c>
      <c r="C18" s="83">
        <v>11999.049805000001</v>
      </c>
      <c r="D18" s="165">
        <f t="shared" si="0"/>
        <v>-1.8531714609982375E-2</v>
      </c>
      <c r="E18" s="165">
        <f t="shared" si="0"/>
        <v>6.9634048589439779E-4</v>
      </c>
      <c r="G18" s="205" t="s">
        <v>201</v>
      </c>
      <c r="H18" s="51">
        <f>H15/(H14+H15)</f>
        <v>4.5212436227415317E-2</v>
      </c>
    </row>
    <row r="19" spans="1:10">
      <c r="A19" s="189">
        <v>44117</v>
      </c>
      <c r="B19" s="190">
        <v>341.742615</v>
      </c>
      <c r="C19" s="83">
        <v>11995.700194999999</v>
      </c>
      <c r="D19" s="165">
        <f t="shared" si="0"/>
        <v>1.1764626990958149E-2</v>
      </c>
      <c r="E19" s="165">
        <f t="shared" si="0"/>
        <v>-2.7915627107455432E-4</v>
      </c>
      <c r="G19" s="205" t="s">
        <v>202</v>
      </c>
      <c r="H19" s="51">
        <f>1-H18</f>
        <v>0.95478756377258467</v>
      </c>
      <c r="J19" t="s">
        <v>300</v>
      </c>
    </row>
    <row r="20" spans="1:10" ht="14.95" thickBot="1">
      <c r="A20" s="189">
        <v>44118</v>
      </c>
      <c r="B20" s="190">
        <v>347.48254400000002</v>
      </c>
      <c r="C20" s="83">
        <v>12039.049805000001</v>
      </c>
      <c r="D20" s="165">
        <f t="shared" si="0"/>
        <v>1.6796058636117106E-2</v>
      </c>
      <c r="E20" s="165">
        <f t="shared" si="0"/>
        <v>3.6137623727934276E-3</v>
      </c>
      <c r="G20" s="206" t="s">
        <v>203</v>
      </c>
      <c r="H20" s="207">
        <f>Assumptions!J17</f>
        <v>0.25169999999999998</v>
      </c>
    </row>
    <row r="21" spans="1:10" ht="15.65" thickTop="1" thickBot="1">
      <c r="A21" s="189">
        <v>44119</v>
      </c>
      <c r="B21" s="190">
        <v>334.18762199999998</v>
      </c>
      <c r="C21" s="83">
        <v>11758.200194999999</v>
      </c>
      <c r="D21" s="165">
        <f t="shared" si="0"/>
        <v>-3.8260690298157929E-2</v>
      </c>
      <c r="E21" s="165">
        <f t="shared" si="0"/>
        <v>-2.3328220627790719E-2</v>
      </c>
      <c r="G21" s="208" t="s">
        <v>187</v>
      </c>
      <c r="H21" s="209">
        <f>(H16*H18*(1-H20))+(H17*H19)</f>
        <v>0.12657891838722116</v>
      </c>
    </row>
    <row r="22" spans="1:10">
      <c r="A22" s="189">
        <v>44120</v>
      </c>
      <c r="B22" s="190">
        <v>319.32281499999999</v>
      </c>
      <c r="C22" s="83">
        <v>11843.349609000001</v>
      </c>
      <c r="D22" s="165">
        <f t="shared" si="0"/>
        <v>-4.4480423634601252E-2</v>
      </c>
      <c r="E22" s="165">
        <f t="shared" si="0"/>
        <v>7.2417047326860384E-3</v>
      </c>
    </row>
    <row r="23" spans="1:10">
      <c r="A23" s="189">
        <v>44123</v>
      </c>
      <c r="B23" s="190">
        <v>318.19448899999998</v>
      </c>
      <c r="C23" s="83">
        <v>11952.900390999999</v>
      </c>
      <c r="D23" s="165">
        <f t="shared" si="0"/>
        <v>-3.5334963460096347E-3</v>
      </c>
      <c r="E23" s="165">
        <f t="shared" si="0"/>
        <v>9.2499829538721379E-3</v>
      </c>
      <c r="G23" s="336"/>
    </row>
    <row r="24" spans="1:10">
      <c r="A24" s="189">
        <v>44124</v>
      </c>
      <c r="B24" s="190">
        <v>318.29257200000001</v>
      </c>
      <c r="C24" s="83">
        <v>11976.849609000001</v>
      </c>
      <c r="D24" s="165">
        <f t="shared" si="0"/>
        <v>3.0824858189171245E-4</v>
      </c>
      <c r="E24" s="165">
        <f t="shared" si="0"/>
        <v>2.0036323583885185E-3</v>
      </c>
      <c r="G24" s="25" t="s">
        <v>297</v>
      </c>
    </row>
    <row r="25" spans="1:10">
      <c r="A25" s="189">
        <v>44125</v>
      </c>
      <c r="B25" s="190">
        <v>313.28860500000002</v>
      </c>
      <c r="C25" s="83">
        <v>12009</v>
      </c>
      <c r="D25" s="165">
        <f t="shared" si="0"/>
        <v>-1.5721281111140684E-2</v>
      </c>
      <c r="E25" s="165">
        <f t="shared" si="0"/>
        <v>2.6843779499277076E-3</v>
      </c>
    </row>
    <row r="26" spans="1:10">
      <c r="A26" s="189">
        <v>44126</v>
      </c>
      <c r="B26" s="190">
        <v>314.17169200000001</v>
      </c>
      <c r="C26" s="83">
        <v>11971.799805000001</v>
      </c>
      <c r="D26" s="165">
        <f t="shared" si="0"/>
        <v>2.8187651446818229E-3</v>
      </c>
      <c r="E26" s="165">
        <f t="shared" si="0"/>
        <v>-3.0976929802647435E-3</v>
      </c>
      <c r="G26" s="25"/>
    </row>
    <row r="27" spans="1:10">
      <c r="A27" s="189">
        <v>44127</v>
      </c>
      <c r="B27" s="190">
        <v>313.82824699999998</v>
      </c>
      <c r="C27" s="83">
        <v>12006.099609000001</v>
      </c>
      <c r="D27" s="165">
        <f t="shared" si="0"/>
        <v>-1.0931761477734891E-3</v>
      </c>
      <c r="E27" s="165">
        <f t="shared" si="0"/>
        <v>2.8650499138547225E-3</v>
      </c>
      <c r="G27" s="161"/>
    </row>
    <row r="28" spans="1:10">
      <c r="A28" s="189">
        <v>44130</v>
      </c>
      <c r="B28" s="190">
        <v>311.22818000000001</v>
      </c>
      <c r="C28" s="83">
        <v>11842.700194999999</v>
      </c>
      <c r="D28" s="165">
        <f t="shared" si="0"/>
        <v>-8.2849999158933763E-3</v>
      </c>
      <c r="E28" s="165">
        <f t="shared" si="0"/>
        <v>-1.3609700012609749E-2</v>
      </c>
    </row>
    <row r="29" spans="1:10">
      <c r="A29" s="189">
        <v>44131</v>
      </c>
      <c r="B29" s="190">
        <v>302.98629799999998</v>
      </c>
      <c r="C29" s="83">
        <v>11971.900390999999</v>
      </c>
      <c r="D29" s="165">
        <f t="shared" si="0"/>
        <v>-2.6481798659748756E-2</v>
      </c>
      <c r="E29" s="165">
        <f t="shared" si="0"/>
        <v>1.0909690684777207E-2</v>
      </c>
      <c r="G29" s="25"/>
      <c r="H29" s="25"/>
    </row>
    <row r="30" spans="1:10">
      <c r="A30" s="189">
        <v>44132</v>
      </c>
      <c r="B30" s="190">
        <v>314.17169200000001</v>
      </c>
      <c r="C30" s="83">
        <v>11819.049805000001</v>
      </c>
      <c r="D30" s="165">
        <f t="shared" si="0"/>
        <v>3.6917161184629066E-2</v>
      </c>
      <c r="E30" s="165">
        <f t="shared" si="0"/>
        <v>-1.2767445518917397E-2</v>
      </c>
    </row>
    <row r="31" spans="1:10">
      <c r="A31" s="189">
        <v>44133</v>
      </c>
      <c r="B31" s="190">
        <v>325.89666699999998</v>
      </c>
      <c r="C31" s="83">
        <v>11774.400390999999</v>
      </c>
      <c r="D31" s="165">
        <f t="shared" si="0"/>
        <v>3.732027836549956E-2</v>
      </c>
      <c r="E31" s="165">
        <f t="shared" si="0"/>
        <v>-3.7777498814762778E-3</v>
      </c>
    </row>
    <row r="32" spans="1:10">
      <c r="A32" s="189">
        <v>44134</v>
      </c>
      <c r="B32" s="190">
        <v>332.56869499999999</v>
      </c>
      <c r="C32" s="83">
        <v>11748.950194999999</v>
      </c>
      <c r="D32" s="165">
        <f t="shared" si="0"/>
        <v>2.0472832881104575E-2</v>
      </c>
      <c r="E32" s="165">
        <f t="shared" si="0"/>
        <v>-2.1614855240911224E-3</v>
      </c>
    </row>
    <row r="33" spans="1:5">
      <c r="A33" s="189">
        <v>44137</v>
      </c>
      <c r="B33" s="190">
        <v>334.13855000000001</v>
      </c>
      <c r="C33" s="83">
        <v>11777.849609000001</v>
      </c>
      <c r="D33" s="165">
        <f t="shared" si="0"/>
        <v>4.7203931807231481E-3</v>
      </c>
      <c r="E33" s="165">
        <f t="shared" si="0"/>
        <v>2.4597443618665782E-3</v>
      </c>
    </row>
    <row r="34" spans="1:5">
      <c r="A34" s="189">
        <v>44138</v>
      </c>
      <c r="B34" s="190">
        <v>332.91204800000003</v>
      </c>
      <c r="C34" s="83">
        <v>11913.349609000001</v>
      </c>
      <c r="D34" s="165">
        <f t="shared" si="0"/>
        <v>-3.6706390208491868E-3</v>
      </c>
      <c r="E34" s="165">
        <f t="shared" si="0"/>
        <v>1.1504646815702069E-2</v>
      </c>
    </row>
    <row r="35" spans="1:5">
      <c r="A35" s="189">
        <v>44139</v>
      </c>
      <c r="B35" s="190">
        <v>343.26348899999999</v>
      </c>
      <c r="C35" s="83">
        <v>12007.099609000001</v>
      </c>
      <c r="D35" s="165">
        <f t="shared" si="0"/>
        <v>3.1093620859284687E-2</v>
      </c>
      <c r="E35" s="165">
        <f t="shared" si="0"/>
        <v>7.8693233286108999E-3</v>
      </c>
    </row>
    <row r="36" spans="1:5">
      <c r="A36" s="189">
        <v>44140</v>
      </c>
      <c r="B36" s="190">
        <v>324.08151199999998</v>
      </c>
      <c r="C36" s="83">
        <v>12217.900390999999</v>
      </c>
      <c r="D36" s="165">
        <f t="shared" si="0"/>
        <v>-5.5881203841052884E-2</v>
      </c>
      <c r="E36" s="165">
        <f t="shared" si="0"/>
        <v>1.755634490131075E-2</v>
      </c>
    </row>
    <row r="37" spans="1:5">
      <c r="A37" s="189">
        <v>44141</v>
      </c>
      <c r="B37" s="190">
        <v>319.91153000000003</v>
      </c>
      <c r="C37" s="83">
        <v>12349.150390999999</v>
      </c>
      <c r="D37" s="165">
        <f t="shared" si="0"/>
        <v>-1.2867077712226727E-2</v>
      </c>
      <c r="E37" s="165">
        <f t="shared" si="0"/>
        <v>1.074243493560334E-2</v>
      </c>
    </row>
    <row r="38" spans="1:5">
      <c r="A38" s="189">
        <v>44144</v>
      </c>
      <c r="B38" s="190">
        <v>316.03595000000001</v>
      </c>
      <c r="C38" s="83">
        <v>12545.450194999999</v>
      </c>
      <c r="D38" s="165">
        <f t="shared" si="0"/>
        <v>-1.21145367908434E-2</v>
      </c>
      <c r="E38" s="165">
        <f t="shared" si="0"/>
        <v>1.5895814512313589E-2</v>
      </c>
    </row>
    <row r="39" spans="1:5">
      <c r="A39" s="189">
        <v>44145</v>
      </c>
      <c r="B39" s="190">
        <v>306.17511000000002</v>
      </c>
      <c r="C39" s="83">
        <v>12683.349609000001</v>
      </c>
      <c r="D39" s="165">
        <f t="shared" si="0"/>
        <v>-3.1201640193148861E-2</v>
      </c>
      <c r="E39" s="165">
        <f t="shared" si="0"/>
        <v>1.0991986087112382E-2</v>
      </c>
    </row>
    <row r="40" spans="1:5">
      <c r="A40" s="189">
        <v>44146</v>
      </c>
      <c r="B40" s="190">
        <v>309.60922199999999</v>
      </c>
      <c r="C40" s="83">
        <v>12805.599609000001</v>
      </c>
      <c r="D40" s="165">
        <f t="shared" si="0"/>
        <v>1.121616972718642E-2</v>
      </c>
      <c r="E40" s="165">
        <f t="shared" si="0"/>
        <v>9.638621008542847E-3</v>
      </c>
    </row>
    <row r="41" spans="1:5">
      <c r="A41" s="189">
        <v>44147</v>
      </c>
      <c r="B41" s="190">
        <v>312.50366200000002</v>
      </c>
      <c r="C41" s="83">
        <v>12764.049805000001</v>
      </c>
      <c r="D41" s="165">
        <f t="shared" si="0"/>
        <v>9.348687940567979E-3</v>
      </c>
      <c r="E41" s="165">
        <f t="shared" si="0"/>
        <v>-3.2446589983025076E-3</v>
      </c>
    </row>
    <row r="42" spans="1:5">
      <c r="A42" s="189">
        <v>44148</v>
      </c>
      <c r="B42" s="190">
        <v>315.05471799999998</v>
      </c>
      <c r="C42" s="83">
        <v>12804.25</v>
      </c>
      <c r="D42" s="165">
        <f t="shared" si="0"/>
        <v>8.1632835393781189E-3</v>
      </c>
      <c r="E42" s="165">
        <f t="shared" si="0"/>
        <v>3.1494859087946026E-3</v>
      </c>
    </row>
    <row r="43" spans="1:5">
      <c r="A43" s="189">
        <v>44149</v>
      </c>
      <c r="B43" s="190">
        <v>318.43978900000002</v>
      </c>
      <c r="C43" s="83">
        <v>12804.25</v>
      </c>
      <c r="D43" s="165">
        <f t="shared" si="0"/>
        <v>1.0744390756909805E-2</v>
      </c>
      <c r="E43" s="165">
        <f t="shared" si="0"/>
        <v>0</v>
      </c>
    </row>
    <row r="44" spans="1:5">
      <c r="A44" s="189">
        <v>44152</v>
      </c>
      <c r="B44" s="190">
        <v>318.685089</v>
      </c>
      <c r="C44" s="83">
        <v>12960.900390999999</v>
      </c>
      <c r="D44" s="165">
        <f t="shared" si="0"/>
        <v>7.703183096883226E-4</v>
      </c>
      <c r="E44" s="165">
        <f t="shared" si="0"/>
        <v>1.2234249643672923E-2</v>
      </c>
    </row>
    <row r="45" spans="1:5">
      <c r="A45" s="189">
        <v>44153</v>
      </c>
      <c r="B45" s="190">
        <v>317.36047400000001</v>
      </c>
      <c r="C45" s="83">
        <v>13022.75</v>
      </c>
      <c r="D45" s="165">
        <f t="shared" si="0"/>
        <v>-4.1565013416740015E-3</v>
      </c>
      <c r="E45" s="165">
        <f t="shared" si="0"/>
        <v>4.7720148395669071E-3</v>
      </c>
    </row>
    <row r="46" spans="1:5">
      <c r="A46" s="189">
        <v>44154</v>
      </c>
      <c r="B46" s="190">
        <v>311.86587500000002</v>
      </c>
      <c r="C46" s="83">
        <v>12864.849609000001</v>
      </c>
      <c r="D46" s="165">
        <f t="shared" si="0"/>
        <v>-1.7313432043840504E-2</v>
      </c>
      <c r="E46" s="165">
        <f t="shared" si="0"/>
        <v>-1.2124965233917484E-2</v>
      </c>
    </row>
    <row r="47" spans="1:5">
      <c r="A47" s="189">
        <v>44155</v>
      </c>
      <c r="B47" s="190">
        <v>314.51507600000002</v>
      </c>
      <c r="C47" s="83">
        <v>12962.450194999999</v>
      </c>
      <c r="D47" s="165">
        <f t="shared" si="0"/>
        <v>8.4946806058854296E-3</v>
      </c>
      <c r="E47" s="165">
        <f t="shared" si="0"/>
        <v>7.586609168887648E-3</v>
      </c>
    </row>
    <row r="48" spans="1:5">
      <c r="A48" s="189">
        <v>44158</v>
      </c>
      <c r="B48" s="190">
        <v>312.50366200000002</v>
      </c>
      <c r="C48" s="83">
        <v>13036.650390999999</v>
      </c>
      <c r="D48" s="165">
        <f t="shared" si="0"/>
        <v>-6.3952864377159191E-3</v>
      </c>
      <c r="E48" s="165">
        <f t="shared" si="0"/>
        <v>5.7242415503067079E-3</v>
      </c>
    </row>
    <row r="49" spans="1:5">
      <c r="A49" s="189">
        <v>44159</v>
      </c>
      <c r="B49" s="190">
        <v>315.10379</v>
      </c>
      <c r="C49" s="83">
        <v>13158.299805000001</v>
      </c>
      <c r="D49" s="165">
        <f t="shared" si="0"/>
        <v>8.3203120992545454E-3</v>
      </c>
      <c r="E49" s="165">
        <f t="shared" si="0"/>
        <v>9.3313397499701356E-3</v>
      </c>
    </row>
    <row r="50" spans="1:5">
      <c r="A50" s="189">
        <v>44160</v>
      </c>
      <c r="B50" s="190">
        <v>311.96402</v>
      </c>
      <c r="C50" s="83">
        <v>12959.799805000001</v>
      </c>
      <c r="D50" s="165">
        <f t="shared" si="0"/>
        <v>-9.9642406713038589E-3</v>
      </c>
      <c r="E50" s="165">
        <f t="shared" si="0"/>
        <v>-1.5085535589071442E-2</v>
      </c>
    </row>
    <row r="51" spans="1:5">
      <c r="A51" s="189">
        <v>44161</v>
      </c>
      <c r="B51" s="190">
        <v>305.978882</v>
      </c>
      <c r="C51" s="83">
        <v>13087.75</v>
      </c>
      <c r="D51" s="165">
        <f t="shared" si="0"/>
        <v>-1.9185347079448523E-2</v>
      </c>
      <c r="E51" s="165">
        <f t="shared" si="0"/>
        <v>9.8728527388698417E-3</v>
      </c>
    </row>
    <row r="52" spans="1:5">
      <c r="A52" s="189">
        <v>44162</v>
      </c>
      <c r="B52" s="190">
        <v>308.03930700000001</v>
      </c>
      <c r="C52" s="83">
        <v>13080.299805000001</v>
      </c>
      <c r="D52" s="165">
        <f t="shared" si="0"/>
        <v>6.7338797584077792E-3</v>
      </c>
      <c r="E52" s="165">
        <f t="shared" si="0"/>
        <v>-5.6924948902592476E-4</v>
      </c>
    </row>
    <row r="53" spans="1:5">
      <c r="A53" s="189">
        <v>44166</v>
      </c>
      <c r="B53" s="190">
        <v>309.95263699999998</v>
      </c>
      <c r="C53" s="83">
        <v>13225.700194999999</v>
      </c>
      <c r="D53" s="165">
        <f t="shared" si="0"/>
        <v>6.211317700438812E-3</v>
      </c>
      <c r="E53" s="165">
        <f t="shared" si="0"/>
        <v>1.1115982979565953E-2</v>
      </c>
    </row>
    <row r="54" spans="1:5">
      <c r="A54" s="189">
        <v>44167</v>
      </c>
      <c r="B54" s="190">
        <v>325.11172499999998</v>
      </c>
      <c r="C54" s="83">
        <v>13244.349609000001</v>
      </c>
      <c r="D54" s="165">
        <f t="shared" si="0"/>
        <v>4.8907756187278384E-2</v>
      </c>
      <c r="E54" s="165">
        <f t="shared" si="0"/>
        <v>1.4100889726089694E-3</v>
      </c>
    </row>
    <row r="55" spans="1:5">
      <c r="A55" s="189">
        <v>44168</v>
      </c>
      <c r="B55" s="190">
        <v>321.13799999999998</v>
      </c>
      <c r="C55" s="83">
        <v>13280.5</v>
      </c>
      <c r="D55" s="165">
        <f t="shared" si="0"/>
        <v>-1.2222644384788039E-2</v>
      </c>
      <c r="E55" s="165">
        <f t="shared" si="0"/>
        <v>2.7294953748000506E-3</v>
      </c>
    </row>
    <row r="56" spans="1:5">
      <c r="A56" s="189">
        <v>44169</v>
      </c>
      <c r="B56" s="190">
        <v>319.66619900000001</v>
      </c>
      <c r="C56" s="83">
        <v>13396.5</v>
      </c>
      <c r="D56" s="165">
        <f t="shared" si="0"/>
        <v>-4.5830795483560172E-3</v>
      </c>
      <c r="E56" s="165">
        <f t="shared" si="0"/>
        <v>8.7346108956740665E-3</v>
      </c>
    </row>
    <row r="57" spans="1:5">
      <c r="A57" s="189">
        <v>44172</v>
      </c>
      <c r="B57" s="190">
        <v>320.30404700000003</v>
      </c>
      <c r="C57" s="83">
        <v>13497.849609000001</v>
      </c>
      <c r="D57" s="165">
        <f t="shared" si="0"/>
        <v>1.9953564123931233E-3</v>
      </c>
      <c r="E57" s="165">
        <f t="shared" si="0"/>
        <v>7.5653796887247271E-3</v>
      </c>
    </row>
    <row r="58" spans="1:5">
      <c r="A58" s="189">
        <v>44173</v>
      </c>
      <c r="B58" s="190">
        <v>317.605774</v>
      </c>
      <c r="C58" s="83">
        <v>13529.849609000001</v>
      </c>
      <c r="D58" s="165">
        <f t="shared" si="0"/>
        <v>-8.4240989936665844E-3</v>
      </c>
      <c r="E58" s="165">
        <f t="shared" si="0"/>
        <v>2.3707480026049499E-3</v>
      </c>
    </row>
    <row r="59" spans="1:5">
      <c r="A59" s="189">
        <v>44174</v>
      </c>
      <c r="B59" s="190">
        <v>316.57553100000001</v>
      </c>
      <c r="C59" s="83">
        <v>13649.599609000001</v>
      </c>
      <c r="D59" s="165">
        <f t="shared" si="0"/>
        <v>-3.2437791889765588E-3</v>
      </c>
      <c r="E59" s="165">
        <f t="shared" si="0"/>
        <v>8.8508005233363107E-3</v>
      </c>
    </row>
    <row r="60" spans="1:5">
      <c r="A60" s="189">
        <v>44175</v>
      </c>
      <c r="B60" s="190">
        <v>314.95660400000003</v>
      </c>
      <c r="C60" s="83">
        <v>13612.349609000001</v>
      </c>
      <c r="D60" s="165">
        <f t="shared" si="0"/>
        <v>-5.1138728090769359E-3</v>
      </c>
      <c r="E60" s="165">
        <f t="shared" si="0"/>
        <v>-2.7290177783265701E-3</v>
      </c>
    </row>
    <row r="61" spans="1:5">
      <c r="A61" s="189">
        <v>44176</v>
      </c>
      <c r="B61" s="190">
        <v>316.37930299999999</v>
      </c>
      <c r="C61" s="83">
        <v>13647.900390999999</v>
      </c>
      <c r="D61" s="165">
        <f t="shared" si="0"/>
        <v>4.5171270642732075E-3</v>
      </c>
      <c r="E61" s="165">
        <f t="shared" si="0"/>
        <v>2.6116565487337429E-3</v>
      </c>
    </row>
    <row r="62" spans="1:5">
      <c r="A62" s="189">
        <v>44179</v>
      </c>
      <c r="B62" s="190">
        <v>314.662262</v>
      </c>
      <c r="C62" s="83">
        <v>13693.200194999999</v>
      </c>
      <c r="D62" s="165">
        <f t="shared" si="0"/>
        <v>-5.4271596900256069E-3</v>
      </c>
      <c r="E62" s="165">
        <f t="shared" si="0"/>
        <v>3.3191775073235785E-3</v>
      </c>
    </row>
    <row r="63" spans="1:5">
      <c r="A63" s="189">
        <v>44180</v>
      </c>
      <c r="B63" s="190">
        <v>314.76037600000001</v>
      </c>
      <c r="C63" s="83">
        <v>13697.700194999999</v>
      </c>
      <c r="D63" s="165">
        <f t="shared" si="0"/>
        <v>3.1180733074376299E-4</v>
      </c>
      <c r="E63" s="165">
        <f t="shared" si="0"/>
        <v>3.2863026435880904E-4</v>
      </c>
    </row>
    <row r="64" spans="1:5">
      <c r="A64" s="189">
        <v>44181</v>
      </c>
      <c r="B64" s="190">
        <v>317.605774</v>
      </c>
      <c r="C64" s="83">
        <v>13808.049805000001</v>
      </c>
      <c r="D64" s="165">
        <f t="shared" si="0"/>
        <v>9.0398862657350421E-3</v>
      </c>
      <c r="E64" s="165">
        <f t="shared" si="0"/>
        <v>8.0560684223678347E-3</v>
      </c>
    </row>
    <row r="65" spans="1:5">
      <c r="A65" s="189">
        <v>44182</v>
      </c>
      <c r="B65" s="190">
        <v>319.12658699999997</v>
      </c>
      <c r="C65" s="83">
        <v>13852.549805000001</v>
      </c>
      <c r="D65" s="165">
        <f t="shared" si="0"/>
        <v>4.7883669772326165E-3</v>
      </c>
      <c r="E65" s="165">
        <f t="shared" si="0"/>
        <v>3.2227577846573041E-3</v>
      </c>
    </row>
    <row r="66" spans="1:5">
      <c r="A66" s="189">
        <v>44183</v>
      </c>
      <c r="B66" s="190">
        <v>335.021637</v>
      </c>
      <c r="C66" s="83">
        <v>13872.799805000001</v>
      </c>
      <c r="D66" s="165">
        <f t="shared" si="0"/>
        <v>4.9807977923193247E-2</v>
      </c>
      <c r="E66" s="165">
        <f t="shared" si="0"/>
        <v>1.4618247387705452E-3</v>
      </c>
    </row>
    <row r="67" spans="1:5">
      <c r="A67" s="189">
        <v>44186</v>
      </c>
      <c r="B67" s="190">
        <v>317.01711999999998</v>
      </c>
      <c r="C67" s="83">
        <v>13431.299805000001</v>
      </c>
      <c r="D67" s="165">
        <f t="shared" si="0"/>
        <v>-5.3741355815773884E-2</v>
      </c>
      <c r="E67" s="165">
        <f t="shared" si="0"/>
        <v>-3.1824866372026528E-2</v>
      </c>
    </row>
    <row r="68" spans="1:5">
      <c r="A68" s="189">
        <v>44187</v>
      </c>
      <c r="B68" s="190">
        <v>329.52706899999998</v>
      </c>
      <c r="C68" s="83">
        <v>13577.349609000001</v>
      </c>
      <c r="D68" s="165">
        <f t="shared" ref="D68:E131" si="1">B68/B67-1</f>
        <v>3.9461430347988768E-2</v>
      </c>
      <c r="E68" s="165">
        <f t="shared" si="1"/>
        <v>1.0873839920216177E-2</v>
      </c>
    </row>
    <row r="69" spans="1:5">
      <c r="A69" s="189">
        <v>44188</v>
      </c>
      <c r="B69" s="190">
        <v>352.14306599999998</v>
      </c>
      <c r="C69" s="83">
        <v>13725.549805000001</v>
      </c>
      <c r="D69" s="165">
        <f t="shared" si="1"/>
        <v>6.8631681969653302E-2</v>
      </c>
      <c r="E69" s="165">
        <f t="shared" si="1"/>
        <v>1.0915252259672492E-2</v>
      </c>
    </row>
    <row r="70" spans="1:5">
      <c r="A70" s="189">
        <v>44189</v>
      </c>
      <c r="B70" s="190">
        <v>340.51617399999998</v>
      </c>
      <c r="C70" s="83">
        <v>13862.099609000001</v>
      </c>
      <c r="D70" s="165">
        <f t="shared" si="1"/>
        <v>-3.3017523622061007E-2</v>
      </c>
      <c r="E70" s="165">
        <f t="shared" si="1"/>
        <v>9.9485853710761241E-3</v>
      </c>
    </row>
    <row r="71" spans="1:5">
      <c r="A71" s="189">
        <v>44193</v>
      </c>
      <c r="B71" s="190">
        <v>348.07122800000002</v>
      </c>
      <c r="C71" s="83">
        <v>13986.700194999999</v>
      </c>
      <c r="D71" s="165">
        <f t="shared" si="1"/>
        <v>2.2187063572492782E-2</v>
      </c>
      <c r="E71" s="165">
        <f t="shared" si="1"/>
        <v>8.9885796174125066E-3</v>
      </c>
    </row>
    <row r="72" spans="1:5">
      <c r="A72" s="189">
        <v>44194</v>
      </c>
      <c r="B72" s="190">
        <v>341.54638699999998</v>
      </c>
      <c r="C72" s="83">
        <v>14037.650390999999</v>
      </c>
      <c r="D72" s="165">
        <f t="shared" si="1"/>
        <v>-1.8745706266764528E-2</v>
      </c>
      <c r="E72" s="165">
        <f t="shared" si="1"/>
        <v>3.6427602858186692E-3</v>
      </c>
    </row>
    <row r="73" spans="1:5">
      <c r="A73" s="189">
        <v>44195</v>
      </c>
      <c r="B73" s="190">
        <v>338.16137700000002</v>
      </c>
      <c r="C73" s="83">
        <v>14088.450194999999</v>
      </c>
      <c r="D73" s="165">
        <f t="shared" si="1"/>
        <v>-9.9108353325956244E-3</v>
      </c>
      <c r="E73" s="165">
        <f t="shared" si="1"/>
        <v>3.6188252723952097E-3</v>
      </c>
    </row>
    <row r="74" spans="1:5">
      <c r="A74" s="189">
        <v>44196</v>
      </c>
      <c r="B74" s="190">
        <v>337.76889</v>
      </c>
      <c r="C74" s="83">
        <v>14090.75</v>
      </c>
      <c r="D74" s="165">
        <f t="shared" si="1"/>
        <v>-1.1606499934497805E-3</v>
      </c>
      <c r="E74" s="165">
        <f t="shared" si="1"/>
        <v>1.6324045357496431E-4</v>
      </c>
    </row>
    <row r="75" spans="1:5">
      <c r="A75" s="189">
        <v>44197</v>
      </c>
      <c r="B75" s="190">
        <v>331.979919</v>
      </c>
      <c r="C75" s="83">
        <v>14090.75</v>
      </c>
      <c r="D75" s="165">
        <f t="shared" si="1"/>
        <v>-1.7138851952884115E-2</v>
      </c>
      <c r="E75" s="165">
        <f t="shared" si="1"/>
        <v>0</v>
      </c>
    </row>
    <row r="76" spans="1:5">
      <c r="A76" s="189">
        <v>44200</v>
      </c>
      <c r="B76" s="190">
        <v>336.10086100000001</v>
      </c>
      <c r="C76" s="83">
        <v>14267.049805000001</v>
      </c>
      <c r="D76" s="165">
        <f t="shared" si="1"/>
        <v>1.2413226716884607E-2</v>
      </c>
      <c r="E76" s="165">
        <f t="shared" si="1"/>
        <v>1.2511740326100584E-2</v>
      </c>
    </row>
    <row r="77" spans="1:5">
      <c r="A77" s="189">
        <v>44201</v>
      </c>
      <c r="B77" s="190">
        <v>336.051849</v>
      </c>
      <c r="C77" s="83">
        <v>14355.900390999999</v>
      </c>
      <c r="D77" s="165">
        <f t="shared" si="1"/>
        <v>-1.4582527356277186E-4</v>
      </c>
      <c r="E77" s="165">
        <f t="shared" si="1"/>
        <v>6.2276775657472694E-3</v>
      </c>
    </row>
    <row r="78" spans="1:5">
      <c r="A78" s="189">
        <v>44202</v>
      </c>
      <c r="B78" s="190">
        <v>331.83279399999998</v>
      </c>
      <c r="C78" s="83">
        <v>14305.650390999999</v>
      </c>
      <c r="D78" s="165">
        <f t="shared" si="1"/>
        <v>-1.2554773950968601E-2</v>
      </c>
      <c r="E78" s="165">
        <f t="shared" si="1"/>
        <v>-3.5003029159705878E-3</v>
      </c>
    </row>
    <row r="79" spans="1:5">
      <c r="A79" s="189">
        <v>44203</v>
      </c>
      <c r="B79" s="190">
        <v>329.33078</v>
      </c>
      <c r="C79" s="83">
        <v>14305.5</v>
      </c>
      <c r="D79" s="165">
        <f t="shared" si="1"/>
        <v>-7.5399841282715041E-3</v>
      </c>
      <c r="E79" s="165">
        <f t="shared" si="1"/>
        <v>-1.0512699240461387E-5</v>
      </c>
    </row>
    <row r="80" spans="1:5">
      <c r="A80" s="189">
        <v>44204</v>
      </c>
      <c r="B80" s="190">
        <v>338.40664700000002</v>
      </c>
      <c r="C80" s="83">
        <v>14514.349609000001</v>
      </c>
      <c r="D80" s="165">
        <f t="shared" si="1"/>
        <v>2.7558514269452772E-2</v>
      </c>
      <c r="E80" s="165">
        <f t="shared" si="1"/>
        <v>1.4599252665058904E-2</v>
      </c>
    </row>
    <row r="81" spans="1:5">
      <c r="A81" s="189">
        <v>44207</v>
      </c>
      <c r="B81" s="190">
        <v>346.74664300000001</v>
      </c>
      <c r="C81" s="83">
        <v>14642.049805000001</v>
      </c>
      <c r="D81" s="165">
        <f t="shared" si="1"/>
        <v>2.4644894164859599E-2</v>
      </c>
      <c r="E81" s="165">
        <f t="shared" si="1"/>
        <v>8.7982031189890453E-3</v>
      </c>
    </row>
    <row r="82" spans="1:5">
      <c r="A82" s="189">
        <v>44208</v>
      </c>
      <c r="B82" s="190">
        <v>342.969086</v>
      </c>
      <c r="C82" s="83">
        <v>14705.5</v>
      </c>
      <c r="D82" s="165">
        <f t="shared" si="1"/>
        <v>-1.089428571627149E-2</v>
      </c>
      <c r="E82" s="165">
        <f t="shared" si="1"/>
        <v>4.3334229732185925E-3</v>
      </c>
    </row>
    <row r="83" spans="1:5">
      <c r="A83" s="189">
        <v>44209</v>
      </c>
      <c r="B83" s="190">
        <v>336.051849</v>
      </c>
      <c r="C83" s="83">
        <v>14694.950194999999</v>
      </c>
      <c r="D83" s="165">
        <f t="shared" si="1"/>
        <v>-2.0168689489407754E-2</v>
      </c>
      <c r="E83" s="165">
        <f t="shared" si="1"/>
        <v>-7.1740539254028235E-4</v>
      </c>
    </row>
    <row r="84" spans="1:5">
      <c r="A84" s="189">
        <v>44210</v>
      </c>
      <c r="B84" s="190">
        <v>347.43347199999999</v>
      </c>
      <c r="C84" s="83">
        <v>14731.150390999999</v>
      </c>
      <c r="D84" s="165">
        <f t="shared" si="1"/>
        <v>3.3868651619887391E-2</v>
      </c>
      <c r="E84" s="165">
        <f t="shared" si="1"/>
        <v>2.4634446200653137E-3</v>
      </c>
    </row>
    <row r="85" spans="1:5">
      <c r="A85" s="189">
        <v>44211</v>
      </c>
      <c r="B85" s="190">
        <v>370.39288299999998</v>
      </c>
      <c r="C85" s="83">
        <v>14558.799805000001</v>
      </c>
      <c r="D85" s="165">
        <f t="shared" si="1"/>
        <v>6.6082898886610453E-2</v>
      </c>
      <c r="E85" s="165">
        <f t="shared" si="1"/>
        <v>-1.1699737048730174E-2</v>
      </c>
    </row>
    <row r="86" spans="1:5">
      <c r="A86" s="189">
        <v>44214</v>
      </c>
      <c r="B86" s="190">
        <v>361.268036</v>
      </c>
      <c r="C86" s="83">
        <v>14390.049805000001</v>
      </c>
      <c r="D86" s="165">
        <f t="shared" si="1"/>
        <v>-2.4635589447867368E-2</v>
      </c>
      <c r="E86" s="165">
        <f t="shared" si="1"/>
        <v>-1.1590927978970211E-2</v>
      </c>
    </row>
    <row r="87" spans="1:5">
      <c r="A87" s="189">
        <v>44215</v>
      </c>
      <c r="B87" s="190">
        <v>369.50982699999997</v>
      </c>
      <c r="C87" s="83">
        <v>14632.200194999999</v>
      </c>
      <c r="D87" s="165">
        <f t="shared" si="1"/>
        <v>2.2813507364930485E-2</v>
      </c>
      <c r="E87" s="165">
        <f t="shared" si="1"/>
        <v>1.6827626956222197E-2</v>
      </c>
    </row>
    <row r="88" spans="1:5">
      <c r="A88" s="189">
        <v>44216</v>
      </c>
      <c r="B88" s="190">
        <v>370.54003899999998</v>
      </c>
      <c r="C88" s="83">
        <v>14751.299805000001</v>
      </c>
      <c r="D88" s="165">
        <f t="shared" si="1"/>
        <v>2.788050343245585E-3</v>
      </c>
      <c r="E88" s="165">
        <f t="shared" si="1"/>
        <v>8.1395558024621728E-3</v>
      </c>
    </row>
    <row r="89" spans="1:5">
      <c r="A89" s="189">
        <v>44217</v>
      </c>
      <c r="B89" s="190">
        <v>357.63763399999999</v>
      </c>
      <c r="C89" s="83">
        <v>14686.549805000001</v>
      </c>
      <c r="D89" s="165">
        <f t="shared" si="1"/>
        <v>-3.4820542025149392E-2</v>
      </c>
      <c r="E89" s="165">
        <f t="shared" si="1"/>
        <v>-4.389443700280049E-3</v>
      </c>
    </row>
    <row r="90" spans="1:5">
      <c r="A90" s="189">
        <v>44218</v>
      </c>
      <c r="B90" s="190">
        <v>364.94741800000003</v>
      </c>
      <c r="C90" s="83">
        <v>14479.599609000001</v>
      </c>
      <c r="D90" s="165">
        <f t="shared" si="1"/>
        <v>2.043907940627987E-2</v>
      </c>
      <c r="E90" s="165">
        <f t="shared" si="1"/>
        <v>-1.4091137724501102E-2</v>
      </c>
    </row>
    <row r="91" spans="1:5">
      <c r="A91" s="189">
        <v>44221</v>
      </c>
      <c r="B91" s="190">
        <v>352.977081</v>
      </c>
      <c r="C91" s="83">
        <v>14348.450194999999</v>
      </c>
      <c r="D91" s="165">
        <f t="shared" si="1"/>
        <v>-3.2800169036954374E-2</v>
      </c>
      <c r="E91" s="165">
        <f t="shared" si="1"/>
        <v>-9.0575304249769228E-3</v>
      </c>
    </row>
    <row r="92" spans="1:5">
      <c r="A92" s="189">
        <v>44223</v>
      </c>
      <c r="B92" s="190">
        <v>351.30911300000002</v>
      </c>
      <c r="C92" s="83">
        <v>14085.849609000001</v>
      </c>
      <c r="D92" s="165">
        <f t="shared" si="1"/>
        <v>-4.7254286178426419E-3</v>
      </c>
      <c r="E92" s="165">
        <f t="shared" si="1"/>
        <v>-1.8301668990808984E-2</v>
      </c>
    </row>
    <row r="93" spans="1:5">
      <c r="A93" s="189">
        <v>44224</v>
      </c>
      <c r="B93" s="190">
        <v>349.78823899999998</v>
      </c>
      <c r="C93" s="83">
        <v>13947.25</v>
      </c>
      <c r="D93" s="165">
        <f t="shared" si="1"/>
        <v>-4.3291618227963014E-3</v>
      </c>
      <c r="E93" s="165">
        <f t="shared" si="1"/>
        <v>-9.839634303027367E-3</v>
      </c>
    </row>
    <row r="94" spans="1:5">
      <c r="A94" s="189">
        <v>44225</v>
      </c>
      <c r="B94" s="190">
        <v>340.61428799999999</v>
      </c>
      <c r="C94" s="83">
        <v>13743.299805000001</v>
      </c>
      <c r="D94" s="165">
        <f t="shared" si="1"/>
        <v>-2.622715682559007E-2</v>
      </c>
      <c r="E94" s="165">
        <f t="shared" si="1"/>
        <v>-1.4622968327089536E-2</v>
      </c>
    </row>
    <row r="95" spans="1:5">
      <c r="A95" s="189">
        <v>44228</v>
      </c>
      <c r="B95" s="190">
        <v>338.799103</v>
      </c>
      <c r="C95" s="83">
        <v>14361.650390999999</v>
      </c>
      <c r="D95" s="165">
        <f t="shared" si="1"/>
        <v>-5.3291510777727646E-3</v>
      </c>
      <c r="E95" s="165">
        <f t="shared" si="1"/>
        <v>4.4992876148640448E-2</v>
      </c>
    </row>
    <row r="96" spans="1:5">
      <c r="A96" s="189">
        <v>44229</v>
      </c>
      <c r="B96" s="190">
        <v>342.28225700000002</v>
      </c>
      <c r="C96" s="83">
        <v>14720.549805000001</v>
      </c>
      <c r="D96" s="165">
        <f t="shared" si="1"/>
        <v>1.0280883181677192E-2</v>
      </c>
      <c r="E96" s="165">
        <f t="shared" si="1"/>
        <v>2.499012329564243E-2</v>
      </c>
    </row>
    <row r="97" spans="1:5">
      <c r="A97" s="189">
        <v>44230</v>
      </c>
      <c r="B97" s="190">
        <v>343.55783100000002</v>
      </c>
      <c r="C97" s="83">
        <v>14854</v>
      </c>
      <c r="D97" s="165">
        <f t="shared" si="1"/>
        <v>3.7266728669491656E-3</v>
      </c>
      <c r="E97" s="165">
        <f t="shared" si="1"/>
        <v>9.06557137931574E-3</v>
      </c>
    </row>
    <row r="98" spans="1:5">
      <c r="A98" s="189">
        <v>44231</v>
      </c>
      <c r="B98" s="190">
        <v>342.47851600000001</v>
      </c>
      <c r="C98" s="83">
        <v>14977.150390999999</v>
      </c>
      <c r="D98" s="165">
        <f t="shared" si="1"/>
        <v>-3.141581715248476E-3</v>
      </c>
      <c r="E98" s="165">
        <f t="shared" si="1"/>
        <v>8.2907224316681738E-3</v>
      </c>
    </row>
    <row r="99" spans="1:5">
      <c r="A99" s="189">
        <v>44232</v>
      </c>
      <c r="B99" s="190">
        <v>344.48996</v>
      </c>
      <c r="C99" s="83">
        <v>14988.950194999999</v>
      </c>
      <c r="D99" s="165">
        <f t="shared" si="1"/>
        <v>5.8731976051893398E-3</v>
      </c>
      <c r="E99" s="165">
        <f t="shared" si="1"/>
        <v>7.8785374333234515E-4</v>
      </c>
    </row>
    <row r="100" spans="1:5">
      <c r="A100" s="189">
        <v>44235</v>
      </c>
      <c r="B100" s="190">
        <v>342.13516199999998</v>
      </c>
      <c r="C100" s="83">
        <v>15177.950194999999</v>
      </c>
      <c r="D100" s="165">
        <f t="shared" si="1"/>
        <v>-6.8356070522346268E-3</v>
      </c>
      <c r="E100" s="165">
        <f t="shared" si="1"/>
        <v>1.2609288678739228E-2</v>
      </c>
    </row>
    <row r="101" spans="1:5">
      <c r="A101" s="189">
        <v>44236</v>
      </c>
      <c r="B101" s="190">
        <v>345.716431</v>
      </c>
      <c r="C101" s="83">
        <v>15171.25</v>
      </c>
      <c r="D101" s="165">
        <f t="shared" si="1"/>
        <v>1.0467409953029083E-2</v>
      </c>
      <c r="E101" s="165">
        <f t="shared" si="1"/>
        <v>-4.4144267927603842E-4</v>
      </c>
    </row>
    <row r="102" spans="1:5">
      <c r="A102" s="189">
        <v>44237</v>
      </c>
      <c r="B102" s="190">
        <v>349.19955399999998</v>
      </c>
      <c r="C102" s="83">
        <v>15176.400390999999</v>
      </c>
      <c r="D102" s="165">
        <f t="shared" si="1"/>
        <v>1.0075086653894116E-2</v>
      </c>
      <c r="E102" s="165">
        <f t="shared" si="1"/>
        <v>3.3948362857372238E-4</v>
      </c>
    </row>
    <row r="103" spans="1:5">
      <c r="A103" s="189">
        <v>44238</v>
      </c>
      <c r="B103" s="190">
        <v>364.06436200000002</v>
      </c>
      <c r="C103" s="83">
        <v>15249.650390999999</v>
      </c>
      <c r="D103" s="165">
        <f t="shared" si="1"/>
        <v>4.2568233062520111E-2</v>
      </c>
      <c r="E103" s="165">
        <f t="shared" si="1"/>
        <v>4.8265727124225943E-3</v>
      </c>
    </row>
    <row r="104" spans="1:5">
      <c r="A104" s="189">
        <v>44239</v>
      </c>
      <c r="B104" s="190">
        <v>392.46929899999998</v>
      </c>
      <c r="C104" s="83">
        <v>15245.75</v>
      </c>
      <c r="D104" s="165">
        <f t="shared" si="1"/>
        <v>7.8021745506636542E-2</v>
      </c>
      <c r="E104" s="165">
        <f t="shared" si="1"/>
        <v>-2.5576920781744672E-4</v>
      </c>
    </row>
    <row r="105" spans="1:5">
      <c r="A105" s="189">
        <v>44242</v>
      </c>
      <c r="B105" s="190">
        <v>393.59762599999999</v>
      </c>
      <c r="C105" s="83">
        <v>15399.200194999999</v>
      </c>
      <c r="D105" s="165">
        <f t="shared" si="1"/>
        <v>2.8749433468424623E-3</v>
      </c>
      <c r="E105" s="165">
        <f t="shared" si="1"/>
        <v>1.006511290031642E-2</v>
      </c>
    </row>
    <row r="106" spans="1:5">
      <c r="A106" s="189">
        <v>44243</v>
      </c>
      <c r="B106" s="190">
        <v>395.80529799999999</v>
      </c>
      <c r="C106" s="83">
        <v>15406</v>
      </c>
      <c r="D106" s="165">
        <f t="shared" si="1"/>
        <v>5.6089565946721986E-3</v>
      </c>
      <c r="E106" s="165">
        <f t="shared" si="1"/>
        <v>4.415687122638623E-4</v>
      </c>
    </row>
    <row r="107" spans="1:5">
      <c r="A107" s="189">
        <v>44244</v>
      </c>
      <c r="B107" s="190">
        <v>474.250092</v>
      </c>
      <c r="C107" s="83">
        <v>15318.5</v>
      </c>
      <c r="D107" s="165">
        <f t="shared" si="1"/>
        <v>0.19819035873542057</v>
      </c>
      <c r="E107" s="165">
        <f t="shared" si="1"/>
        <v>-5.6796053485654863E-3</v>
      </c>
    </row>
    <row r="108" spans="1:5">
      <c r="A108" s="189">
        <v>44245</v>
      </c>
      <c r="B108" s="190">
        <v>502.85122699999999</v>
      </c>
      <c r="C108" s="83">
        <v>15249.5</v>
      </c>
      <c r="D108" s="165">
        <f t="shared" si="1"/>
        <v>6.0308127467901373E-2</v>
      </c>
      <c r="E108" s="165">
        <f t="shared" si="1"/>
        <v>-4.5043574762542171E-3</v>
      </c>
    </row>
    <row r="109" spans="1:5">
      <c r="A109" s="189">
        <v>44246</v>
      </c>
      <c r="B109" s="190">
        <v>528.165527</v>
      </c>
      <c r="C109" s="83">
        <v>15102.650390999999</v>
      </c>
      <c r="D109" s="165">
        <f t="shared" si="1"/>
        <v>5.0341529742354618E-2</v>
      </c>
      <c r="E109" s="165">
        <f t="shared" si="1"/>
        <v>-9.6297982884685496E-3</v>
      </c>
    </row>
    <row r="110" spans="1:5">
      <c r="A110" s="189">
        <v>44249</v>
      </c>
      <c r="B110" s="190">
        <v>547.34747300000004</v>
      </c>
      <c r="C110" s="83">
        <v>14802.450194999999</v>
      </c>
      <c r="D110" s="165">
        <f t="shared" si="1"/>
        <v>3.6318057539563853E-2</v>
      </c>
      <c r="E110" s="165">
        <f t="shared" si="1"/>
        <v>-1.9877318763790952E-2</v>
      </c>
    </row>
    <row r="111" spans="1:5">
      <c r="A111" s="189">
        <v>44250</v>
      </c>
      <c r="B111" s="190">
        <v>529.98083499999996</v>
      </c>
      <c r="C111" s="83">
        <v>14844.25</v>
      </c>
      <c r="D111" s="165">
        <f t="shared" si="1"/>
        <v>-3.1728726004367713E-2</v>
      </c>
      <c r="E111" s="165">
        <f t="shared" si="1"/>
        <v>2.8238436508383202E-3</v>
      </c>
    </row>
    <row r="112" spans="1:5">
      <c r="A112" s="189">
        <v>44251</v>
      </c>
      <c r="B112" s="190">
        <v>496.86608899999999</v>
      </c>
      <c r="C112" s="83">
        <v>15094.849609000001</v>
      </c>
      <c r="D112" s="165">
        <f t="shared" si="1"/>
        <v>-6.2482912235873544E-2</v>
      </c>
      <c r="E112" s="165">
        <f t="shared" si="1"/>
        <v>1.688193132020821E-2</v>
      </c>
    </row>
    <row r="113" spans="1:5">
      <c r="A113" s="189">
        <v>44252</v>
      </c>
      <c r="B113" s="190">
        <v>512.074341</v>
      </c>
      <c r="C113" s="83">
        <v>15209</v>
      </c>
      <c r="D113" s="165">
        <f t="shared" si="1"/>
        <v>3.0608351700170067E-2</v>
      </c>
      <c r="E113" s="165">
        <f t="shared" si="1"/>
        <v>7.5622079024848521E-3</v>
      </c>
    </row>
    <row r="114" spans="1:5">
      <c r="A114" s="189">
        <v>44253</v>
      </c>
      <c r="B114" s="190">
        <v>521.93511999999998</v>
      </c>
      <c r="C114" s="83">
        <v>14667.599609000001</v>
      </c>
      <c r="D114" s="165">
        <f t="shared" si="1"/>
        <v>1.9256537987713651E-2</v>
      </c>
      <c r="E114" s="165">
        <f t="shared" si="1"/>
        <v>-3.559736938654734E-2</v>
      </c>
    </row>
    <row r="115" spans="1:5">
      <c r="A115" s="189">
        <v>44256</v>
      </c>
      <c r="B115" s="190">
        <v>517.32354699999996</v>
      </c>
      <c r="C115" s="83">
        <v>14889.650390999999</v>
      </c>
      <c r="D115" s="165">
        <f t="shared" si="1"/>
        <v>-8.8355292129029817E-3</v>
      </c>
      <c r="E115" s="165">
        <f t="shared" si="1"/>
        <v>1.5138863066847641E-2</v>
      </c>
    </row>
    <row r="116" spans="1:5">
      <c r="A116" s="189">
        <v>44257</v>
      </c>
      <c r="B116" s="190">
        <v>520.26715100000001</v>
      </c>
      <c r="C116" s="83">
        <v>15061.599609000001</v>
      </c>
      <c r="D116" s="165">
        <f t="shared" si="1"/>
        <v>5.6900638238299717E-3</v>
      </c>
      <c r="E116" s="165">
        <f t="shared" si="1"/>
        <v>1.1548237432353448E-2</v>
      </c>
    </row>
    <row r="117" spans="1:5">
      <c r="A117" s="189">
        <v>44258</v>
      </c>
      <c r="B117" s="190">
        <v>545.87573199999997</v>
      </c>
      <c r="C117" s="83">
        <v>15379.5</v>
      </c>
      <c r="D117" s="165">
        <f t="shared" si="1"/>
        <v>4.9221983265285818E-2</v>
      </c>
      <c r="E117" s="165">
        <f t="shared" si="1"/>
        <v>2.1106681843410469E-2</v>
      </c>
    </row>
    <row r="118" spans="1:5">
      <c r="A118" s="189">
        <v>44259</v>
      </c>
      <c r="B118" s="190">
        <v>544.84539800000005</v>
      </c>
      <c r="C118" s="83">
        <v>15238.75</v>
      </c>
      <c r="D118" s="165">
        <f t="shared" si="1"/>
        <v>-1.8874881948405253E-3</v>
      </c>
      <c r="E118" s="165">
        <f t="shared" si="1"/>
        <v>-9.1517929711628643E-3</v>
      </c>
    </row>
    <row r="119" spans="1:5">
      <c r="A119" s="189">
        <v>44260</v>
      </c>
      <c r="B119" s="190">
        <v>525.46734600000002</v>
      </c>
      <c r="C119" s="83">
        <v>15084.349609000001</v>
      </c>
      <c r="D119" s="165">
        <f t="shared" si="1"/>
        <v>-3.5566147885496169E-2</v>
      </c>
      <c r="E119" s="165">
        <f t="shared" si="1"/>
        <v>-1.0132090296120055E-2</v>
      </c>
    </row>
    <row r="120" spans="1:5">
      <c r="A120" s="189">
        <v>44263</v>
      </c>
      <c r="B120" s="190">
        <v>531.30529799999999</v>
      </c>
      <c r="C120" s="83">
        <v>15096.849609000001</v>
      </c>
      <c r="D120" s="165">
        <f t="shared" si="1"/>
        <v>1.1110018623307516E-2</v>
      </c>
      <c r="E120" s="165">
        <f t="shared" si="1"/>
        <v>8.2867344791193176E-4</v>
      </c>
    </row>
    <row r="121" spans="1:5">
      <c r="A121" s="189">
        <v>44264</v>
      </c>
      <c r="B121" s="190">
        <v>519.43310499999995</v>
      </c>
      <c r="C121" s="83">
        <v>15206</v>
      </c>
      <c r="D121" s="165">
        <f t="shared" si="1"/>
        <v>-2.2345331478324626E-2</v>
      </c>
      <c r="E121" s="165">
        <f t="shared" si="1"/>
        <v>7.2300111498049269E-3</v>
      </c>
    </row>
    <row r="122" spans="1:5">
      <c r="A122" s="189">
        <v>44265</v>
      </c>
      <c r="B122" s="190">
        <v>531.79589799999997</v>
      </c>
      <c r="C122" s="83">
        <v>15284.849609000001</v>
      </c>
      <c r="D122" s="165">
        <f t="shared" si="1"/>
        <v>2.3800548869521876E-2</v>
      </c>
      <c r="E122" s="165">
        <f t="shared" si="1"/>
        <v>5.1854273970801668E-3</v>
      </c>
    </row>
    <row r="123" spans="1:5">
      <c r="A123" s="189">
        <v>44267</v>
      </c>
      <c r="B123" s="190">
        <v>529.09771699999999</v>
      </c>
      <c r="C123" s="83">
        <v>15140.150390999999</v>
      </c>
      <c r="D123" s="165">
        <f t="shared" si="1"/>
        <v>-5.073715329786177E-3</v>
      </c>
      <c r="E123" s="165">
        <f t="shared" si="1"/>
        <v>-9.4668394980347292E-3</v>
      </c>
    </row>
    <row r="124" spans="1:5">
      <c r="A124" s="189">
        <v>44270</v>
      </c>
      <c r="B124" s="190">
        <v>523.25964399999998</v>
      </c>
      <c r="C124" s="83">
        <v>15040.849609000001</v>
      </c>
      <c r="D124" s="165">
        <f t="shared" si="1"/>
        <v>-1.1034016614363873E-2</v>
      </c>
      <c r="E124" s="165">
        <f t="shared" si="1"/>
        <v>-6.5587711770040968E-3</v>
      </c>
    </row>
    <row r="125" spans="1:5">
      <c r="A125" s="189">
        <v>44271</v>
      </c>
      <c r="B125" s="190">
        <v>551.909851</v>
      </c>
      <c r="C125" s="83">
        <v>15033.299805000001</v>
      </c>
      <c r="D125" s="165">
        <f t="shared" si="1"/>
        <v>5.4753328158439141E-2</v>
      </c>
      <c r="E125" s="165">
        <f t="shared" si="1"/>
        <v>-5.0195329361468755E-4</v>
      </c>
    </row>
    <row r="126" spans="1:5">
      <c r="A126" s="189">
        <v>44272</v>
      </c>
      <c r="B126" s="190">
        <v>537.09423800000002</v>
      </c>
      <c r="C126" s="83">
        <v>14828.849609000001</v>
      </c>
      <c r="D126" s="165">
        <f t="shared" si="1"/>
        <v>-2.6844262651148032E-2</v>
      </c>
      <c r="E126" s="165">
        <f t="shared" si="1"/>
        <v>-1.3599821639424858E-2</v>
      </c>
    </row>
    <row r="127" spans="1:5">
      <c r="A127" s="189">
        <v>44273</v>
      </c>
      <c r="B127" s="190">
        <v>516.53857400000004</v>
      </c>
      <c r="C127" s="83">
        <v>14662.5</v>
      </c>
      <c r="D127" s="165">
        <f t="shared" si="1"/>
        <v>-3.8271987568781141E-2</v>
      </c>
      <c r="E127" s="165">
        <f t="shared" si="1"/>
        <v>-1.1217971278030814E-2</v>
      </c>
    </row>
    <row r="128" spans="1:5">
      <c r="A128" s="189">
        <v>44274</v>
      </c>
      <c r="B128" s="190">
        <v>523.11254899999994</v>
      </c>
      <c r="C128" s="83">
        <v>14847.25</v>
      </c>
      <c r="D128" s="165">
        <f t="shared" si="1"/>
        <v>1.2726977869420342E-2</v>
      </c>
      <c r="E128" s="165">
        <f t="shared" si="1"/>
        <v>1.2600170502983898E-2</v>
      </c>
    </row>
    <row r="129" spans="1:5">
      <c r="A129" s="189">
        <v>44277</v>
      </c>
      <c r="B129" s="190">
        <v>529.63732900000002</v>
      </c>
      <c r="C129" s="83">
        <v>14859.700194999999</v>
      </c>
      <c r="D129" s="165">
        <f t="shared" si="1"/>
        <v>1.247299460216178E-2</v>
      </c>
      <c r="E129" s="165">
        <f t="shared" si="1"/>
        <v>8.3855225715190329E-4</v>
      </c>
    </row>
    <row r="130" spans="1:5">
      <c r="A130" s="189">
        <v>44278</v>
      </c>
      <c r="B130" s="190">
        <v>535.86779799999999</v>
      </c>
      <c r="C130" s="83">
        <v>14952.099609000001</v>
      </c>
      <c r="D130" s="165">
        <f t="shared" si="1"/>
        <v>1.1763651576001344E-2</v>
      </c>
      <c r="E130" s="165">
        <f t="shared" si="1"/>
        <v>6.2181210110210383E-3</v>
      </c>
    </row>
    <row r="131" spans="1:5">
      <c r="A131" s="189">
        <v>44279</v>
      </c>
      <c r="B131" s="190">
        <v>530.22601299999997</v>
      </c>
      <c r="C131" s="83">
        <v>14690.049805000001</v>
      </c>
      <c r="D131" s="165">
        <f t="shared" si="1"/>
        <v>-1.0528315045346348E-2</v>
      </c>
      <c r="E131" s="165">
        <f t="shared" si="1"/>
        <v>-1.7525953602012256E-2</v>
      </c>
    </row>
    <row r="132" spans="1:5">
      <c r="A132" s="189">
        <v>44280</v>
      </c>
      <c r="B132" s="190">
        <v>508.00244099999998</v>
      </c>
      <c r="C132" s="83">
        <v>14450.549805000001</v>
      </c>
      <c r="D132" s="165">
        <f t="shared" ref="D132:E195" si="2">B132/B131-1</f>
        <v>-4.1913394392439907E-2</v>
      </c>
      <c r="E132" s="165">
        <f t="shared" si="2"/>
        <v>-1.6303552620936856E-2</v>
      </c>
    </row>
    <row r="133" spans="1:5">
      <c r="A133" s="189">
        <v>44281</v>
      </c>
      <c r="B133" s="190">
        <v>512.76104699999996</v>
      </c>
      <c r="C133" s="83">
        <v>14633.5</v>
      </c>
      <c r="D133" s="165">
        <f t="shared" si="2"/>
        <v>9.3672896347360979E-3</v>
      </c>
      <c r="E133" s="165">
        <f t="shared" si="2"/>
        <v>1.266043143470541E-2</v>
      </c>
    </row>
    <row r="134" spans="1:5">
      <c r="A134" s="189">
        <v>44285</v>
      </c>
      <c r="B134" s="190">
        <v>526.49755900000002</v>
      </c>
      <c r="C134" s="83">
        <v>14936.049805000001</v>
      </c>
      <c r="D134" s="165">
        <f t="shared" si="2"/>
        <v>2.6789304843587436E-2</v>
      </c>
      <c r="E134" s="165">
        <f t="shared" si="2"/>
        <v>2.0675149827450667E-2</v>
      </c>
    </row>
    <row r="135" spans="1:5">
      <c r="A135" s="189">
        <v>44286</v>
      </c>
      <c r="B135" s="190">
        <v>529.88250700000003</v>
      </c>
      <c r="C135" s="83">
        <v>14807.450194999999</v>
      </c>
      <c r="D135" s="165">
        <f t="shared" si="2"/>
        <v>6.4291808046159638E-3</v>
      </c>
      <c r="E135" s="165">
        <f t="shared" si="2"/>
        <v>-8.6100148083967376E-3</v>
      </c>
    </row>
    <row r="136" spans="1:5">
      <c r="A136" s="189">
        <v>44287</v>
      </c>
      <c r="B136" s="190">
        <v>583.35650599999997</v>
      </c>
      <c r="C136" s="83">
        <v>14993.049805000001</v>
      </c>
      <c r="D136" s="165">
        <f t="shared" si="2"/>
        <v>0.10091670944706221</v>
      </c>
      <c r="E136" s="165">
        <f t="shared" si="2"/>
        <v>1.2534204576468699E-2</v>
      </c>
    </row>
    <row r="137" spans="1:5">
      <c r="A137" s="189">
        <v>44291</v>
      </c>
      <c r="B137" s="190">
        <v>607.14996299999996</v>
      </c>
      <c r="C137" s="83">
        <v>14775.700194999999</v>
      </c>
      <c r="D137" s="165">
        <f t="shared" si="2"/>
        <v>4.0787163175994401E-2</v>
      </c>
      <c r="E137" s="165">
        <f t="shared" si="2"/>
        <v>-1.4496690988615168E-2</v>
      </c>
    </row>
    <row r="138" spans="1:5">
      <c r="A138" s="189">
        <v>44292</v>
      </c>
      <c r="B138" s="190">
        <v>655.66906700000004</v>
      </c>
      <c r="C138" s="83">
        <v>14836.25</v>
      </c>
      <c r="D138" s="165">
        <f t="shared" si="2"/>
        <v>7.9912883071360907E-2</v>
      </c>
      <c r="E138" s="165">
        <f t="shared" si="2"/>
        <v>4.0979313467994771E-3</v>
      </c>
    </row>
    <row r="139" spans="1:5">
      <c r="A139" s="189">
        <v>44293</v>
      </c>
      <c r="B139" s="190">
        <v>659.54467799999998</v>
      </c>
      <c r="C139" s="83">
        <v>14973.950194999999</v>
      </c>
      <c r="D139" s="165">
        <f t="shared" si="2"/>
        <v>5.9109254882692142E-3</v>
      </c>
      <c r="E139" s="165">
        <f t="shared" si="2"/>
        <v>9.2813342320330339E-3</v>
      </c>
    </row>
    <row r="140" spans="1:5">
      <c r="A140" s="189">
        <v>44294</v>
      </c>
      <c r="B140" s="190">
        <v>652.038635</v>
      </c>
      <c r="C140" s="83">
        <v>15036.150390999999</v>
      </c>
      <c r="D140" s="165">
        <f t="shared" si="2"/>
        <v>-1.1380643723426398E-2</v>
      </c>
      <c r="E140" s="165">
        <f t="shared" si="2"/>
        <v>4.1538936078984179E-3</v>
      </c>
    </row>
    <row r="141" spans="1:5">
      <c r="A141" s="189">
        <v>44295</v>
      </c>
      <c r="B141" s="190">
        <v>635.26062000000002</v>
      </c>
      <c r="C141" s="83">
        <v>15004.150390999999</v>
      </c>
      <c r="D141" s="165">
        <f t="shared" si="2"/>
        <v>-2.5731627083723341E-2</v>
      </c>
      <c r="E141" s="165">
        <f t="shared" si="2"/>
        <v>-2.1282043054818844E-3</v>
      </c>
    </row>
    <row r="142" spans="1:5">
      <c r="A142" s="189">
        <v>44298</v>
      </c>
      <c r="B142" s="190">
        <v>609.94641100000001</v>
      </c>
      <c r="C142" s="83">
        <v>14450.049805000001</v>
      </c>
      <c r="D142" s="165">
        <f t="shared" si="2"/>
        <v>-3.9848541217618716E-2</v>
      </c>
      <c r="E142" s="165">
        <f t="shared" si="2"/>
        <v>-3.6929820853593087E-2</v>
      </c>
    </row>
    <row r="143" spans="1:5">
      <c r="A143" s="189">
        <v>44299</v>
      </c>
      <c r="B143" s="190">
        <v>626.43005400000004</v>
      </c>
      <c r="C143" s="83">
        <v>14639.400390999999</v>
      </c>
      <c r="D143" s="165">
        <f t="shared" si="2"/>
        <v>2.7024739719306412E-2</v>
      </c>
      <c r="E143" s="165">
        <f t="shared" si="2"/>
        <v>1.3103801616966004E-2</v>
      </c>
    </row>
    <row r="144" spans="1:5">
      <c r="A144" s="189">
        <v>44301</v>
      </c>
      <c r="B144" s="190">
        <v>618.13909899999999</v>
      </c>
      <c r="C144" s="83">
        <v>14719.25</v>
      </c>
      <c r="D144" s="165">
        <f t="shared" si="2"/>
        <v>-1.3235244616791708E-2</v>
      </c>
      <c r="E144" s="165">
        <f t="shared" si="2"/>
        <v>5.4544316616336186E-3</v>
      </c>
    </row>
    <row r="145" spans="1:5">
      <c r="A145" s="189">
        <v>44302</v>
      </c>
      <c r="B145" s="190">
        <v>632.02276600000005</v>
      </c>
      <c r="C145" s="83">
        <v>14773.200194999999</v>
      </c>
      <c r="D145" s="165">
        <f t="shared" si="2"/>
        <v>2.2460425206010326E-2</v>
      </c>
      <c r="E145" s="165">
        <f t="shared" si="2"/>
        <v>3.6652815190991728E-3</v>
      </c>
    </row>
    <row r="146" spans="1:5">
      <c r="A146" s="189">
        <v>44305</v>
      </c>
      <c r="B146" s="190">
        <v>622.55438200000003</v>
      </c>
      <c r="C146" s="83">
        <v>14512.849609000001</v>
      </c>
      <c r="D146" s="165">
        <f t="shared" si="2"/>
        <v>-1.4981080602403551E-2</v>
      </c>
      <c r="E146" s="165">
        <f t="shared" si="2"/>
        <v>-1.7623167801389061E-2</v>
      </c>
    </row>
    <row r="147" spans="1:5">
      <c r="A147" s="189">
        <v>44306</v>
      </c>
      <c r="B147" s="190">
        <v>630.15844700000002</v>
      </c>
      <c r="C147" s="83">
        <v>14466.799805000001</v>
      </c>
      <c r="D147" s="165">
        <f t="shared" si="2"/>
        <v>1.2214298412889457E-2</v>
      </c>
      <c r="E147" s="165">
        <f t="shared" si="2"/>
        <v>-3.1730366703064394E-3</v>
      </c>
    </row>
    <row r="148" spans="1:5">
      <c r="A148" s="189">
        <v>44308</v>
      </c>
      <c r="B148" s="190">
        <v>636.24188200000003</v>
      </c>
      <c r="C148" s="83">
        <v>14564.25</v>
      </c>
      <c r="D148" s="165">
        <f t="shared" si="2"/>
        <v>9.6538180658554129E-3</v>
      </c>
      <c r="E148" s="165">
        <f t="shared" si="2"/>
        <v>6.7361266011518595E-3</v>
      </c>
    </row>
    <row r="149" spans="1:5">
      <c r="A149" s="189">
        <v>44309</v>
      </c>
      <c r="B149" s="190">
        <v>634.03424099999995</v>
      </c>
      <c r="C149" s="83">
        <v>14510.950194999999</v>
      </c>
      <c r="D149" s="165">
        <f t="shared" si="2"/>
        <v>-3.4698140164247659E-3</v>
      </c>
      <c r="E149" s="165">
        <f t="shared" si="2"/>
        <v>-3.6596326621693986E-3</v>
      </c>
    </row>
    <row r="150" spans="1:5">
      <c r="A150" s="189">
        <v>44312</v>
      </c>
      <c r="B150" s="190">
        <v>632.02276600000005</v>
      </c>
      <c r="C150" s="83">
        <v>14645.900390999999</v>
      </c>
      <c r="D150" s="165">
        <f t="shared" si="2"/>
        <v>-3.1725021614407156E-3</v>
      </c>
      <c r="E150" s="165">
        <f t="shared" si="2"/>
        <v>9.2998869258402728E-3</v>
      </c>
    </row>
    <row r="151" spans="1:5">
      <c r="A151" s="189">
        <v>44313</v>
      </c>
      <c r="B151" s="190">
        <v>635.99645999999996</v>
      </c>
      <c r="C151" s="83">
        <v>14807.75</v>
      </c>
      <c r="D151" s="165">
        <f t="shared" si="2"/>
        <v>6.287264025549133E-3</v>
      </c>
      <c r="E151" s="165">
        <f t="shared" si="2"/>
        <v>1.1050847314205248E-2</v>
      </c>
    </row>
    <row r="152" spans="1:5">
      <c r="A152" s="189">
        <v>44314</v>
      </c>
      <c r="B152" s="190">
        <v>649.97820999999999</v>
      </c>
      <c r="C152" s="83">
        <v>15004.650390999999</v>
      </c>
      <c r="D152" s="165">
        <f t="shared" si="2"/>
        <v>2.1984006011605883E-2</v>
      </c>
      <c r="E152" s="165">
        <f t="shared" si="2"/>
        <v>1.329711745538642E-2</v>
      </c>
    </row>
    <row r="153" spans="1:5">
      <c r="A153" s="189">
        <v>44315</v>
      </c>
      <c r="B153" s="190">
        <v>690.69695999999999</v>
      </c>
      <c r="C153" s="83">
        <v>15029.950194999999</v>
      </c>
      <c r="D153" s="165">
        <f t="shared" si="2"/>
        <v>6.2646330866999334E-2</v>
      </c>
      <c r="E153" s="165">
        <f t="shared" si="2"/>
        <v>1.6861308554829701E-3</v>
      </c>
    </row>
    <row r="154" spans="1:5">
      <c r="A154" s="189">
        <v>44316</v>
      </c>
      <c r="B154" s="190">
        <v>710.81103499999995</v>
      </c>
      <c r="C154" s="83">
        <v>14790.599609000001</v>
      </c>
      <c r="D154" s="165">
        <f t="shared" si="2"/>
        <v>2.9121418168685631E-2</v>
      </c>
      <c r="E154" s="165">
        <f t="shared" si="2"/>
        <v>-1.5924908791755232E-2</v>
      </c>
    </row>
    <row r="155" spans="1:5">
      <c r="A155" s="189">
        <v>44319</v>
      </c>
      <c r="B155" s="190">
        <v>736.86108400000001</v>
      </c>
      <c r="C155" s="83">
        <v>14811.200194999999</v>
      </c>
      <c r="D155" s="165">
        <f t="shared" si="2"/>
        <v>3.6648346349884786E-2</v>
      </c>
      <c r="E155" s="165">
        <f t="shared" si="2"/>
        <v>1.3928161497565039E-3</v>
      </c>
    </row>
    <row r="156" spans="1:5">
      <c r="A156" s="189">
        <v>44320</v>
      </c>
      <c r="B156" s="190">
        <v>736.02710000000002</v>
      </c>
      <c r="C156" s="83">
        <v>14683.700194999999</v>
      </c>
      <c r="D156" s="165">
        <f t="shared" si="2"/>
        <v>-1.1318062767988746E-3</v>
      </c>
      <c r="E156" s="165">
        <f t="shared" si="2"/>
        <v>-8.6083503241717318E-3</v>
      </c>
    </row>
    <row r="157" spans="1:5">
      <c r="A157" s="189">
        <v>44321</v>
      </c>
      <c r="B157" s="190">
        <v>732.59301800000003</v>
      </c>
      <c r="C157" s="83">
        <v>14823.200194999999</v>
      </c>
      <c r="D157" s="165">
        <f t="shared" si="2"/>
        <v>-4.6657004884738118E-3</v>
      </c>
      <c r="E157" s="165">
        <f t="shared" si="2"/>
        <v>9.5003301720570921E-3</v>
      </c>
    </row>
    <row r="158" spans="1:5">
      <c r="A158" s="189">
        <v>44322</v>
      </c>
      <c r="B158" s="190">
        <v>794.99560499999995</v>
      </c>
      <c r="C158" s="83">
        <v>14928.599609000001</v>
      </c>
      <c r="D158" s="165">
        <f t="shared" si="2"/>
        <v>8.5180428241536932E-2</v>
      </c>
      <c r="E158" s="165">
        <f t="shared" si="2"/>
        <v>7.1104358447209304E-3</v>
      </c>
    </row>
    <row r="159" spans="1:5">
      <c r="A159" s="189">
        <v>44323</v>
      </c>
      <c r="B159" s="190">
        <v>817.85687299999995</v>
      </c>
      <c r="C159" s="83">
        <v>15021.650390999999</v>
      </c>
      <c r="D159" s="165">
        <f t="shared" si="2"/>
        <v>2.8756470924137911E-2</v>
      </c>
      <c r="E159" s="165">
        <f t="shared" si="2"/>
        <v>6.2330549708025096E-3</v>
      </c>
    </row>
    <row r="160" spans="1:5">
      <c r="A160" s="189">
        <v>44326</v>
      </c>
      <c r="B160" s="190">
        <v>844.00518799999998</v>
      </c>
      <c r="C160" s="83">
        <v>15146.650390999999</v>
      </c>
      <c r="D160" s="165">
        <f t="shared" si="2"/>
        <v>3.1971749413910011E-2</v>
      </c>
      <c r="E160" s="165">
        <f t="shared" si="2"/>
        <v>8.3213226740312951E-3</v>
      </c>
    </row>
    <row r="161" spans="1:5">
      <c r="A161" s="189">
        <v>44327</v>
      </c>
      <c r="B161" s="190">
        <v>826.09881600000006</v>
      </c>
      <c r="C161" s="83">
        <v>15071.400390999999</v>
      </c>
      <c r="D161" s="165">
        <f t="shared" si="2"/>
        <v>-2.1215950155983987E-2</v>
      </c>
      <c r="E161" s="165">
        <f t="shared" si="2"/>
        <v>-4.9680951271386942E-3</v>
      </c>
    </row>
    <row r="162" spans="1:5">
      <c r="A162" s="189">
        <v>44328</v>
      </c>
      <c r="B162" s="190">
        <v>779.14965800000004</v>
      </c>
      <c r="C162" s="83">
        <v>14940</v>
      </c>
      <c r="D162" s="165">
        <f t="shared" si="2"/>
        <v>-5.6832375365612475E-2</v>
      </c>
      <c r="E162" s="165">
        <f t="shared" si="2"/>
        <v>-8.7185256572750447E-3</v>
      </c>
    </row>
    <row r="163" spans="1:5">
      <c r="A163" s="189">
        <v>44330</v>
      </c>
      <c r="B163" s="190">
        <v>714.78472899999997</v>
      </c>
      <c r="C163" s="83">
        <v>14893.200194999999</v>
      </c>
      <c r="D163" s="165">
        <f t="shared" si="2"/>
        <v>-8.2609198809402651E-2</v>
      </c>
      <c r="E163" s="165">
        <f t="shared" si="2"/>
        <v>-3.1325170682731107E-3</v>
      </c>
    </row>
    <row r="164" spans="1:5">
      <c r="A164" s="189">
        <v>44333</v>
      </c>
      <c r="B164" s="190">
        <v>731.17028800000003</v>
      </c>
      <c r="C164" s="83">
        <v>15134.150390999999</v>
      </c>
      <c r="D164" s="165">
        <f t="shared" si="2"/>
        <v>2.2923767583736376E-2</v>
      </c>
      <c r="E164" s="165">
        <f t="shared" si="2"/>
        <v>1.6178537375794555E-2</v>
      </c>
    </row>
    <row r="165" spans="1:5">
      <c r="A165" s="189">
        <v>44334</v>
      </c>
      <c r="B165" s="190">
        <v>733.96655299999998</v>
      </c>
      <c r="C165" s="83">
        <v>15325</v>
      </c>
      <c r="D165" s="165">
        <f t="shared" si="2"/>
        <v>3.8243690230475025E-3</v>
      </c>
      <c r="E165" s="165">
        <f t="shared" si="2"/>
        <v>1.2610526793330523E-2</v>
      </c>
    </row>
    <row r="166" spans="1:5">
      <c r="A166" s="189">
        <v>44335</v>
      </c>
      <c r="B166" s="190">
        <v>745.05389400000001</v>
      </c>
      <c r="C166" s="83">
        <v>15272.549805000001</v>
      </c>
      <c r="D166" s="165">
        <f t="shared" si="2"/>
        <v>1.5106057564451492E-2</v>
      </c>
      <c r="E166" s="165">
        <f t="shared" si="2"/>
        <v>-3.4225249592169105E-3</v>
      </c>
    </row>
    <row r="167" spans="1:5">
      <c r="A167" s="189">
        <v>44336</v>
      </c>
      <c r="B167" s="190">
        <v>735.04595900000004</v>
      </c>
      <c r="C167" s="83">
        <v>15164.450194999999</v>
      </c>
      <c r="D167" s="165">
        <f t="shared" si="2"/>
        <v>-1.3432498079125499E-2</v>
      </c>
      <c r="E167" s="165">
        <f t="shared" si="2"/>
        <v>-7.0780329008722775E-3</v>
      </c>
    </row>
    <row r="168" spans="1:5">
      <c r="A168" s="189">
        <v>44337</v>
      </c>
      <c r="B168" s="190">
        <v>747.16345200000001</v>
      </c>
      <c r="C168" s="83">
        <v>15408.549805000001</v>
      </c>
      <c r="D168" s="165">
        <f t="shared" si="2"/>
        <v>1.6485354217150361E-2</v>
      </c>
      <c r="E168" s="165">
        <f t="shared" si="2"/>
        <v>1.6096832187195709E-2</v>
      </c>
    </row>
    <row r="169" spans="1:5">
      <c r="A169" s="189">
        <v>44340</v>
      </c>
      <c r="B169" s="190">
        <v>735.29125999999997</v>
      </c>
      <c r="C169" s="83">
        <v>15445.200194999999</v>
      </c>
      <c r="D169" s="165">
        <f t="shared" si="2"/>
        <v>-1.5889685139470755E-2</v>
      </c>
      <c r="E169" s="165">
        <f t="shared" si="2"/>
        <v>2.3785749122287037E-3</v>
      </c>
    </row>
    <row r="170" spans="1:5">
      <c r="A170" s="189">
        <v>44341</v>
      </c>
      <c r="B170" s="190">
        <v>754.52227800000003</v>
      </c>
      <c r="C170" s="83">
        <v>15445.599609000001</v>
      </c>
      <c r="D170" s="165">
        <f t="shared" si="2"/>
        <v>2.6154286126017778E-2</v>
      </c>
      <c r="E170" s="165">
        <f t="shared" si="2"/>
        <v>2.5860072705885528E-5</v>
      </c>
    </row>
    <row r="171" spans="1:5">
      <c r="A171" s="189">
        <v>44342</v>
      </c>
      <c r="B171" s="190">
        <v>787.14624000000003</v>
      </c>
      <c r="C171" s="83">
        <v>15522.349609000001</v>
      </c>
      <c r="D171" s="165">
        <f t="shared" si="2"/>
        <v>4.3237904235877256E-2</v>
      </c>
      <c r="E171" s="165">
        <f t="shared" si="2"/>
        <v>4.9690528009853629E-3</v>
      </c>
    </row>
    <row r="172" spans="1:5">
      <c r="A172" s="189">
        <v>44343</v>
      </c>
      <c r="B172" s="190">
        <v>837.87286400000005</v>
      </c>
      <c r="C172" s="83">
        <v>15564.349609000001</v>
      </c>
      <c r="D172" s="165">
        <f t="shared" si="2"/>
        <v>6.4443709976941488E-2</v>
      </c>
      <c r="E172" s="165">
        <f t="shared" si="2"/>
        <v>2.7057759332806963E-3</v>
      </c>
    </row>
    <row r="173" spans="1:5">
      <c r="A173" s="189">
        <v>44344</v>
      </c>
      <c r="B173" s="190">
        <v>859.60583499999996</v>
      </c>
      <c r="C173" s="83">
        <v>15650.349609000001</v>
      </c>
      <c r="D173" s="165">
        <f t="shared" si="2"/>
        <v>2.5938268123694597E-2</v>
      </c>
      <c r="E173" s="165">
        <f t="shared" si="2"/>
        <v>5.5254477161237325E-3</v>
      </c>
    </row>
    <row r="174" spans="1:5">
      <c r="A174" s="189">
        <v>44347</v>
      </c>
      <c r="B174" s="190">
        <v>851.216858</v>
      </c>
      <c r="C174" s="83">
        <v>15798.700194999999</v>
      </c>
      <c r="D174" s="165">
        <f t="shared" si="2"/>
        <v>-9.7590973192962505E-3</v>
      </c>
      <c r="E174" s="165">
        <f t="shared" si="2"/>
        <v>9.4790589160185235E-3</v>
      </c>
    </row>
    <row r="175" spans="1:5">
      <c r="A175" s="189">
        <v>44348</v>
      </c>
      <c r="B175" s="190">
        <v>828.110229</v>
      </c>
      <c r="C175" s="83">
        <v>15789.400390999999</v>
      </c>
      <c r="D175" s="165">
        <f t="shared" si="2"/>
        <v>-2.7145408109386815E-2</v>
      </c>
      <c r="E175" s="165">
        <f t="shared" si="2"/>
        <v>-5.8864361531107967E-4</v>
      </c>
    </row>
    <row r="176" spans="1:5">
      <c r="A176" s="189">
        <v>44349</v>
      </c>
      <c r="B176" s="190">
        <v>871.37994400000002</v>
      </c>
      <c r="C176" s="83">
        <v>15832.200194999999</v>
      </c>
      <c r="D176" s="165">
        <f t="shared" si="2"/>
        <v>5.2251153873864364E-2</v>
      </c>
      <c r="E176" s="165">
        <f t="shared" si="2"/>
        <v>2.7106668359868635E-3</v>
      </c>
    </row>
    <row r="177" spans="1:5">
      <c r="A177" s="189">
        <v>44350</v>
      </c>
      <c r="B177" s="190">
        <v>886.34283400000004</v>
      </c>
      <c r="C177" s="83">
        <v>15952.650390999999</v>
      </c>
      <c r="D177" s="165">
        <f t="shared" si="2"/>
        <v>1.7171487710990974E-2</v>
      </c>
      <c r="E177" s="165">
        <f t="shared" si="2"/>
        <v>7.6079252735852254E-3</v>
      </c>
    </row>
    <row r="178" spans="1:5">
      <c r="A178" s="189">
        <v>44351</v>
      </c>
      <c r="B178" s="190">
        <v>884.62579300000004</v>
      </c>
      <c r="C178" s="83">
        <v>15945.849609000001</v>
      </c>
      <c r="D178" s="165">
        <f t="shared" si="2"/>
        <v>-1.9372199267986279E-3</v>
      </c>
      <c r="E178" s="165">
        <f t="shared" si="2"/>
        <v>-4.2631047715024906E-4</v>
      </c>
    </row>
    <row r="179" spans="1:5">
      <c r="A179" s="189">
        <v>44354</v>
      </c>
      <c r="B179" s="190">
        <v>877.90478499999995</v>
      </c>
      <c r="C179" s="83">
        <v>16018.599609000001</v>
      </c>
      <c r="D179" s="165">
        <f t="shared" si="2"/>
        <v>-7.5975718243613821E-3</v>
      </c>
      <c r="E179" s="165">
        <f t="shared" si="2"/>
        <v>4.5623156986842606E-3</v>
      </c>
    </row>
    <row r="180" spans="1:5">
      <c r="A180" s="189">
        <v>44355</v>
      </c>
      <c r="B180" s="190">
        <v>908.07580600000006</v>
      </c>
      <c r="C180" s="83">
        <v>16017.200194999999</v>
      </c>
      <c r="D180" s="165">
        <f t="shared" si="2"/>
        <v>3.4367076607288549E-2</v>
      </c>
      <c r="E180" s="165">
        <f t="shared" si="2"/>
        <v>-8.7361819020359555E-5</v>
      </c>
    </row>
    <row r="181" spans="1:5">
      <c r="A181" s="189">
        <v>44356</v>
      </c>
      <c r="B181" s="190">
        <v>904.54370100000006</v>
      </c>
      <c r="C181" s="83">
        <v>15904.75</v>
      </c>
      <c r="D181" s="165">
        <f t="shared" si="2"/>
        <v>-3.8896587450761855E-3</v>
      </c>
      <c r="E181" s="165">
        <f t="shared" si="2"/>
        <v>-7.020589967721258E-3</v>
      </c>
    </row>
    <row r="182" spans="1:5">
      <c r="A182" s="189">
        <v>44357</v>
      </c>
      <c r="B182" s="190">
        <v>921.95935099999997</v>
      </c>
      <c r="C182" s="83">
        <v>16021.5</v>
      </c>
      <c r="D182" s="165">
        <f t="shared" si="2"/>
        <v>1.9253519736798008E-2</v>
      </c>
      <c r="E182" s="165">
        <f t="shared" si="2"/>
        <v>7.340574356717422E-3</v>
      </c>
    </row>
    <row r="183" spans="1:5">
      <c r="A183" s="189">
        <v>44358</v>
      </c>
      <c r="B183" s="190">
        <v>919.65362500000003</v>
      </c>
      <c r="C183" s="83">
        <v>16079.599609000001</v>
      </c>
      <c r="D183" s="165">
        <f t="shared" si="2"/>
        <v>-2.5008976778629899E-3</v>
      </c>
      <c r="E183" s="165">
        <f t="shared" si="2"/>
        <v>3.6263526511250976E-3</v>
      </c>
    </row>
    <row r="184" spans="1:5">
      <c r="A184" s="189">
        <v>44361</v>
      </c>
      <c r="B184" s="190">
        <v>905.03417999999999</v>
      </c>
      <c r="C184" s="83">
        <v>16079.700194999999</v>
      </c>
      <c r="D184" s="165">
        <f t="shared" si="2"/>
        <v>-1.5896686102879309E-2</v>
      </c>
      <c r="E184" s="165">
        <f t="shared" si="2"/>
        <v>6.2555040203360335E-6</v>
      </c>
    </row>
    <row r="185" spans="1:5">
      <c r="A185" s="189">
        <v>44362</v>
      </c>
      <c r="B185" s="190">
        <v>904.00384499999996</v>
      </c>
      <c r="C185" s="83">
        <v>16136.650390999999</v>
      </c>
      <c r="D185" s="165">
        <f t="shared" si="2"/>
        <v>-1.1384487158264678E-3</v>
      </c>
      <c r="E185" s="165">
        <f t="shared" si="2"/>
        <v>3.5417448901011728E-3</v>
      </c>
    </row>
    <row r="186" spans="1:5">
      <c r="A186" s="189">
        <v>44363</v>
      </c>
      <c r="B186" s="190">
        <v>898.55847200000005</v>
      </c>
      <c r="C186" s="83">
        <v>16025.549805000001</v>
      </c>
      <c r="D186" s="165">
        <f t="shared" si="2"/>
        <v>-6.0236170787524301E-3</v>
      </c>
      <c r="E186" s="165">
        <f t="shared" si="2"/>
        <v>-6.8849843869681626E-3</v>
      </c>
    </row>
    <row r="187" spans="1:5">
      <c r="A187" s="189">
        <v>44364</v>
      </c>
      <c r="B187" s="190">
        <v>896.64520300000004</v>
      </c>
      <c r="C187" s="83">
        <v>15936.200194999999</v>
      </c>
      <c r="D187" s="165">
        <f t="shared" si="2"/>
        <v>-2.1292648832762495E-3</v>
      </c>
      <c r="E187" s="165">
        <f t="shared" si="2"/>
        <v>-5.5754474003832932E-3</v>
      </c>
    </row>
    <row r="188" spans="1:5">
      <c r="A188" s="189">
        <v>44365</v>
      </c>
      <c r="B188" s="190">
        <v>883.10497999999995</v>
      </c>
      <c r="C188" s="83">
        <v>15915.549805000001</v>
      </c>
      <c r="D188" s="165">
        <f t="shared" si="2"/>
        <v>-1.5100981920939449E-2</v>
      </c>
      <c r="E188" s="165">
        <f t="shared" si="2"/>
        <v>-1.2958164272106609E-3</v>
      </c>
    </row>
    <row r="189" spans="1:5">
      <c r="A189" s="189">
        <v>44368</v>
      </c>
      <c r="B189" s="190">
        <v>902.43408199999999</v>
      </c>
      <c r="C189" s="83">
        <v>15991.25</v>
      </c>
      <c r="D189" s="165">
        <f t="shared" si="2"/>
        <v>2.1887660513476126E-2</v>
      </c>
      <c r="E189" s="165">
        <f t="shared" si="2"/>
        <v>4.756366944748347E-3</v>
      </c>
    </row>
    <row r="190" spans="1:5">
      <c r="A190" s="189">
        <v>44369</v>
      </c>
      <c r="B190" s="190">
        <v>900.22650099999998</v>
      </c>
      <c r="C190" s="83">
        <v>16026.950194999999</v>
      </c>
      <c r="D190" s="165">
        <f t="shared" si="2"/>
        <v>-2.4462518027992264E-3</v>
      </c>
      <c r="E190" s="165">
        <f t="shared" si="2"/>
        <v>2.2324830766824455E-3</v>
      </c>
    </row>
    <row r="191" spans="1:5">
      <c r="A191" s="189">
        <v>44370</v>
      </c>
      <c r="B191" s="190">
        <v>890.80718999999999</v>
      </c>
      <c r="C191" s="83">
        <v>15933.150390999999</v>
      </c>
      <c r="D191" s="165">
        <f t="shared" si="2"/>
        <v>-1.0463267843744628E-2</v>
      </c>
      <c r="E191" s="165">
        <f t="shared" si="2"/>
        <v>-5.8526296555949653E-3</v>
      </c>
    </row>
    <row r="192" spans="1:5">
      <c r="A192" s="189">
        <v>44371</v>
      </c>
      <c r="B192" s="190">
        <v>903.26800500000002</v>
      </c>
      <c r="C192" s="83">
        <v>16011.549805000001</v>
      </c>
      <c r="D192" s="165">
        <f t="shared" si="2"/>
        <v>1.3988229035286626E-2</v>
      </c>
      <c r="E192" s="165">
        <f t="shared" si="2"/>
        <v>4.9205218099419579E-3</v>
      </c>
    </row>
    <row r="193" spans="1:5">
      <c r="A193" s="189">
        <v>44372</v>
      </c>
      <c r="B193" s="190">
        <v>923.67657499999996</v>
      </c>
      <c r="C193" s="83">
        <v>16087.200194999999</v>
      </c>
      <c r="D193" s="165">
        <f t="shared" si="2"/>
        <v>2.2594146905491108E-2</v>
      </c>
      <c r="E193" s="165">
        <f t="shared" si="2"/>
        <v>4.7247387617890269E-3</v>
      </c>
    </row>
    <row r="194" spans="1:5">
      <c r="A194" s="189">
        <v>44375</v>
      </c>
      <c r="B194" s="190">
        <v>930.79003899999998</v>
      </c>
      <c r="C194" s="83">
        <v>16055.200194999999</v>
      </c>
      <c r="D194" s="165">
        <f t="shared" si="2"/>
        <v>7.7012497583366368E-3</v>
      </c>
      <c r="E194" s="165">
        <f t="shared" si="2"/>
        <v>-1.9891590588861918E-3</v>
      </c>
    </row>
    <row r="195" spans="1:5">
      <c r="A195" s="189">
        <v>44376</v>
      </c>
      <c r="B195" s="190">
        <v>933.84136999999998</v>
      </c>
      <c r="C195" s="83">
        <v>15992.099609000001</v>
      </c>
      <c r="D195" s="165">
        <f t="shared" si="2"/>
        <v>3.2782162164930462E-3</v>
      </c>
      <c r="E195" s="165">
        <f t="shared" si="2"/>
        <v>-3.9302272929396809E-3</v>
      </c>
    </row>
    <row r="196" spans="1:5">
      <c r="A196" s="189">
        <v>44377</v>
      </c>
      <c r="B196" s="190">
        <v>988.32141100000001</v>
      </c>
      <c r="C196" s="83">
        <v>15959.400390999999</v>
      </c>
      <c r="D196" s="165">
        <f t="shared" ref="D196:E259" si="3">B196/B195-1</f>
        <v>5.8339716733688984E-2</v>
      </c>
      <c r="E196" s="165">
        <f t="shared" si="3"/>
        <v>-2.0447107509009577E-3</v>
      </c>
    </row>
    <row r="197" spans="1:5">
      <c r="A197" s="189">
        <v>44378</v>
      </c>
      <c r="B197" s="190">
        <v>1118.7885739999999</v>
      </c>
      <c r="C197" s="83">
        <v>15928.099609000001</v>
      </c>
      <c r="D197" s="165">
        <f t="shared" si="3"/>
        <v>0.13200883998656976</v>
      </c>
      <c r="E197" s="165">
        <f t="shared" si="3"/>
        <v>-1.9612755638144241E-3</v>
      </c>
    </row>
    <row r="198" spans="1:5">
      <c r="A198" s="189">
        <v>44379</v>
      </c>
      <c r="B198" s="190">
        <v>1172.038452</v>
      </c>
      <c r="C198" s="83">
        <v>15957.099609000001</v>
      </c>
      <c r="D198" s="165">
        <f t="shared" si="3"/>
        <v>4.7596015223516197E-2</v>
      </c>
      <c r="E198" s="165">
        <f t="shared" si="3"/>
        <v>1.8206817330306269E-3</v>
      </c>
    </row>
    <row r="199" spans="1:5">
      <c r="A199" s="189">
        <v>44382</v>
      </c>
      <c r="B199" s="190">
        <v>1185.474121</v>
      </c>
      <c r="C199" s="83">
        <v>16066.900390999999</v>
      </c>
      <c r="D199" s="165">
        <f t="shared" si="3"/>
        <v>1.1463505294619702E-2</v>
      </c>
      <c r="E199" s="165">
        <f t="shared" si="3"/>
        <v>6.880998720975029E-3</v>
      </c>
    </row>
    <row r="200" spans="1:5">
      <c r="A200" s="189">
        <v>44383</v>
      </c>
      <c r="B200" s="190">
        <v>1142.411499</v>
      </c>
      <c r="C200" s="83">
        <v>16054.900390999999</v>
      </c>
      <c r="D200" s="165">
        <f t="shared" si="3"/>
        <v>-3.6325231599045549E-2</v>
      </c>
      <c r="E200" s="165">
        <f t="shared" si="3"/>
        <v>-7.4687710186605027E-4</v>
      </c>
    </row>
    <row r="201" spans="1:5">
      <c r="A201" s="189">
        <v>44384</v>
      </c>
      <c r="B201" s="190">
        <v>1178.731567</v>
      </c>
      <c r="C201" s="83">
        <v>16117.400390999999</v>
      </c>
      <c r="D201" s="165">
        <f t="shared" si="3"/>
        <v>3.1792456598863428E-2</v>
      </c>
      <c r="E201" s="165">
        <f t="shared" si="3"/>
        <v>3.8928924177590307E-3</v>
      </c>
    </row>
    <row r="202" spans="1:5">
      <c r="A202" s="189">
        <v>44385</v>
      </c>
      <c r="B202" s="190">
        <v>1184.932495</v>
      </c>
      <c r="C202" s="83">
        <v>15981.950194999999</v>
      </c>
      <c r="D202" s="165">
        <f t="shared" si="3"/>
        <v>5.2606786596731681E-3</v>
      </c>
      <c r="E202" s="165">
        <f t="shared" si="3"/>
        <v>-8.4039728935216829E-3</v>
      </c>
    </row>
    <row r="203" spans="1:5">
      <c r="A203" s="189">
        <v>44386</v>
      </c>
      <c r="B203" s="190">
        <v>1190.6416019999999</v>
      </c>
      <c r="C203" s="83">
        <v>15952.400390999999</v>
      </c>
      <c r="D203" s="165">
        <f t="shared" si="3"/>
        <v>4.8180862826281423E-3</v>
      </c>
      <c r="E203" s="165">
        <f t="shared" si="3"/>
        <v>-1.8489485725743382E-3</v>
      </c>
    </row>
    <row r="204" spans="1:5">
      <c r="A204" s="189">
        <v>44389</v>
      </c>
      <c r="B204" s="190">
        <v>1178.8792719999999</v>
      </c>
      <c r="C204" s="83">
        <v>15955.950194999999</v>
      </c>
      <c r="D204" s="165">
        <f t="shared" si="3"/>
        <v>-9.8789845577729185E-3</v>
      </c>
      <c r="E204" s="165">
        <f t="shared" si="3"/>
        <v>2.2252475571038488E-4</v>
      </c>
    </row>
    <row r="205" spans="1:5">
      <c r="A205" s="189">
        <v>44390</v>
      </c>
      <c r="B205" s="190">
        <v>1172.33374</v>
      </c>
      <c r="C205" s="83">
        <v>16055.599609000001</v>
      </c>
      <c r="D205" s="165">
        <f t="shared" si="3"/>
        <v>-5.5523344548209508E-3</v>
      </c>
      <c r="E205" s="165">
        <f t="shared" si="3"/>
        <v>6.2452823418330805E-3</v>
      </c>
    </row>
    <row r="206" spans="1:5">
      <c r="A206" s="189">
        <v>44391</v>
      </c>
      <c r="B206" s="190">
        <v>1287.938232</v>
      </c>
      <c r="C206" s="83">
        <v>16091.5</v>
      </c>
      <c r="D206" s="165">
        <f t="shared" si="3"/>
        <v>9.8610564599121764E-2</v>
      </c>
      <c r="E206" s="165">
        <f t="shared" si="3"/>
        <v>2.2360043769324989E-3</v>
      </c>
    </row>
    <row r="207" spans="1:5">
      <c r="A207" s="189">
        <v>44392</v>
      </c>
      <c r="B207" s="190">
        <v>1453.544312</v>
      </c>
      <c r="C207" s="83">
        <v>16160.200194999999</v>
      </c>
      <c r="D207" s="165">
        <f t="shared" si="3"/>
        <v>0.12858231542892806</v>
      </c>
      <c r="E207" s="165">
        <f t="shared" si="3"/>
        <v>4.2693468601435747E-3</v>
      </c>
    </row>
    <row r="208" spans="1:5">
      <c r="A208" s="189">
        <v>44393</v>
      </c>
      <c r="B208" s="190">
        <v>1470.8186040000001</v>
      </c>
      <c r="C208" s="83">
        <v>16172.049805000001</v>
      </c>
      <c r="D208" s="165">
        <f t="shared" si="3"/>
        <v>1.1884255510746344E-2</v>
      </c>
      <c r="E208" s="165">
        <f t="shared" si="3"/>
        <v>7.3325886171060617E-4</v>
      </c>
    </row>
    <row r="209" spans="1:5">
      <c r="A209" s="189">
        <v>44396</v>
      </c>
      <c r="B209" s="190">
        <v>1502.118774</v>
      </c>
      <c r="C209" s="83">
        <v>16006.900390999999</v>
      </c>
      <c r="D209" s="165">
        <f t="shared" si="3"/>
        <v>2.1280781950185235E-2</v>
      </c>
      <c r="E209" s="165">
        <f t="shared" si="3"/>
        <v>-1.0212027293469039E-2</v>
      </c>
    </row>
    <row r="210" spans="1:5">
      <c r="A210" s="189">
        <v>44397</v>
      </c>
      <c r="B210" s="190">
        <v>1468.1116939999999</v>
      </c>
      <c r="C210" s="83">
        <v>15886.25</v>
      </c>
      <c r="D210" s="165">
        <f t="shared" si="3"/>
        <v>-2.2639408140437856E-2</v>
      </c>
      <c r="E210" s="165">
        <f t="shared" si="3"/>
        <v>-7.5373987500937378E-3</v>
      </c>
    </row>
    <row r="211" spans="1:5">
      <c r="A211" s="189">
        <v>44399</v>
      </c>
      <c r="B211" s="190">
        <v>1443.2585449999999</v>
      </c>
      <c r="C211" s="83">
        <v>16094.25</v>
      </c>
      <c r="D211" s="165">
        <f t="shared" si="3"/>
        <v>-1.6928649980496702E-2</v>
      </c>
      <c r="E211" s="165">
        <f t="shared" si="3"/>
        <v>1.3093083641513958E-2</v>
      </c>
    </row>
    <row r="212" spans="1:5">
      <c r="A212" s="189">
        <v>44400</v>
      </c>
      <c r="B212" s="190">
        <v>1373.7186280000001</v>
      </c>
      <c r="C212" s="83">
        <v>16119.099609000001</v>
      </c>
      <c r="D212" s="165">
        <f t="shared" si="3"/>
        <v>-4.818257770994161E-2</v>
      </c>
      <c r="E212" s="165">
        <f t="shared" si="3"/>
        <v>1.544005405657245E-3</v>
      </c>
    </row>
    <row r="213" spans="1:5">
      <c r="A213" s="189">
        <v>44403</v>
      </c>
      <c r="B213" s="190">
        <v>1329.0318600000001</v>
      </c>
      <c r="C213" s="83">
        <v>16094.200194999999</v>
      </c>
      <c r="D213" s="165">
        <f t="shared" si="3"/>
        <v>-3.252978236530113E-2</v>
      </c>
      <c r="E213" s="165">
        <f t="shared" si="3"/>
        <v>-1.5447149409076877E-3</v>
      </c>
    </row>
    <row r="214" spans="1:5">
      <c r="A214" s="189">
        <v>44404</v>
      </c>
      <c r="B214" s="190">
        <v>1404.1331789999999</v>
      </c>
      <c r="C214" s="83">
        <v>16011.049805000001</v>
      </c>
      <c r="D214" s="165">
        <f t="shared" si="3"/>
        <v>5.6508290929910387E-2</v>
      </c>
      <c r="E214" s="165">
        <f t="shared" si="3"/>
        <v>-5.1664816513113943E-3</v>
      </c>
    </row>
    <row r="215" spans="1:5">
      <c r="A215" s="189">
        <v>44405</v>
      </c>
      <c r="B215" s="190">
        <v>1365.056885</v>
      </c>
      <c r="C215" s="83">
        <v>15983.900390999999</v>
      </c>
      <c r="D215" s="165">
        <f t="shared" si="3"/>
        <v>-2.7829478417303322E-2</v>
      </c>
      <c r="E215" s="165">
        <f t="shared" si="3"/>
        <v>-1.6956673254193699E-3</v>
      </c>
    </row>
    <row r="216" spans="1:5">
      <c r="A216" s="189">
        <v>44406</v>
      </c>
      <c r="B216" s="190">
        <v>1324.356689</v>
      </c>
      <c r="C216" s="83">
        <v>16045.200194999999</v>
      </c>
      <c r="D216" s="165">
        <f t="shared" si="3"/>
        <v>-2.9815750865210267E-2</v>
      </c>
      <c r="E216" s="165">
        <f t="shared" si="3"/>
        <v>3.8350967223566013E-3</v>
      </c>
    </row>
    <row r="217" spans="1:5">
      <c r="A217" s="189">
        <v>44407</v>
      </c>
      <c r="B217" s="190">
        <v>1340.2039789999999</v>
      </c>
      <c r="C217" s="83">
        <v>16040.150390999999</v>
      </c>
      <c r="D217" s="165">
        <f t="shared" si="3"/>
        <v>1.1966028587031108E-2</v>
      </c>
      <c r="E217" s="165">
        <f t="shared" si="3"/>
        <v>-3.147236518478147E-4</v>
      </c>
    </row>
    <row r="218" spans="1:5">
      <c r="A218" s="189">
        <v>44410</v>
      </c>
      <c r="B218" s="190">
        <v>1348.5701899999999</v>
      </c>
      <c r="C218" s="83">
        <v>16166.950194999999</v>
      </c>
      <c r="D218" s="165">
        <f t="shared" si="3"/>
        <v>6.242490793261668E-3</v>
      </c>
      <c r="E218" s="165">
        <f t="shared" si="3"/>
        <v>7.9051505696072777E-3</v>
      </c>
    </row>
    <row r="219" spans="1:5">
      <c r="A219" s="189">
        <v>44411</v>
      </c>
      <c r="B219" s="190">
        <v>1343.0581050000001</v>
      </c>
      <c r="C219" s="83">
        <v>16399.949218999998</v>
      </c>
      <c r="D219" s="165">
        <f t="shared" si="3"/>
        <v>-4.0873549192125269E-3</v>
      </c>
      <c r="E219" s="165">
        <f t="shared" si="3"/>
        <v>1.4412058006590511E-2</v>
      </c>
    </row>
    <row r="220" spans="1:5">
      <c r="A220" s="189">
        <v>44412</v>
      </c>
      <c r="B220" s="190">
        <v>1335.872803</v>
      </c>
      <c r="C220" s="83">
        <v>16494.550781000002</v>
      </c>
      <c r="D220" s="165">
        <f t="shared" si="3"/>
        <v>-5.3499561733407752E-3</v>
      </c>
      <c r="E220" s="165">
        <f t="shared" si="3"/>
        <v>5.7684057881353112E-3</v>
      </c>
    </row>
    <row r="221" spans="1:5">
      <c r="A221" s="189">
        <v>44413</v>
      </c>
      <c r="B221" s="190">
        <v>1360.8245850000001</v>
      </c>
      <c r="C221" s="83">
        <v>16520.5</v>
      </c>
      <c r="D221" s="165">
        <f t="shared" si="3"/>
        <v>1.867826184047261E-2</v>
      </c>
      <c r="E221" s="165">
        <f t="shared" si="3"/>
        <v>1.5731994974903518E-3</v>
      </c>
    </row>
    <row r="222" spans="1:5">
      <c r="A222" s="189">
        <v>44414</v>
      </c>
      <c r="B222" s="190">
        <v>1401.278687</v>
      </c>
      <c r="C222" s="83">
        <v>16476.550781000002</v>
      </c>
      <c r="D222" s="165">
        <f t="shared" si="3"/>
        <v>2.9727638996175143E-2</v>
      </c>
      <c r="E222" s="165">
        <f t="shared" si="3"/>
        <v>-2.6602838291818198E-3</v>
      </c>
    </row>
    <row r="223" spans="1:5">
      <c r="A223" s="189">
        <v>44417</v>
      </c>
      <c r="B223" s="190">
        <v>1417.174927</v>
      </c>
      <c r="C223" s="83">
        <v>16483.449218999998</v>
      </c>
      <c r="D223" s="165">
        <f t="shared" si="3"/>
        <v>1.1344096037050555E-2</v>
      </c>
      <c r="E223" s="165">
        <f t="shared" si="3"/>
        <v>4.186821678693331E-4</v>
      </c>
    </row>
    <row r="224" spans="1:5">
      <c r="A224" s="189">
        <v>44418</v>
      </c>
      <c r="B224" s="190">
        <v>1373.3249510000001</v>
      </c>
      <c r="C224" s="83">
        <v>16493.849609000001</v>
      </c>
      <c r="D224" s="165">
        <f t="shared" si="3"/>
        <v>-3.0941823175509753E-2</v>
      </c>
      <c r="E224" s="165">
        <f t="shared" si="3"/>
        <v>6.309595680991098E-4</v>
      </c>
    </row>
    <row r="225" spans="1:5">
      <c r="A225" s="189">
        <v>44419</v>
      </c>
      <c r="B225" s="190">
        <v>1353.2454829999999</v>
      </c>
      <c r="C225" s="83">
        <v>16490.150390999999</v>
      </c>
      <c r="D225" s="165">
        <f t="shared" si="3"/>
        <v>-1.4621061086364961E-2</v>
      </c>
      <c r="E225" s="165">
        <f t="shared" si="3"/>
        <v>-2.2427863038010365E-4</v>
      </c>
    </row>
    <row r="226" spans="1:5">
      <c r="A226" s="189">
        <v>44420</v>
      </c>
      <c r="B226" s="190">
        <v>1368.501831</v>
      </c>
      <c r="C226" s="83">
        <v>16569.300781000002</v>
      </c>
      <c r="D226" s="165">
        <f t="shared" si="3"/>
        <v>1.1273895380887078E-2</v>
      </c>
      <c r="E226" s="165">
        <f t="shared" si="3"/>
        <v>4.7998585897190971E-3</v>
      </c>
    </row>
    <row r="227" spans="1:5">
      <c r="A227" s="189">
        <v>44421</v>
      </c>
      <c r="B227" s="190">
        <v>1373.2265629999999</v>
      </c>
      <c r="C227" s="83">
        <v>16716.150390999999</v>
      </c>
      <c r="D227" s="165">
        <f t="shared" si="3"/>
        <v>3.4524849678478908E-3</v>
      </c>
      <c r="E227" s="165">
        <f t="shared" si="3"/>
        <v>8.8627523841193767E-3</v>
      </c>
    </row>
    <row r="228" spans="1:5">
      <c r="A228" s="189">
        <v>44424</v>
      </c>
      <c r="B228" s="190">
        <v>1372.389893</v>
      </c>
      <c r="C228" s="83">
        <v>16748</v>
      </c>
      <c r="D228" s="165">
        <f t="shared" si="3"/>
        <v>-6.0927309632874405E-4</v>
      </c>
      <c r="E228" s="165">
        <f t="shared" si="3"/>
        <v>1.9053196014047202E-3</v>
      </c>
    </row>
    <row r="229" spans="1:5">
      <c r="A229" s="189">
        <v>44425</v>
      </c>
      <c r="B229" s="190">
        <v>1386.9573969999999</v>
      </c>
      <c r="C229" s="83">
        <v>16805.150390999999</v>
      </c>
      <c r="D229" s="165">
        <f t="shared" si="3"/>
        <v>1.0614697816052621E-2</v>
      </c>
      <c r="E229" s="165">
        <f t="shared" si="3"/>
        <v>3.4123710890852088E-3</v>
      </c>
    </row>
    <row r="230" spans="1:5">
      <c r="A230" s="189">
        <v>44426</v>
      </c>
      <c r="B230" s="190">
        <v>1410.333862</v>
      </c>
      <c r="C230" s="83">
        <v>16778.800781000002</v>
      </c>
      <c r="D230" s="165">
        <f t="shared" si="3"/>
        <v>1.6854493909159274E-2</v>
      </c>
      <c r="E230" s="165">
        <f t="shared" si="3"/>
        <v>-1.5679484793013065E-3</v>
      </c>
    </row>
    <row r="231" spans="1:5">
      <c r="A231" s="189">
        <v>44428</v>
      </c>
      <c r="B231" s="190">
        <v>1399.950073</v>
      </c>
      <c r="C231" s="83">
        <v>16642.150390999999</v>
      </c>
      <c r="D231" s="165">
        <f t="shared" si="3"/>
        <v>-7.3626460228890522E-3</v>
      </c>
      <c r="E231" s="165">
        <f t="shared" si="3"/>
        <v>-8.1442286480177817E-3</v>
      </c>
    </row>
    <row r="232" spans="1:5">
      <c r="A232" s="189">
        <v>44431</v>
      </c>
      <c r="B232" s="190">
        <v>1367.665405</v>
      </c>
      <c r="C232" s="83">
        <v>16673.349609000001</v>
      </c>
      <c r="D232" s="165">
        <f t="shared" si="3"/>
        <v>-2.3061299558216453E-2</v>
      </c>
      <c r="E232" s="165">
        <f t="shared" si="3"/>
        <v>1.8747107355112647E-3</v>
      </c>
    </row>
    <row r="233" spans="1:5">
      <c r="A233" s="189">
        <v>44432</v>
      </c>
      <c r="B233" s="190">
        <v>1399.7039789999999</v>
      </c>
      <c r="C233" s="83">
        <v>16808</v>
      </c>
      <c r="D233" s="165">
        <f t="shared" si="3"/>
        <v>2.3425739865080564E-2</v>
      </c>
      <c r="E233" s="165">
        <f t="shared" si="3"/>
        <v>8.0757852595687574E-3</v>
      </c>
    </row>
    <row r="234" spans="1:5">
      <c r="A234" s="189">
        <v>44433</v>
      </c>
      <c r="B234" s="190">
        <v>1412.9916989999999</v>
      </c>
      <c r="C234" s="83">
        <v>16830.099609000001</v>
      </c>
      <c r="D234" s="165">
        <f t="shared" si="3"/>
        <v>9.4932358551222951E-3</v>
      </c>
      <c r="E234" s="165">
        <f t="shared" si="3"/>
        <v>1.3148268086626835E-3</v>
      </c>
    </row>
    <row r="235" spans="1:5">
      <c r="A235" s="189">
        <v>44434</v>
      </c>
      <c r="B235" s="190">
        <v>1415.058716</v>
      </c>
      <c r="C235" s="83">
        <v>16841.599609000001</v>
      </c>
      <c r="D235" s="165">
        <f t="shared" si="3"/>
        <v>1.462865635702526E-3</v>
      </c>
      <c r="E235" s="165">
        <f t="shared" si="3"/>
        <v>6.8329958034540894E-4</v>
      </c>
    </row>
    <row r="236" spans="1:5">
      <c r="A236" s="189">
        <v>44435</v>
      </c>
      <c r="B236" s="190">
        <v>1391.681885</v>
      </c>
      <c r="C236" s="83">
        <v>16930.849609000001</v>
      </c>
      <c r="D236" s="165">
        <f t="shared" si="3"/>
        <v>-1.6520043116005967E-2</v>
      </c>
      <c r="E236" s="165">
        <f t="shared" si="3"/>
        <v>5.2993778543639625E-3</v>
      </c>
    </row>
    <row r="237" spans="1:5">
      <c r="A237" s="189">
        <v>44438</v>
      </c>
      <c r="B237" s="190">
        <v>1392.715332</v>
      </c>
      <c r="C237" s="83">
        <v>17164.199218999998</v>
      </c>
      <c r="D237" s="165">
        <f t="shared" si="3"/>
        <v>7.425885262564158E-4</v>
      </c>
      <c r="E237" s="165">
        <f t="shared" si="3"/>
        <v>1.3782510351751931E-2</v>
      </c>
    </row>
    <row r="238" spans="1:5">
      <c r="A238" s="189">
        <v>44439</v>
      </c>
      <c r="B238" s="190">
        <v>1405.264893</v>
      </c>
      <c r="C238" s="83">
        <v>17373.099609000001</v>
      </c>
      <c r="D238" s="165">
        <f t="shared" si="3"/>
        <v>9.0108586526280732E-3</v>
      </c>
      <c r="E238" s="165">
        <f t="shared" si="3"/>
        <v>1.2170704111192032E-2</v>
      </c>
    </row>
    <row r="239" spans="1:5">
      <c r="A239" s="189">
        <v>44440</v>
      </c>
      <c r="B239" s="190">
        <v>1395.372803</v>
      </c>
      <c r="C239" s="83">
        <v>17343.300781000002</v>
      </c>
      <c r="D239" s="165">
        <f t="shared" si="3"/>
        <v>-7.0393062897075032E-3</v>
      </c>
      <c r="E239" s="165">
        <f t="shared" si="3"/>
        <v>-1.7152280635380768E-3</v>
      </c>
    </row>
    <row r="240" spans="1:5">
      <c r="A240" s="189">
        <v>44441</v>
      </c>
      <c r="B240" s="190">
        <v>1464.7158199999999</v>
      </c>
      <c r="C240" s="83">
        <v>17504.599609000001</v>
      </c>
      <c r="D240" s="165">
        <f t="shared" si="3"/>
        <v>4.9694975314779732E-2</v>
      </c>
      <c r="E240" s="165">
        <f t="shared" si="3"/>
        <v>9.3003534930735654E-3</v>
      </c>
    </row>
    <row r="241" spans="1:5">
      <c r="A241" s="189">
        <v>44442</v>
      </c>
      <c r="B241" s="190">
        <v>1479.4311520000001</v>
      </c>
      <c r="C241" s="83">
        <v>17597.449218999998</v>
      </c>
      <c r="D241" s="165">
        <f t="shared" si="3"/>
        <v>1.0046544045656747E-2</v>
      </c>
      <c r="E241" s="165">
        <f t="shared" si="3"/>
        <v>5.3042978459363344E-3</v>
      </c>
    </row>
    <row r="242" spans="1:5">
      <c r="A242" s="189">
        <v>44445</v>
      </c>
      <c r="B242" s="190">
        <v>1471.1629640000001</v>
      </c>
      <c r="C242" s="83">
        <v>17641</v>
      </c>
      <c r="D242" s="165">
        <f t="shared" si="3"/>
        <v>-5.5887615917932232E-3</v>
      </c>
      <c r="E242" s="165">
        <f t="shared" si="3"/>
        <v>2.4748348728280689E-3</v>
      </c>
    </row>
    <row r="243" spans="1:5">
      <c r="A243" s="189">
        <v>44446</v>
      </c>
      <c r="B243" s="190">
        <v>1451.2312010000001</v>
      </c>
      <c r="C243" s="83">
        <v>17618.699218999998</v>
      </c>
      <c r="D243" s="165">
        <f t="shared" si="3"/>
        <v>-1.3548303952545693E-2</v>
      </c>
      <c r="E243" s="165">
        <f t="shared" si="3"/>
        <v>-1.2641449464316779E-3</v>
      </c>
    </row>
    <row r="244" spans="1:5">
      <c r="A244" s="189">
        <v>44447</v>
      </c>
      <c r="B244" s="190">
        <v>1426.9685059999999</v>
      </c>
      <c r="C244" s="83">
        <v>17626.199218999998</v>
      </c>
      <c r="D244" s="165">
        <f t="shared" si="3"/>
        <v>-1.6718697188484843E-2</v>
      </c>
      <c r="E244" s="165">
        <f t="shared" si="3"/>
        <v>4.2568409317711442E-4</v>
      </c>
    </row>
    <row r="245" spans="1:5">
      <c r="A245" s="189">
        <v>44448</v>
      </c>
      <c r="B245" s="190">
        <v>1431.3486330000001</v>
      </c>
      <c r="C245" s="83">
        <v>17652.900390999999</v>
      </c>
      <c r="D245" s="165">
        <f t="shared" si="3"/>
        <v>3.0695330566743451E-3</v>
      </c>
      <c r="E245" s="165">
        <f t="shared" si="3"/>
        <v>1.5148570413987539E-3</v>
      </c>
    </row>
    <row r="246" spans="1:5">
      <c r="A246" s="189">
        <v>44452</v>
      </c>
      <c r="B246" s="190">
        <v>1457.284668</v>
      </c>
      <c r="C246" s="83">
        <v>17648.599609000001</v>
      </c>
      <c r="D246" s="165">
        <f t="shared" si="3"/>
        <v>1.8119998442056584E-2</v>
      </c>
      <c r="E246" s="165">
        <f t="shared" si="3"/>
        <v>-2.4363033296170844E-4</v>
      </c>
    </row>
    <row r="247" spans="1:5">
      <c r="A247" s="189">
        <v>44453</v>
      </c>
      <c r="B247" s="190">
        <v>1475.6906739999999</v>
      </c>
      <c r="C247" s="83">
        <v>17678.449218999998</v>
      </c>
      <c r="D247" s="165">
        <f t="shared" si="3"/>
        <v>1.263034354520487E-2</v>
      </c>
      <c r="E247" s="165">
        <f t="shared" si="3"/>
        <v>1.6913302279675246E-3</v>
      </c>
    </row>
    <row r="248" spans="1:5">
      <c r="A248" s="189">
        <v>44454</v>
      </c>
      <c r="B248" s="190">
        <v>1477.3148189999999</v>
      </c>
      <c r="C248" s="83">
        <v>17809.5</v>
      </c>
      <c r="D248" s="165">
        <f t="shared" si="3"/>
        <v>1.1005998944193518E-3</v>
      </c>
      <c r="E248" s="165">
        <f t="shared" si="3"/>
        <v>7.413024715943628E-3</v>
      </c>
    </row>
    <row r="249" spans="1:5">
      <c r="A249" s="189">
        <v>44455</v>
      </c>
      <c r="B249" s="190">
        <v>1472.393311</v>
      </c>
      <c r="C249" s="83">
        <v>17925.050781000002</v>
      </c>
      <c r="D249" s="165">
        <f t="shared" si="3"/>
        <v>-3.3313874177010039E-3</v>
      </c>
      <c r="E249" s="165">
        <f t="shared" si="3"/>
        <v>6.488154131222279E-3</v>
      </c>
    </row>
    <row r="250" spans="1:5">
      <c r="A250" s="189">
        <v>44456</v>
      </c>
      <c r="B250" s="190">
        <v>1466.4875489999999</v>
      </c>
      <c r="C250" s="83">
        <v>17864.550781000002</v>
      </c>
      <c r="D250" s="165">
        <f t="shared" si="3"/>
        <v>-4.0109948584248212E-3</v>
      </c>
      <c r="E250" s="165">
        <f t="shared" si="3"/>
        <v>-3.3751647757744863E-3</v>
      </c>
    </row>
    <row r="251" spans="1:5">
      <c r="A251" s="189">
        <v>44459</v>
      </c>
      <c r="B251" s="190">
        <v>1465.897095</v>
      </c>
      <c r="C251" s="83">
        <v>17654.099609000001</v>
      </c>
      <c r="D251" s="165">
        <f t="shared" si="3"/>
        <v>-4.0263144436691878E-4</v>
      </c>
      <c r="E251" s="165">
        <f t="shared" si="3"/>
        <v>-1.1780378615723563E-2</v>
      </c>
    </row>
    <row r="252" spans="1:5">
      <c r="A252" s="189">
        <v>44460</v>
      </c>
      <c r="B252" s="190">
        <v>1427.903564</v>
      </c>
      <c r="C252" s="83">
        <v>17817.949218999998</v>
      </c>
      <c r="D252" s="165">
        <f t="shared" si="3"/>
        <v>-2.5918279754828299E-2</v>
      </c>
      <c r="E252" s="165">
        <f t="shared" si="3"/>
        <v>9.281108276769201E-3</v>
      </c>
    </row>
    <row r="253" spans="1:5">
      <c r="A253" s="189">
        <v>44461</v>
      </c>
      <c r="B253" s="190">
        <v>1422.096313</v>
      </c>
      <c r="C253" s="83">
        <v>17817.699218999998</v>
      </c>
      <c r="D253" s="165">
        <f t="shared" si="3"/>
        <v>-4.0669770329111454E-3</v>
      </c>
      <c r="E253" s="165">
        <f t="shared" si="3"/>
        <v>-1.4030795403408014E-5</v>
      </c>
    </row>
    <row r="254" spans="1:5">
      <c r="A254" s="189">
        <v>44462</v>
      </c>
      <c r="B254" s="190">
        <v>1409.8912350000001</v>
      </c>
      <c r="C254" s="83">
        <v>18085.800781000002</v>
      </c>
      <c r="D254" s="165">
        <f t="shared" si="3"/>
        <v>-8.5824552728447356E-3</v>
      </c>
      <c r="E254" s="165">
        <f t="shared" si="3"/>
        <v>1.5046923775327459E-2</v>
      </c>
    </row>
    <row r="255" spans="1:5">
      <c r="A255" s="189">
        <v>44463</v>
      </c>
      <c r="B255" s="190">
        <v>1416.239746</v>
      </c>
      <c r="C255" s="83">
        <v>18090.199218999998</v>
      </c>
      <c r="D255" s="165">
        <f t="shared" si="3"/>
        <v>4.5028374121354187E-3</v>
      </c>
      <c r="E255" s="165">
        <f t="shared" si="3"/>
        <v>2.4319841035835843E-4</v>
      </c>
    </row>
    <row r="256" spans="1:5">
      <c r="A256" s="189">
        <v>44466</v>
      </c>
      <c r="B256" s="190">
        <v>1399.9007570000001</v>
      </c>
      <c r="C256" s="83">
        <v>18085.550781000002</v>
      </c>
      <c r="D256" s="165">
        <f t="shared" si="3"/>
        <v>-1.153688070550718E-2</v>
      </c>
      <c r="E256" s="165">
        <f t="shared" si="3"/>
        <v>-2.5695891702037787E-4</v>
      </c>
    </row>
    <row r="257" spans="1:5">
      <c r="A257" s="189">
        <v>44467</v>
      </c>
      <c r="B257" s="190">
        <v>1382.0852050000001</v>
      </c>
      <c r="C257" s="83">
        <v>17973.150390999999</v>
      </c>
      <c r="D257" s="165">
        <f t="shared" si="3"/>
        <v>-1.2726296425597305E-2</v>
      </c>
      <c r="E257" s="165">
        <f t="shared" si="3"/>
        <v>-6.2149276713256985E-3</v>
      </c>
    </row>
    <row r="258" spans="1:5">
      <c r="A258" s="189">
        <v>44468</v>
      </c>
      <c r="B258" s="190">
        <v>1362.3500979999999</v>
      </c>
      <c r="C258" s="83">
        <v>17926.050781000002</v>
      </c>
      <c r="D258" s="165">
        <f t="shared" si="3"/>
        <v>-1.427922600473841E-2</v>
      </c>
      <c r="E258" s="165">
        <f t="shared" si="3"/>
        <v>-2.6205539360302232E-3</v>
      </c>
    </row>
    <row r="259" spans="1:5">
      <c r="A259" s="189">
        <v>44469</v>
      </c>
      <c r="B259" s="190">
        <v>1358.2653809999999</v>
      </c>
      <c r="C259" s="83">
        <v>17845.099609000001</v>
      </c>
      <c r="D259" s="165">
        <f t="shared" si="3"/>
        <v>-2.998287302211522E-3</v>
      </c>
      <c r="E259" s="165">
        <f t="shared" si="3"/>
        <v>-4.5158397122138094E-3</v>
      </c>
    </row>
    <row r="260" spans="1:5">
      <c r="A260" s="189">
        <v>44470</v>
      </c>
      <c r="B260" s="190">
        <v>1354.1313479999999</v>
      </c>
      <c r="C260" s="83">
        <v>17778.550781000002</v>
      </c>
      <c r="D260" s="165">
        <f t="shared" ref="D260:E323" si="4">B260/B259-1</f>
        <v>-3.0436121378256686E-3</v>
      </c>
      <c r="E260" s="165">
        <f t="shared" si="4"/>
        <v>-3.7292494554883593E-3</v>
      </c>
    </row>
    <row r="261" spans="1:5">
      <c r="A261" s="189">
        <v>44473</v>
      </c>
      <c r="B261" s="190">
        <v>1367.1732179999999</v>
      </c>
      <c r="C261" s="83">
        <v>17956.75</v>
      </c>
      <c r="D261" s="165">
        <f t="shared" si="4"/>
        <v>9.6311705797686997E-3</v>
      </c>
      <c r="E261" s="165">
        <f t="shared" si="4"/>
        <v>1.0023270242613957E-2</v>
      </c>
    </row>
    <row r="262" spans="1:5">
      <c r="A262" s="189">
        <v>44474</v>
      </c>
      <c r="B262" s="190">
        <v>1365.844482</v>
      </c>
      <c r="C262" s="83">
        <v>18082.800781000002</v>
      </c>
      <c r="D262" s="165">
        <f t="shared" si="4"/>
        <v>-9.7188562685834867E-4</v>
      </c>
      <c r="E262" s="165">
        <f t="shared" si="4"/>
        <v>7.019687916800077E-3</v>
      </c>
    </row>
    <row r="263" spans="1:5">
      <c r="A263" s="189">
        <v>44475</v>
      </c>
      <c r="B263" s="190">
        <v>1354.2298579999999</v>
      </c>
      <c r="C263" s="83">
        <v>17905.849609000001</v>
      </c>
      <c r="D263" s="165">
        <f t="shared" si="4"/>
        <v>-8.5036211318822996E-3</v>
      </c>
      <c r="E263" s="165">
        <f t="shared" si="4"/>
        <v>-9.7856064523991204E-3</v>
      </c>
    </row>
    <row r="264" spans="1:5">
      <c r="A264" s="189">
        <v>44476</v>
      </c>
      <c r="B264" s="190">
        <v>1362.104126</v>
      </c>
      <c r="C264" s="83">
        <v>18058</v>
      </c>
      <c r="D264" s="165">
        <f t="shared" si="4"/>
        <v>5.8145727281697646E-3</v>
      </c>
      <c r="E264" s="165">
        <f t="shared" si="4"/>
        <v>8.4972449966029817E-3</v>
      </c>
    </row>
    <row r="265" spans="1:5">
      <c r="A265" s="189">
        <v>44477</v>
      </c>
      <c r="B265" s="190">
        <v>1383.11853</v>
      </c>
      <c r="C265" s="83">
        <v>18141.699218999998</v>
      </c>
      <c r="D265" s="165">
        <f t="shared" si="4"/>
        <v>1.5427898351436431E-2</v>
      </c>
      <c r="E265" s="165">
        <f t="shared" si="4"/>
        <v>4.6350215416988139E-3</v>
      </c>
    </row>
    <row r="266" spans="1:5">
      <c r="A266" s="189">
        <v>44480</v>
      </c>
      <c r="B266" s="190">
        <v>1367.468384</v>
      </c>
      <c r="C266" s="83">
        <v>18198.900390999999</v>
      </c>
      <c r="D266" s="165">
        <f t="shared" si="4"/>
        <v>-1.131511555990794E-2</v>
      </c>
      <c r="E266" s="165">
        <f t="shared" si="4"/>
        <v>3.1530217379027725E-3</v>
      </c>
    </row>
    <row r="267" spans="1:5">
      <c r="A267" s="189">
        <v>44481</v>
      </c>
      <c r="B267" s="190">
        <v>1361.8088379999999</v>
      </c>
      <c r="C267" s="83">
        <v>18258.849609000001</v>
      </c>
      <c r="D267" s="165">
        <f t="shared" si="4"/>
        <v>-4.1387033632509507E-3</v>
      </c>
      <c r="E267" s="165">
        <f t="shared" si="4"/>
        <v>3.2941121008414065E-3</v>
      </c>
    </row>
    <row r="268" spans="1:5">
      <c r="A268" s="189">
        <v>44482</v>
      </c>
      <c r="B268" s="190">
        <v>1357.133423</v>
      </c>
      <c r="C268" s="83">
        <v>18433.199218999998</v>
      </c>
      <c r="D268" s="165">
        <f t="shared" si="4"/>
        <v>-3.4332388434682448E-3</v>
      </c>
      <c r="E268" s="165">
        <f t="shared" si="4"/>
        <v>9.5487729913750208E-3</v>
      </c>
    </row>
    <row r="269" spans="1:5">
      <c r="A269" s="189">
        <v>44483</v>
      </c>
      <c r="B269" s="190">
        <v>1388.1385499999999</v>
      </c>
      <c r="C269" s="83">
        <v>18610.349609000001</v>
      </c>
      <c r="D269" s="165">
        <f t="shared" si="4"/>
        <v>2.2846041866290356E-2</v>
      </c>
      <c r="E269" s="165">
        <f t="shared" si="4"/>
        <v>9.6103984932471853E-3</v>
      </c>
    </row>
    <row r="270" spans="1:5">
      <c r="A270" s="189">
        <v>44487</v>
      </c>
      <c r="B270" s="190">
        <v>1393.158447</v>
      </c>
      <c r="C270" s="83">
        <v>18734.900390999999</v>
      </c>
      <c r="D270" s="165">
        <f t="shared" si="4"/>
        <v>3.6162795133094505E-3</v>
      </c>
      <c r="E270" s="165">
        <f t="shared" si="4"/>
        <v>6.6925546600029584E-3</v>
      </c>
    </row>
    <row r="271" spans="1:5">
      <c r="A271" s="189">
        <v>44488</v>
      </c>
      <c r="B271" s="190">
        <v>1372.045288</v>
      </c>
      <c r="C271" s="83">
        <v>18646.150390999999</v>
      </c>
      <c r="D271" s="165">
        <f t="shared" si="4"/>
        <v>-1.5154887116727189E-2</v>
      </c>
      <c r="E271" s="165">
        <f t="shared" si="4"/>
        <v>-4.7371482179128233E-3</v>
      </c>
    </row>
    <row r="272" spans="1:5">
      <c r="A272" s="189">
        <v>44489</v>
      </c>
      <c r="B272" s="190">
        <v>1362.5469969999999</v>
      </c>
      <c r="C272" s="83">
        <v>18467.75</v>
      </c>
      <c r="D272" s="165">
        <f t="shared" si="4"/>
        <v>-6.9227241134623974E-3</v>
      </c>
      <c r="E272" s="165">
        <f t="shared" si="4"/>
        <v>-9.5676795080504862E-3</v>
      </c>
    </row>
    <row r="273" spans="1:5">
      <c r="A273" s="189">
        <v>44490</v>
      </c>
      <c r="B273" s="190">
        <v>1373.1281739999999</v>
      </c>
      <c r="C273" s="83">
        <v>18374.099609000001</v>
      </c>
      <c r="D273" s="165">
        <f t="shared" si="4"/>
        <v>7.7657336028020829E-3</v>
      </c>
      <c r="E273" s="165">
        <f t="shared" si="4"/>
        <v>-5.0710233244438685E-3</v>
      </c>
    </row>
    <row r="274" spans="1:5">
      <c r="A274" s="189">
        <v>44491</v>
      </c>
      <c r="B274" s="190">
        <v>1325.1933590000001</v>
      </c>
      <c r="C274" s="83">
        <v>18285.150390999999</v>
      </c>
      <c r="D274" s="165">
        <f t="shared" si="4"/>
        <v>-3.4909206516652413E-2</v>
      </c>
      <c r="E274" s="165">
        <f t="shared" si="4"/>
        <v>-4.8410109824610359E-3</v>
      </c>
    </row>
    <row r="275" spans="1:5">
      <c r="A275" s="189">
        <v>44494</v>
      </c>
      <c r="B275" s="190">
        <v>1258.950928</v>
      </c>
      <c r="C275" s="83">
        <v>18272.400390999999</v>
      </c>
      <c r="D275" s="165">
        <f t="shared" si="4"/>
        <v>-4.9986992879278436E-2</v>
      </c>
      <c r="E275" s="165">
        <f t="shared" si="4"/>
        <v>-6.9728712793504233E-4</v>
      </c>
    </row>
    <row r="276" spans="1:5">
      <c r="A276" s="189">
        <v>44495</v>
      </c>
      <c r="B276" s="190">
        <v>1277.4555660000001</v>
      </c>
      <c r="C276" s="83">
        <v>18425.150390999999</v>
      </c>
      <c r="D276" s="165">
        <f t="shared" si="4"/>
        <v>1.4698458524826652E-2</v>
      </c>
      <c r="E276" s="165">
        <f t="shared" si="4"/>
        <v>8.3596022816594395E-3</v>
      </c>
    </row>
    <row r="277" spans="1:5">
      <c r="A277" s="189">
        <v>44496</v>
      </c>
      <c r="B277" s="190">
        <v>1289.80835</v>
      </c>
      <c r="C277" s="83">
        <v>18390.050781000002</v>
      </c>
      <c r="D277" s="165">
        <f t="shared" si="4"/>
        <v>9.6698345748957859E-3</v>
      </c>
      <c r="E277" s="165">
        <f t="shared" si="4"/>
        <v>-1.9049836367762696E-3</v>
      </c>
    </row>
    <row r="278" spans="1:5">
      <c r="A278" s="189">
        <v>44497</v>
      </c>
      <c r="B278" s="190">
        <v>1274.3548579999999</v>
      </c>
      <c r="C278" s="83">
        <v>18028.099609000001</v>
      </c>
      <c r="D278" s="165">
        <f t="shared" si="4"/>
        <v>-1.1981231165079764E-2</v>
      </c>
      <c r="E278" s="165">
        <f t="shared" si="4"/>
        <v>-1.9681901714700967E-2</v>
      </c>
    </row>
    <row r="279" spans="1:5">
      <c r="A279" s="189">
        <v>44498</v>
      </c>
      <c r="B279" s="190">
        <v>1254.3740230000001</v>
      </c>
      <c r="C279" s="83">
        <v>17880.800781000002</v>
      </c>
      <c r="D279" s="165">
        <f t="shared" si="4"/>
        <v>-1.5679176702287023E-2</v>
      </c>
      <c r="E279" s="165">
        <f t="shared" si="4"/>
        <v>-8.170513320575612E-3</v>
      </c>
    </row>
    <row r="280" spans="1:5">
      <c r="A280" s="189">
        <v>44501</v>
      </c>
      <c r="B280" s="190">
        <v>1241.4305420000001</v>
      </c>
      <c r="C280" s="83">
        <v>18134.599609000001</v>
      </c>
      <c r="D280" s="165">
        <f t="shared" si="4"/>
        <v>-1.0318677493849848E-2</v>
      </c>
      <c r="E280" s="165">
        <f t="shared" si="4"/>
        <v>1.4193929629241486E-2</v>
      </c>
    </row>
    <row r="281" spans="1:5">
      <c r="A281" s="189">
        <v>44502</v>
      </c>
      <c r="B281" s="190">
        <v>1231.390991</v>
      </c>
      <c r="C281" s="83">
        <v>18101</v>
      </c>
      <c r="D281" s="165">
        <f t="shared" si="4"/>
        <v>-8.0870823298949679E-3</v>
      </c>
      <c r="E281" s="165">
        <f t="shared" si="4"/>
        <v>-1.8527902310744304E-3</v>
      </c>
    </row>
    <row r="282" spans="1:5">
      <c r="A282" s="189">
        <v>44503</v>
      </c>
      <c r="B282" s="190">
        <v>1213.919922</v>
      </c>
      <c r="C282" s="83">
        <v>18066.949218999998</v>
      </c>
      <c r="D282" s="165">
        <f t="shared" si="4"/>
        <v>-1.4188076027592089E-2</v>
      </c>
      <c r="E282" s="165">
        <f t="shared" si="4"/>
        <v>-1.8811546875864282E-3</v>
      </c>
    </row>
    <row r="283" spans="1:5">
      <c r="A283" s="189">
        <v>44504</v>
      </c>
      <c r="B283" s="190">
        <v>1264.4628909999999</v>
      </c>
      <c r="C283" s="83">
        <v>18156.150390999999</v>
      </c>
      <c r="D283" s="165">
        <f t="shared" si="4"/>
        <v>4.1636164036856327E-2</v>
      </c>
      <c r="E283" s="165">
        <f t="shared" si="4"/>
        <v>4.9372570276664529E-3</v>
      </c>
    </row>
    <row r="284" spans="1:5">
      <c r="A284" s="189">
        <v>44508</v>
      </c>
      <c r="B284" s="190">
        <v>1308.017578</v>
      </c>
      <c r="C284" s="83">
        <v>18320.650390999999</v>
      </c>
      <c r="D284" s="165">
        <f t="shared" si="4"/>
        <v>3.44452077716213E-2</v>
      </c>
      <c r="E284" s="165">
        <f t="shared" si="4"/>
        <v>9.0602906705126163E-3</v>
      </c>
    </row>
    <row r="285" spans="1:5">
      <c r="A285" s="189">
        <v>44509</v>
      </c>
      <c r="B285" s="190">
        <v>1322.1607670000001</v>
      </c>
      <c r="C285" s="83">
        <v>18309.050781000002</v>
      </c>
      <c r="D285" s="165">
        <f t="shared" si="4"/>
        <v>1.0812690316918783E-2</v>
      </c>
      <c r="E285" s="165">
        <f t="shared" si="4"/>
        <v>-6.3314400703240459E-4</v>
      </c>
    </row>
    <row r="286" spans="1:5">
      <c r="A286" s="189">
        <v>44510</v>
      </c>
      <c r="B286" s="190">
        <v>1304.1243899999999</v>
      </c>
      <c r="C286" s="83">
        <v>18291.75</v>
      </c>
      <c r="D286" s="165">
        <f t="shared" si="4"/>
        <v>-1.3641591438932843E-2</v>
      </c>
      <c r="E286" s="165">
        <f t="shared" si="4"/>
        <v>-9.4493052681654532E-4</v>
      </c>
    </row>
    <row r="287" spans="1:5">
      <c r="A287" s="189">
        <v>44511</v>
      </c>
      <c r="B287" s="190">
        <v>1283.7230219999999</v>
      </c>
      <c r="C287" s="83">
        <v>18156.800781000002</v>
      </c>
      <c r="D287" s="165">
        <f t="shared" si="4"/>
        <v>-1.5643728586350658E-2</v>
      </c>
      <c r="E287" s="165">
        <f t="shared" si="4"/>
        <v>-7.3776002296116472E-3</v>
      </c>
    </row>
    <row r="288" spans="1:5">
      <c r="A288" s="189">
        <v>44512</v>
      </c>
      <c r="B288" s="190">
        <v>1286.9754640000001</v>
      </c>
      <c r="C288" s="83">
        <v>18389.5</v>
      </c>
      <c r="D288" s="165">
        <f t="shared" si="4"/>
        <v>2.5336010527667874E-3</v>
      </c>
      <c r="E288" s="165">
        <f t="shared" si="4"/>
        <v>1.2816091436301136E-2</v>
      </c>
    </row>
    <row r="289" spans="1:5">
      <c r="A289" s="189">
        <v>44515</v>
      </c>
      <c r="B289" s="190">
        <v>1298.8516850000001</v>
      </c>
      <c r="C289" s="83">
        <v>18401.650390999999</v>
      </c>
      <c r="D289" s="165">
        <f t="shared" si="4"/>
        <v>9.2280088721257147E-3</v>
      </c>
      <c r="E289" s="165">
        <f t="shared" si="4"/>
        <v>6.6072438076081319E-4</v>
      </c>
    </row>
    <row r="290" spans="1:5">
      <c r="A290" s="189">
        <v>44516</v>
      </c>
      <c r="B290" s="190">
        <v>1289.340698</v>
      </c>
      <c r="C290" s="83">
        <v>18301.449218999998</v>
      </c>
      <c r="D290" s="165">
        <f t="shared" si="4"/>
        <v>-7.3226120501973524E-3</v>
      </c>
      <c r="E290" s="165">
        <f t="shared" si="4"/>
        <v>-5.4452274590005567E-3</v>
      </c>
    </row>
    <row r="291" spans="1:5">
      <c r="A291" s="189">
        <v>44517</v>
      </c>
      <c r="B291" s="190">
        <v>1257.210693</v>
      </c>
      <c r="C291" s="83">
        <v>18211.349609000001</v>
      </c>
      <c r="D291" s="165">
        <f t="shared" si="4"/>
        <v>-2.4919716758991184E-2</v>
      </c>
      <c r="E291" s="165">
        <f t="shared" si="4"/>
        <v>-4.9230860857979453E-3</v>
      </c>
    </row>
    <row r="292" spans="1:5">
      <c r="A292" s="189">
        <v>44518</v>
      </c>
      <c r="B292" s="190">
        <v>1246.4677730000001</v>
      </c>
      <c r="C292" s="83">
        <v>18059.5</v>
      </c>
      <c r="D292" s="165">
        <f t="shared" si="4"/>
        <v>-8.5450434519966922E-3</v>
      </c>
      <c r="E292" s="165">
        <f t="shared" si="4"/>
        <v>-8.3381853767146019E-3</v>
      </c>
    </row>
    <row r="293" spans="1:5">
      <c r="A293" s="189">
        <v>44522</v>
      </c>
      <c r="B293" s="190">
        <v>1223.9472659999999</v>
      </c>
      <c r="C293" s="83">
        <v>17708.550781000002</v>
      </c>
      <c r="D293" s="165">
        <f t="shared" si="4"/>
        <v>-1.8067460296865789E-2</v>
      </c>
      <c r="E293" s="165">
        <f t="shared" si="4"/>
        <v>-1.9432942163404188E-2</v>
      </c>
    </row>
    <row r="294" spans="1:5">
      <c r="A294" s="189">
        <v>44523</v>
      </c>
      <c r="B294" s="190">
        <v>1249.3754879999999</v>
      </c>
      <c r="C294" s="83">
        <v>17823.5</v>
      </c>
      <c r="D294" s="165">
        <f t="shared" si="4"/>
        <v>2.0775586257978595E-2</v>
      </c>
      <c r="E294" s="165">
        <f t="shared" si="4"/>
        <v>6.4911703064560733E-3</v>
      </c>
    </row>
    <row r="295" spans="1:5">
      <c r="A295" s="189">
        <v>44524</v>
      </c>
      <c r="B295" s="190">
        <v>1266.8695070000001</v>
      </c>
      <c r="C295" s="83">
        <v>17733</v>
      </c>
      <c r="D295" s="165">
        <f t="shared" si="4"/>
        <v>1.4002210838956586E-2</v>
      </c>
      <c r="E295" s="165">
        <f t="shared" si="4"/>
        <v>-5.0775661345975331E-3</v>
      </c>
    </row>
    <row r="296" spans="1:5">
      <c r="A296" s="189">
        <v>44525</v>
      </c>
      <c r="B296" s="190">
        <v>1257.851318</v>
      </c>
      <c r="C296" s="83">
        <v>17861.650390999999</v>
      </c>
      <c r="D296" s="165">
        <f t="shared" si="4"/>
        <v>-7.1184829614816536E-3</v>
      </c>
      <c r="E296" s="165">
        <f t="shared" si="4"/>
        <v>7.2548576664974718E-3</v>
      </c>
    </row>
    <row r="297" spans="1:5">
      <c r="A297" s="189">
        <v>44526</v>
      </c>
      <c r="B297" s="190">
        <v>1221.7789310000001</v>
      </c>
      <c r="C297" s="83">
        <v>17340.5</v>
      </c>
      <c r="D297" s="165">
        <f t="shared" si="4"/>
        <v>-2.8677782885623948E-2</v>
      </c>
      <c r="E297" s="165">
        <f t="shared" si="4"/>
        <v>-2.9177056967960358E-2</v>
      </c>
    </row>
    <row r="298" spans="1:5">
      <c r="A298" s="189">
        <v>44529</v>
      </c>
      <c r="B298" s="190">
        <v>1184.868774</v>
      </c>
      <c r="C298" s="83">
        <v>17339.150390999999</v>
      </c>
      <c r="D298" s="165">
        <f t="shared" si="4"/>
        <v>-3.021017637764456E-2</v>
      </c>
      <c r="E298" s="165">
        <f t="shared" si="4"/>
        <v>-7.7829878031288047E-5</v>
      </c>
    </row>
    <row r="299" spans="1:5">
      <c r="A299" s="189">
        <v>44530</v>
      </c>
      <c r="B299" s="190">
        <v>1188.1705320000001</v>
      </c>
      <c r="C299" s="83">
        <v>17270.25</v>
      </c>
      <c r="D299" s="165">
        <f t="shared" si="4"/>
        <v>2.7866022571036986E-3</v>
      </c>
      <c r="E299" s="165">
        <f t="shared" si="4"/>
        <v>-3.973688989730606E-3</v>
      </c>
    </row>
    <row r="300" spans="1:5">
      <c r="A300" s="189">
        <v>44531</v>
      </c>
      <c r="B300" s="190">
        <v>1192.9013669999999</v>
      </c>
      <c r="C300" s="83">
        <v>17444.449218999998</v>
      </c>
      <c r="D300" s="165">
        <f t="shared" si="4"/>
        <v>3.9816128010148333E-3</v>
      </c>
      <c r="E300" s="165">
        <f t="shared" si="4"/>
        <v>1.0086664582157123E-2</v>
      </c>
    </row>
    <row r="301" spans="1:5">
      <c r="A301" s="189">
        <v>44532</v>
      </c>
      <c r="B301" s="190">
        <v>1201.8701169999999</v>
      </c>
      <c r="C301" s="83">
        <v>17675</v>
      </c>
      <c r="D301" s="165">
        <f t="shared" si="4"/>
        <v>7.5184338354439273E-3</v>
      </c>
      <c r="E301" s="165">
        <f t="shared" si="4"/>
        <v>1.3216283191612277E-2</v>
      </c>
    </row>
    <row r="302" spans="1:5">
      <c r="A302" s="189">
        <v>44533</v>
      </c>
      <c r="B302" s="190">
        <v>1261.94165</v>
      </c>
      <c r="C302" s="83">
        <v>17493.699218999998</v>
      </c>
      <c r="D302" s="165">
        <f t="shared" si="4"/>
        <v>4.9981717783237123E-2</v>
      </c>
      <c r="E302" s="165">
        <f t="shared" si="4"/>
        <v>-1.0257469929278784E-2</v>
      </c>
    </row>
    <row r="303" spans="1:5">
      <c r="A303" s="189">
        <v>44536</v>
      </c>
      <c r="B303" s="190">
        <v>1285.447754</v>
      </c>
      <c r="C303" s="83">
        <v>17197.5</v>
      </c>
      <c r="D303" s="165">
        <f t="shared" si="4"/>
        <v>1.8626934137564888E-2</v>
      </c>
      <c r="E303" s="165">
        <f t="shared" si="4"/>
        <v>-1.6931765848488767E-2</v>
      </c>
    </row>
    <row r="304" spans="1:5">
      <c r="A304" s="189">
        <v>44537</v>
      </c>
      <c r="B304" s="190">
        <v>1274.7048339999999</v>
      </c>
      <c r="C304" s="83">
        <v>17464.949218999998</v>
      </c>
      <c r="D304" s="165">
        <f t="shared" si="4"/>
        <v>-8.3573369408214138E-3</v>
      </c>
      <c r="E304" s="165">
        <f t="shared" si="4"/>
        <v>1.5551633609536264E-2</v>
      </c>
    </row>
    <row r="305" spans="1:5">
      <c r="A305" s="189">
        <v>44538</v>
      </c>
      <c r="B305" s="190">
        <v>1292.0020750000001</v>
      </c>
      <c r="C305" s="83">
        <v>17751.900390999999</v>
      </c>
      <c r="D305" s="165">
        <f t="shared" si="4"/>
        <v>1.3569604930203205E-2</v>
      </c>
      <c r="E305" s="165">
        <f t="shared" si="4"/>
        <v>1.6430117740498629E-2</v>
      </c>
    </row>
    <row r="306" spans="1:5">
      <c r="A306" s="189">
        <v>44539</v>
      </c>
      <c r="B306" s="190">
        <v>1270.220581</v>
      </c>
      <c r="C306" s="83">
        <v>17797.800781000002</v>
      </c>
      <c r="D306" s="165">
        <f t="shared" si="4"/>
        <v>-1.6858714410346476E-2</v>
      </c>
      <c r="E306" s="165">
        <f t="shared" si="4"/>
        <v>2.5856606328904519E-3</v>
      </c>
    </row>
    <row r="307" spans="1:5">
      <c r="A307" s="189">
        <v>44540</v>
      </c>
      <c r="B307" s="190">
        <v>1270.5654300000001</v>
      </c>
      <c r="C307" s="83">
        <v>17802.599609000001</v>
      </c>
      <c r="D307" s="165">
        <f t="shared" si="4"/>
        <v>2.7148749213989909E-4</v>
      </c>
      <c r="E307" s="165">
        <f t="shared" si="4"/>
        <v>2.6963039192584581E-4</v>
      </c>
    </row>
    <row r="308" spans="1:5">
      <c r="A308" s="189">
        <v>44543</v>
      </c>
      <c r="B308" s="190">
        <v>1268.4957280000001</v>
      </c>
      <c r="C308" s="83">
        <v>17664.849609000001</v>
      </c>
      <c r="D308" s="165">
        <f t="shared" si="4"/>
        <v>-1.6289613672236802E-3</v>
      </c>
      <c r="E308" s="165">
        <f t="shared" si="4"/>
        <v>-7.7376339987088594E-3</v>
      </c>
    </row>
    <row r="309" spans="1:5">
      <c r="A309" s="189">
        <v>44544</v>
      </c>
      <c r="B309" s="190">
        <v>1252.578491</v>
      </c>
      <c r="C309" s="83">
        <v>17637.699218999998</v>
      </c>
      <c r="D309" s="165">
        <f t="shared" si="4"/>
        <v>-1.2548120303957466E-2</v>
      </c>
      <c r="E309" s="165">
        <f t="shared" si="4"/>
        <v>-1.5369726095018077E-3</v>
      </c>
    </row>
    <row r="310" spans="1:5">
      <c r="A310" s="189">
        <v>44545</v>
      </c>
      <c r="B310" s="190">
        <v>1260.758789</v>
      </c>
      <c r="C310" s="83">
        <v>17526.349609000001</v>
      </c>
      <c r="D310" s="165">
        <f t="shared" si="4"/>
        <v>6.5307667813050418E-3</v>
      </c>
      <c r="E310" s="165">
        <f t="shared" si="4"/>
        <v>-6.313159591702755E-3</v>
      </c>
    </row>
    <row r="311" spans="1:5">
      <c r="A311" s="189">
        <v>44546</v>
      </c>
      <c r="B311" s="190">
        <v>1248.3405760000001</v>
      </c>
      <c r="C311" s="83">
        <v>17539.300781000002</v>
      </c>
      <c r="D311" s="165">
        <f t="shared" si="4"/>
        <v>-9.8497929249811156E-3</v>
      </c>
      <c r="E311" s="165">
        <f t="shared" si="4"/>
        <v>7.3895433384207898E-4</v>
      </c>
    </row>
    <row r="312" spans="1:5">
      <c r="A312" s="189">
        <v>44547</v>
      </c>
      <c r="B312" s="190">
        <v>1238.6816409999999</v>
      </c>
      <c r="C312" s="83">
        <v>17249</v>
      </c>
      <c r="D312" s="165">
        <f t="shared" si="4"/>
        <v>-7.7374197279959089E-3</v>
      </c>
      <c r="E312" s="165">
        <f t="shared" si="4"/>
        <v>-1.655144550086507E-2</v>
      </c>
    </row>
    <row r="313" spans="1:5">
      <c r="A313" s="189">
        <v>44550</v>
      </c>
      <c r="B313" s="190">
        <v>1185.016846</v>
      </c>
      <c r="C313" s="83">
        <v>16856.199218999998</v>
      </c>
      <c r="D313" s="165">
        <f t="shared" si="4"/>
        <v>-4.3324122376332097E-2</v>
      </c>
      <c r="E313" s="165">
        <f t="shared" si="4"/>
        <v>-2.2772379906081608E-2</v>
      </c>
    </row>
    <row r="314" spans="1:5">
      <c r="A314" s="189">
        <v>44551</v>
      </c>
      <c r="B314" s="190">
        <v>1200.046875</v>
      </c>
      <c r="C314" s="83">
        <v>17037.75</v>
      </c>
      <c r="D314" s="165">
        <f t="shared" si="4"/>
        <v>1.2683388468892609E-2</v>
      </c>
      <c r="E314" s="165">
        <f t="shared" si="4"/>
        <v>1.0770564505156122E-2</v>
      </c>
    </row>
    <row r="315" spans="1:5">
      <c r="A315" s="189">
        <v>44552</v>
      </c>
      <c r="B315" s="190">
        <v>1200.539673</v>
      </c>
      <c r="C315" s="83">
        <v>17232.800781000002</v>
      </c>
      <c r="D315" s="165">
        <f t="shared" si="4"/>
        <v>4.1064895902498399E-4</v>
      </c>
      <c r="E315" s="165">
        <f t="shared" si="4"/>
        <v>1.1448153717480425E-2</v>
      </c>
    </row>
    <row r="316" spans="1:5">
      <c r="A316" s="189">
        <v>44553</v>
      </c>
      <c r="B316" s="190">
        <v>1244.940186</v>
      </c>
      <c r="C316" s="83">
        <v>17360.650390999999</v>
      </c>
      <c r="D316" s="165">
        <f t="shared" si="4"/>
        <v>3.6983794870392384E-2</v>
      </c>
      <c r="E316" s="165">
        <f t="shared" si="4"/>
        <v>7.4189687227719237E-3</v>
      </c>
    </row>
    <row r="317" spans="1:5">
      <c r="A317" s="189">
        <v>44554</v>
      </c>
      <c r="B317" s="190">
        <v>1240.9979249999999</v>
      </c>
      <c r="C317" s="83">
        <v>17273.650390999999</v>
      </c>
      <c r="D317" s="165">
        <f t="shared" si="4"/>
        <v>-3.1666268342309678E-3</v>
      </c>
      <c r="E317" s="165">
        <f t="shared" si="4"/>
        <v>-5.0113329881409374E-3</v>
      </c>
    </row>
    <row r="318" spans="1:5">
      <c r="A318" s="189">
        <v>44557</v>
      </c>
      <c r="B318" s="190">
        <v>1303.040405</v>
      </c>
      <c r="C318" s="83">
        <v>17351.800781000002</v>
      </c>
      <c r="D318" s="165">
        <f t="shared" si="4"/>
        <v>4.9994023962610656E-2</v>
      </c>
      <c r="E318" s="165">
        <f t="shared" si="4"/>
        <v>4.5242544703070209E-3</v>
      </c>
    </row>
    <row r="319" spans="1:5">
      <c r="A319" s="189">
        <v>44558</v>
      </c>
      <c r="B319" s="190">
        <v>1290.1292719999999</v>
      </c>
      <c r="C319" s="83">
        <v>17501.75</v>
      </c>
      <c r="D319" s="165">
        <f t="shared" si="4"/>
        <v>-9.9084671131131064E-3</v>
      </c>
      <c r="E319" s="165">
        <f t="shared" si="4"/>
        <v>8.6417093472044293E-3</v>
      </c>
    </row>
    <row r="320" spans="1:5">
      <c r="A320" s="189">
        <v>44559</v>
      </c>
      <c r="B320" s="190">
        <v>1274.3104249999999</v>
      </c>
      <c r="C320" s="83">
        <v>17478.800781000002</v>
      </c>
      <c r="D320" s="165">
        <f t="shared" si="4"/>
        <v>-1.226144336332835E-2</v>
      </c>
      <c r="E320" s="165">
        <f t="shared" si="4"/>
        <v>-1.3112528175752702E-3</v>
      </c>
    </row>
    <row r="321" spans="1:5">
      <c r="A321" s="189">
        <v>44560</v>
      </c>
      <c r="B321" s="190">
        <v>1277.4646</v>
      </c>
      <c r="C321" s="83">
        <v>17449.300781000002</v>
      </c>
      <c r="D321" s="165">
        <f t="shared" si="4"/>
        <v>2.4752014408107037E-3</v>
      </c>
      <c r="E321" s="165">
        <f t="shared" si="4"/>
        <v>-1.6877588096356755E-3</v>
      </c>
    </row>
    <row r="322" spans="1:5">
      <c r="A322" s="189">
        <v>44561</v>
      </c>
      <c r="B322" s="190">
        <v>1277.9079589999999</v>
      </c>
      <c r="C322" s="83">
        <v>17618.800781000002</v>
      </c>
      <c r="D322" s="165">
        <f t="shared" si="4"/>
        <v>3.4706167200249105E-4</v>
      </c>
      <c r="E322" s="165">
        <f t="shared" si="4"/>
        <v>9.7138562815402008E-3</v>
      </c>
    </row>
    <row r="323" spans="1:5">
      <c r="A323" s="189">
        <v>44564</v>
      </c>
      <c r="B323" s="190">
        <v>1318.2677000000001</v>
      </c>
      <c r="C323" s="83">
        <v>17874</v>
      </c>
      <c r="D323" s="165">
        <f t="shared" si="4"/>
        <v>3.1582666588588104E-2</v>
      </c>
      <c r="E323" s="165">
        <f t="shared" si="4"/>
        <v>1.4484482920948949E-2</v>
      </c>
    </row>
    <row r="324" spans="1:5">
      <c r="A324" s="189">
        <v>44565</v>
      </c>
      <c r="B324" s="190">
        <v>1321.0766599999999</v>
      </c>
      <c r="C324" s="83">
        <v>18030.949218999998</v>
      </c>
      <c r="D324" s="165">
        <f t="shared" ref="D324:E387" si="5">B324/B323-1</f>
        <v>2.1307963473577995E-3</v>
      </c>
      <c r="E324" s="165">
        <f t="shared" si="5"/>
        <v>8.7808671254334669E-3</v>
      </c>
    </row>
    <row r="325" spans="1:5">
      <c r="A325" s="189">
        <v>44566</v>
      </c>
      <c r="B325" s="190">
        <v>1301.9071039999999</v>
      </c>
      <c r="C325" s="83">
        <v>18147.5</v>
      </c>
      <c r="D325" s="165">
        <f t="shared" si="5"/>
        <v>-1.4510555352631904E-2</v>
      </c>
      <c r="E325" s="165">
        <f t="shared" si="5"/>
        <v>6.4639293020241073E-3</v>
      </c>
    </row>
    <row r="326" spans="1:5">
      <c r="A326" s="189">
        <v>44567</v>
      </c>
      <c r="B326" s="190">
        <v>1279.928467</v>
      </c>
      <c r="C326" s="83">
        <v>17985.599609000001</v>
      </c>
      <c r="D326" s="165">
        <f t="shared" si="5"/>
        <v>-1.6881878079067603E-2</v>
      </c>
      <c r="E326" s="165">
        <f t="shared" si="5"/>
        <v>-8.9213605730816825E-3</v>
      </c>
    </row>
    <row r="327" spans="1:5">
      <c r="A327" s="189">
        <v>44568</v>
      </c>
      <c r="B327" s="190">
        <v>1279.928467</v>
      </c>
      <c r="C327" s="83">
        <v>18053.949218999998</v>
      </c>
      <c r="D327" s="165">
        <f t="shared" si="5"/>
        <v>0</v>
      </c>
      <c r="E327" s="165">
        <f t="shared" si="5"/>
        <v>3.8002408307697966E-3</v>
      </c>
    </row>
    <row r="328" spans="1:5">
      <c r="A328" s="189">
        <v>44571</v>
      </c>
      <c r="B328" s="190">
        <v>1303.2867429999999</v>
      </c>
      <c r="C328" s="83">
        <v>18229.099609000001</v>
      </c>
      <c r="D328" s="165">
        <f t="shared" si="5"/>
        <v>1.8249673010827694E-2</v>
      </c>
      <c r="E328" s="165">
        <f t="shared" si="5"/>
        <v>9.7015000914966176E-3</v>
      </c>
    </row>
    <row r="329" spans="1:5">
      <c r="A329" s="189">
        <v>44572</v>
      </c>
      <c r="B329" s="190">
        <v>1324.033447</v>
      </c>
      <c r="C329" s="83">
        <v>18275.150390999999</v>
      </c>
      <c r="D329" s="165">
        <f t="shared" si="5"/>
        <v>1.5918756260992817E-2</v>
      </c>
      <c r="E329" s="165">
        <f t="shared" si="5"/>
        <v>2.5262236198031474E-3</v>
      </c>
    </row>
    <row r="330" spans="1:5">
      <c r="A330" s="189">
        <v>44573</v>
      </c>
      <c r="B330" s="190">
        <v>1320.2388920000001</v>
      </c>
      <c r="C330" s="83">
        <v>18430.25</v>
      </c>
      <c r="D330" s="165">
        <f t="shared" si="5"/>
        <v>-2.8659056979245534E-3</v>
      </c>
      <c r="E330" s="165">
        <f t="shared" si="5"/>
        <v>8.4869128670144178E-3</v>
      </c>
    </row>
    <row r="331" spans="1:5">
      <c r="A331" s="189">
        <v>44574</v>
      </c>
      <c r="B331" s="190">
        <v>1317.6761469999999</v>
      </c>
      <c r="C331" s="83">
        <v>18482.449218999998</v>
      </c>
      <c r="D331" s="165">
        <f t="shared" si="5"/>
        <v>-1.9411221829088721E-3</v>
      </c>
      <c r="E331" s="165">
        <f t="shared" si="5"/>
        <v>2.8322577827213369E-3</v>
      </c>
    </row>
    <row r="332" spans="1:5">
      <c r="A332" s="189">
        <v>44575</v>
      </c>
      <c r="B332" s="190">
        <v>1306.5391850000001</v>
      </c>
      <c r="C332" s="83">
        <v>18485.699218999998</v>
      </c>
      <c r="D332" s="165">
        <f t="shared" si="5"/>
        <v>-8.4519720762614714E-3</v>
      </c>
      <c r="E332" s="165">
        <f t="shared" si="5"/>
        <v>1.7584249584512435E-4</v>
      </c>
    </row>
    <row r="333" spans="1:5">
      <c r="A333" s="189">
        <v>44578</v>
      </c>
      <c r="B333" s="190">
        <v>1318.563232</v>
      </c>
      <c r="C333" s="83">
        <v>18543.199218999998</v>
      </c>
      <c r="D333" s="165">
        <f t="shared" si="5"/>
        <v>9.2029746509285637E-3</v>
      </c>
      <c r="E333" s="165">
        <f t="shared" si="5"/>
        <v>3.110512581579794E-3</v>
      </c>
    </row>
    <row r="334" spans="1:5">
      <c r="A334" s="189">
        <v>44579</v>
      </c>
      <c r="B334" s="190">
        <v>1287.5667719999999</v>
      </c>
      <c r="C334" s="83">
        <v>18331.699218999998</v>
      </c>
      <c r="D334" s="165">
        <f t="shared" si="5"/>
        <v>-2.3507753930757325E-2</v>
      </c>
      <c r="E334" s="165">
        <f t="shared" si="5"/>
        <v>-1.1405798832344383E-2</v>
      </c>
    </row>
    <row r="335" spans="1:5">
      <c r="A335" s="189">
        <v>44580</v>
      </c>
      <c r="B335" s="190">
        <v>1254.303345</v>
      </c>
      <c r="C335" s="83">
        <v>18179.699218999998</v>
      </c>
      <c r="D335" s="165">
        <f t="shared" si="5"/>
        <v>-2.5834331642724195E-2</v>
      </c>
      <c r="E335" s="165">
        <f t="shared" si="5"/>
        <v>-8.2916481546052578E-3</v>
      </c>
    </row>
    <row r="336" spans="1:5">
      <c r="A336" s="189">
        <v>44581</v>
      </c>
      <c r="B336" s="190">
        <v>1248.783936</v>
      </c>
      <c r="C336" s="83">
        <v>18021.099609000001</v>
      </c>
      <c r="D336" s="165">
        <f t="shared" si="5"/>
        <v>-4.4003781238420858E-3</v>
      </c>
      <c r="E336" s="165">
        <f t="shared" si="5"/>
        <v>-8.7239952701880785E-3</v>
      </c>
    </row>
    <row r="337" spans="1:5">
      <c r="A337" s="189">
        <v>44582</v>
      </c>
      <c r="B337" s="190">
        <v>1226.2633060000001</v>
      </c>
      <c r="C337" s="83">
        <v>17856.150390999999</v>
      </c>
      <c r="D337" s="165">
        <f t="shared" si="5"/>
        <v>-1.8034048445671247E-2</v>
      </c>
      <c r="E337" s="165">
        <f t="shared" si="5"/>
        <v>-9.1531161571085651E-3</v>
      </c>
    </row>
    <row r="338" spans="1:5">
      <c r="A338" s="189">
        <v>44585</v>
      </c>
      <c r="B338" s="190">
        <v>1168.8039550000001</v>
      </c>
      <c r="C338" s="83">
        <v>17353.449218999998</v>
      </c>
      <c r="D338" s="165">
        <f t="shared" si="5"/>
        <v>-4.6857270146514529E-2</v>
      </c>
      <c r="E338" s="165">
        <f t="shared" si="5"/>
        <v>-2.8152830312931032E-2</v>
      </c>
    </row>
    <row r="339" spans="1:5">
      <c r="A339" s="189">
        <v>44586</v>
      </c>
      <c r="B339" s="190">
        <v>1166.4384769999999</v>
      </c>
      <c r="C339" s="83">
        <v>17489.150390999999</v>
      </c>
      <c r="D339" s="165">
        <f t="shared" si="5"/>
        <v>-2.023844965514443E-3</v>
      </c>
      <c r="E339" s="165">
        <f t="shared" si="5"/>
        <v>7.8198385973564655E-3</v>
      </c>
    </row>
    <row r="340" spans="1:5">
      <c r="A340" s="189">
        <v>44588</v>
      </c>
      <c r="B340" s="190">
        <v>1108.1412350000001</v>
      </c>
      <c r="C340" s="83">
        <v>17302.349609000001</v>
      </c>
      <c r="D340" s="165">
        <f t="shared" si="5"/>
        <v>-4.9978839989860746E-2</v>
      </c>
      <c r="E340" s="165">
        <f t="shared" si="5"/>
        <v>-1.0680952351815098E-2</v>
      </c>
    </row>
    <row r="341" spans="1:5">
      <c r="A341" s="189">
        <v>44589</v>
      </c>
      <c r="B341" s="190">
        <v>1124.1076660000001</v>
      </c>
      <c r="C341" s="83">
        <v>17314.699218999998</v>
      </c>
      <c r="D341" s="165">
        <f t="shared" si="5"/>
        <v>1.4408299678515313E-2</v>
      </c>
      <c r="E341" s="165">
        <f t="shared" si="5"/>
        <v>7.1375335021395259E-4</v>
      </c>
    </row>
    <row r="342" spans="1:5">
      <c r="A342" s="189">
        <v>44592</v>
      </c>
      <c r="B342" s="190">
        <v>1134.30835</v>
      </c>
      <c r="C342" s="83">
        <v>17547.400390999999</v>
      </c>
      <c r="D342" s="165">
        <f t="shared" si="5"/>
        <v>9.0744724091222917E-3</v>
      </c>
      <c r="E342" s="165">
        <f t="shared" si="5"/>
        <v>1.3439515700315985E-2</v>
      </c>
    </row>
    <row r="343" spans="1:5">
      <c r="A343" s="189">
        <v>44593</v>
      </c>
      <c r="B343" s="190">
        <v>1137.2651370000001</v>
      </c>
      <c r="C343" s="83">
        <v>17796.25</v>
      </c>
      <c r="D343" s="165">
        <f t="shared" si="5"/>
        <v>2.6066871499270672E-3</v>
      </c>
      <c r="E343" s="165">
        <f t="shared" si="5"/>
        <v>1.4181565557006115E-2</v>
      </c>
    </row>
    <row r="344" spans="1:5">
      <c r="A344" s="189">
        <v>44594</v>
      </c>
      <c r="B344" s="190">
        <v>1169.9373780000001</v>
      </c>
      <c r="C344" s="83">
        <v>17998.75</v>
      </c>
      <c r="D344" s="165">
        <f t="shared" si="5"/>
        <v>2.8728780947410604E-2</v>
      </c>
      <c r="E344" s="165">
        <f t="shared" si="5"/>
        <v>1.1378801713844311E-2</v>
      </c>
    </row>
    <row r="345" spans="1:5">
      <c r="A345" s="189">
        <v>44595</v>
      </c>
      <c r="B345" s="190">
        <v>1142.685913</v>
      </c>
      <c r="C345" s="83">
        <v>17794.699218999998</v>
      </c>
      <c r="D345" s="165">
        <f t="shared" si="5"/>
        <v>-2.329309714558081E-2</v>
      </c>
      <c r="E345" s="165">
        <f t="shared" si="5"/>
        <v>-1.1336941787624233E-2</v>
      </c>
    </row>
    <row r="346" spans="1:5">
      <c r="A346" s="189">
        <v>44596</v>
      </c>
      <c r="B346" s="190">
        <v>1134.062134</v>
      </c>
      <c r="C346" s="83">
        <v>17755.300781000002</v>
      </c>
      <c r="D346" s="165">
        <f t="shared" si="5"/>
        <v>-7.5469373533793016E-3</v>
      </c>
      <c r="E346" s="165">
        <f t="shared" si="5"/>
        <v>-2.2140547314185577E-3</v>
      </c>
    </row>
    <row r="347" spans="1:5">
      <c r="A347" s="189">
        <v>44599</v>
      </c>
      <c r="B347" s="190">
        <v>1107.4018550000001</v>
      </c>
      <c r="C347" s="83">
        <v>17477.650390999999</v>
      </c>
      <c r="D347" s="165">
        <f t="shared" si="5"/>
        <v>-2.3508658124370418E-2</v>
      </c>
      <c r="E347" s="165">
        <f t="shared" si="5"/>
        <v>-1.5637605548035394E-2</v>
      </c>
    </row>
    <row r="348" spans="1:5">
      <c r="A348" s="189">
        <v>44600</v>
      </c>
      <c r="B348" s="190">
        <v>1075.3704829999999</v>
      </c>
      <c r="C348" s="83">
        <v>17509.800781000002</v>
      </c>
      <c r="D348" s="165">
        <f t="shared" si="5"/>
        <v>-2.8924795326444652E-2</v>
      </c>
      <c r="E348" s="165">
        <f t="shared" si="5"/>
        <v>1.8395144244651718E-3</v>
      </c>
    </row>
    <row r="349" spans="1:5">
      <c r="A349" s="189">
        <v>44601</v>
      </c>
      <c r="B349" s="190">
        <v>1080.692749</v>
      </c>
      <c r="C349" s="83">
        <v>17707.849609000001</v>
      </c>
      <c r="D349" s="165">
        <f t="shared" si="5"/>
        <v>4.9492394334205159E-3</v>
      </c>
      <c r="E349" s="165">
        <f t="shared" si="5"/>
        <v>1.1310741365767152E-2</v>
      </c>
    </row>
    <row r="350" spans="1:5">
      <c r="A350" s="189">
        <v>44602</v>
      </c>
      <c r="B350" s="190">
        <v>1066.6972659999999</v>
      </c>
      <c r="C350" s="83">
        <v>17842.900390999999</v>
      </c>
      <c r="D350" s="165">
        <f t="shared" si="5"/>
        <v>-1.29504736780649E-2</v>
      </c>
      <c r="E350" s="165">
        <f t="shared" si="5"/>
        <v>7.6266054310376585E-3</v>
      </c>
    </row>
    <row r="351" spans="1:5">
      <c r="A351" s="189">
        <v>44603</v>
      </c>
      <c r="B351" s="190">
        <v>1054.969116</v>
      </c>
      <c r="C351" s="83">
        <v>17606.599609000001</v>
      </c>
      <c r="D351" s="165">
        <f t="shared" si="5"/>
        <v>-1.0994825217823245E-2</v>
      </c>
      <c r="E351" s="165">
        <f t="shared" si="5"/>
        <v>-1.324340644300126E-2</v>
      </c>
    </row>
    <row r="352" spans="1:5">
      <c r="A352" s="189">
        <v>44606</v>
      </c>
      <c r="B352" s="190">
        <v>1002.240234</v>
      </c>
      <c r="C352" s="83">
        <v>17060.699218999998</v>
      </c>
      <c r="D352" s="165">
        <f t="shared" si="5"/>
        <v>-4.998144609192523E-2</v>
      </c>
      <c r="E352" s="165">
        <f t="shared" si="5"/>
        <v>-3.1005441261977351E-2</v>
      </c>
    </row>
    <row r="353" spans="1:5">
      <c r="A353" s="189">
        <v>44607</v>
      </c>
      <c r="B353" s="190">
        <v>1003.324402</v>
      </c>
      <c r="C353" s="83">
        <v>17560.550781000002</v>
      </c>
      <c r="D353" s="165">
        <f t="shared" si="5"/>
        <v>1.0817446388806662E-3</v>
      </c>
      <c r="E353" s="165">
        <f t="shared" si="5"/>
        <v>2.9298421804619501E-2</v>
      </c>
    </row>
    <row r="354" spans="1:5">
      <c r="A354" s="189">
        <v>44608</v>
      </c>
      <c r="B354" s="190">
        <v>1053.490601</v>
      </c>
      <c r="C354" s="83">
        <v>17530.650390999999</v>
      </c>
      <c r="D354" s="165">
        <f t="shared" si="5"/>
        <v>4.9999978969912373E-2</v>
      </c>
      <c r="E354" s="165">
        <f t="shared" si="5"/>
        <v>-1.7027022883788767E-3</v>
      </c>
    </row>
    <row r="355" spans="1:5">
      <c r="A355" s="189">
        <v>44609</v>
      </c>
      <c r="B355" s="190">
        <v>1039.2982179999999</v>
      </c>
      <c r="C355" s="83">
        <v>17524.449218999998</v>
      </c>
      <c r="D355" s="165">
        <f t="shared" si="5"/>
        <v>-1.3471769929915167E-2</v>
      </c>
      <c r="E355" s="165">
        <f t="shared" si="5"/>
        <v>-3.5373313948372509E-4</v>
      </c>
    </row>
    <row r="356" spans="1:5">
      <c r="A356" s="189">
        <v>44610</v>
      </c>
      <c r="B356" s="190">
        <v>1026.8304439999999</v>
      </c>
      <c r="C356" s="83">
        <v>17472.900390999999</v>
      </c>
      <c r="D356" s="165">
        <f t="shared" si="5"/>
        <v>-1.1996339245142429E-2</v>
      </c>
      <c r="E356" s="165">
        <f t="shared" si="5"/>
        <v>-2.9415376971796414E-3</v>
      </c>
    </row>
    <row r="357" spans="1:5">
      <c r="A357" s="189">
        <v>44613</v>
      </c>
      <c r="B357" s="190">
        <v>986.22454800000003</v>
      </c>
      <c r="C357" s="83">
        <v>17379.099609000001</v>
      </c>
      <c r="D357" s="165">
        <f t="shared" si="5"/>
        <v>-3.9544889068364952E-2</v>
      </c>
      <c r="E357" s="165">
        <f t="shared" si="5"/>
        <v>-5.3683578513566976E-3</v>
      </c>
    </row>
    <row r="358" spans="1:5">
      <c r="A358" s="189">
        <v>44614</v>
      </c>
      <c r="B358" s="190">
        <v>968.18823199999997</v>
      </c>
      <c r="C358" s="83">
        <v>17276.5</v>
      </c>
      <c r="D358" s="165">
        <f t="shared" si="5"/>
        <v>-1.8288244838943202E-2</v>
      </c>
      <c r="E358" s="165">
        <f t="shared" si="5"/>
        <v>-5.9036205159251898E-3</v>
      </c>
    </row>
    <row r="359" spans="1:5">
      <c r="A359" s="189">
        <v>44615</v>
      </c>
      <c r="B359" s="190">
        <v>979.86749299999997</v>
      </c>
      <c r="C359" s="83">
        <v>17273.449218999998</v>
      </c>
      <c r="D359" s="165">
        <f t="shared" si="5"/>
        <v>1.2063006566268575E-2</v>
      </c>
      <c r="E359" s="165">
        <f t="shared" si="5"/>
        <v>-1.7658559314681632E-4</v>
      </c>
    </row>
    <row r="360" spans="1:5">
      <c r="A360" s="189">
        <v>44616</v>
      </c>
      <c r="B360" s="190">
        <v>930.88397199999997</v>
      </c>
      <c r="C360" s="83">
        <v>16428.050781000002</v>
      </c>
      <c r="D360" s="165">
        <f t="shared" si="5"/>
        <v>-4.9989943895403788E-2</v>
      </c>
      <c r="E360" s="165">
        <f t="shared" si="5"/>
        <v>-4.8942074468259489E-2</v>
      </c>
    </row>
    <row r="361" spans="1:5">
      <c r="A361" s="189">
        <v>44617</v>
      </c>
      <c r="B361" s="190">
        <v>960.50079300000004</v>
      </c>
      <c r="C361" s="83">
        <v>16872.349609000001</v>
      </c>
      <c r="D361" s="165">
        <f t="shared" si="5"/>
        <v>3.1815802925866832E-2</v>
      </c>
      <c r="E361" s="165">
        <f t="shared" si="5"/>
        <v>2.7045133590277048E-2</v>
      </c>
    </row>
    <row r="362" spans="1:5">
      <c r="A362" s="189">
        <v>44620</v>
      </c>
      <c r="B362" s="190">
        <v>963.80242899999996</v>
      </c>
      <c r="C362" s="83">
        <v>17016.550781000002</v>
      </c>
      <c r="D362" s="165">
        <f t="shared" si="5"/>
        <v>3.4374110089880894E-3</v>
      </c>
      <c r="E362" s="165">
        <f t="shared" si="5"/>
        <v>8.5465969673295117E-3</v>
      </c>
    </row>
    <row r="363" spans="1:5">
      <c r="A363" s="189">
        <v>44622</v>
      </c>
      <c r="B363" s="190">
        <v>971.98278800000003</v>
      </c>
      <c r="C363" s="83">
        <v>16855.699218999998</v>
      </c>
      <c r="D363" s="165">
        <f t="shared" si="5"/>
        <v>8.4875891094067235E-3</v>
      </c>
      <c r="E363" s="165">
        <f t="shared" si="5"/>
        <v>-9.4526537175562142E-3</v>
      </c>
    </row>
    <row r="364" spans="1:5">
      <c r="A364" s="189">
        <v>44623</v>
      </c>
      <c r="B364" s="190">
        <v>972.86975099999995</v>
      </c>
      <c r="C364" s="83">
        <v>16761.599609000001</v>
      </c>
      <c r="D364" s="165">
        <f t="shared" si="5"/>
        <v>9.1252953339315823E-4</v>
      </c>
      <c r="E364" s="165">
        <f t="shared" si="5"/>
        <v>-5.5826583505907967E-3</v>
      </c>
    </row>
    <row r="365" spans="1:5">
      <c r="A365" s="189">
        <v>44624</v>
      </c>
      <c r="B365" s="190">
        <v>962.57043499999997</v>
      </c>
      <c r="C365" s="83">
        <v>16482.849609000001</v>
      </c>
      <c r="D365" s="165">
        <f t="shared" si="5"/>
        <v>-1.0586531228269247E-2</v>
      </c>
      <c r="E365" s="165">
        <f t="shared" si="5"/>
        <v>-1.6630274347463114E-2</v>
      </c>
    </row>
    <row r="366" spans="1:5">
      <c r="A366" s="189">
        <v>44627</v>
      </c>
      <c r="B366" s="190">
        <v>934.23498500000005</v>
      </c>
      <c r="C366" s="83">
        <v>16086.950194999999</v>
      </c>
      <c r="D366" s="165">
        <f t="shared" si="5"/>
        <v>-2.9437274374627842E-2</v>
      </c>
      <c r="E366" s="165">
        <f t="shared" si="5"/>
        <v>-2.4018869515367802E-2</v>
      </c>
    </row>
    <row r="367" spans="1:5">
      <c r="A367" s="189">
        <v>44628</v>
      </c>
      <c r="B367" s="190">
        <v>943.05590800000004</v>
      </c>
      <c r="C367" s="83">
        <v>16251.650390999999</v>
      </c>
      <c r="D367" s="165">
        <f t="shared" si="5"/>
        <v>9.4418675618319625E-3</v>
      </c>
      <c r="E367" s="165">
        <f t="shared" si="5"/>
        <v>1.0238124318380226E-2</v>
      </c>
    </row>
    <row r="368" spans="1:5">
      <c r="A368" s="189">
        <v>44629</v>
      </c>
      <c r="B368" s="190">
        <v>971.58856200000002</v>
      </c>
      <c r="C368" s="83">
        <v>16571.550781000002</v>
      </c>
      <c r="D368" s="165">
        <f t="shared" si="5"/>
        <v>3.0255527543972427E-2</v>
      </c>
      <c r="E368" s="165">
        <f t="shared" si="5"/>
        <v>1.9684178671303343E-2</v>
      </c>
    </row>
    <row r="369" spans="1:5">
      <c r="A369" s="189">
        <v>44630</v>
      </c>
      <c r="B369" s="190">
        <v>1000.761841</v>
      </c>
      <c r="C369" s="83">
        <v>16835.5</v>
      </c>
      <c r="D369" s="165">
        <f t="shared" si="5"/>
        <v>3.0026371389086037E-2</v>
      </c>
      <c r="E369" s="165">
        <f t="shared" si="5"/>
        <v>1.5927852648686791E-2</v>
      </c>
    </row>
    <row r="370" spans="1:5">
      <c r="A370" s="189">
        <v>44631</v>
      </c>
      <c r="B370" s="190">
        <v>1002.733032</v>
      </c>
      <c r="C370" s="83">
        <v>16877.699218999998</v>
      </c>
      <c r="D370" s="165">
        <f t="shared" si="5"/>
        <v>1.9696904090891199E-3</v>
      </c>
      <c r="E370" s="165">
        <f t="shared" si="5"/>
        <v>2.5065616702799609E-3</v>
      </c>
    </row>
    <row r="371" spans="1:5">
      <c r="A371" s="189">
        <v>44634</v>
      </c>
      <c r="B371" s="190">
        <v>1102.966919</v>
      </c>
      <c r="C371" s="83">
        <v>17076.599609000001</v>
      </c>
      <c r="D371" s="165">
        <f t="shared" si="5"/>
        <v>9.996069123212048E-2</v>
      </c>
      <c r="E371" s="165">
        <f t="shared" si="5"/>
        <v>1.1784804754435552E-2</v>
      </c>
    </row>
    <row r="372" spans="1:5">
      <c r="A372" s="189">
        <v>44635</v>
      </c>
      <c r="B372" s="190">
        <v>1120.756592</v>
      </c>
      <c r="C372" s="83">
        <v>16873.449218999998</v>
      </c>
      <c r="D372" s="165">
        <f t="shared" si="5"/>
        <v>1.6128927072562638E-2</v>
      </c>
      <c r="E372" s="165">
        <f t="shared" si="5"/>
        <v>-1.1896419348787379E-2</v>
      </c>
    </row>
    <row r="373" spans="1:5">
      <c r="A373" s="189">
        <v>44636</v>
      </c>
      <c r="B373" s="190">
        <v>1126.4730219999999</v>
      </c>
      <c r="C373" s="83">
        <v>17198</v>
      </c>
      <c r="D373" s="165">
        <f t="shared" si="5"/>
        <v>5.1005098170324725E-3</v>
      </c>
      <c r="E373" s="165">
        <f t="shared" si="5"/>
        <v>1.9234406480125532E-2</v>
      </c>
    </row>
    <row r="374" spans="1:5">
      <c r="A374" s="189">
        <v>44637</v>
      </c>
      <c r="B374" s="190">
        <v>1142.193237</v>
      </c>
      <c r="C374" s="83">
        <v>17505.400390999999</v>
      </c>
      <c r="D374" s="165">
        <f t="shared" si="5"/>
        <v>1.3955252094798976E-2</v>
      </c>
      <c r="E374" s="165">
        <f t="shared" si="5"/>
        <v>1.7874194150482525E-2</v>
      </c>
    </row>
    <row r="375" spans="1:5">
      <c r="A375" s="189">
        <v>44641</v>
      </c>
      <c r="B375" s="190">
        <v>1131.203857</v>
      </c>
      <c r="C375" s="83">
        <v>17323.650390999999</v>
      </c>
      <c r="D375" s="165">
        <f t="shared" si="5"/>
        <v>-9.6212966808172373E-3</v>
      </c>
      <c r="E375" s="165">
        <f t="shared" si="5"/>
        <v>-1.0382510307701542E-2</v>
      </c>
    </row>
    <row r="376" spans="1:5">
      <c r="A376" s="189">
        <v>44642</v>
      </c>
      <c r="B376" s="190">
        <v>1120.2146</v>
      </c>
      <c r="C376" s="83">
        <v>17499.199218999998</v>
      </c>
      <c r="D376" s="165">
        <f t="shared" si="5"/>
        <v>-9.7146565864298928E-3</v>
      </c>
      <c r="E376" s="165">
        <f t="shared" si="5"/>
        <v>1.0133477877803498E-2</v>
      </c>
    </row>
    <row r="377" spans="1:5">
      <c r="A377" s="189">
        <v>44643</v>
      </c>
      <c r="B377" s="190">
        <v>1126.423828</v>
      </c>
      <c r="C377" s="83">
        <v>17446.050781000002</v>
      </c>
      <c r="D377" s="165">
        <f t="shared" si="5"/>
        <v>5.5428915138224788E-3</v>
      </c>
      <c r="E377" s="165">
        <f t="shared" si="5"/>
        <v>-3.0371925786346621E-3</v>
      </c>
    </row>
    <row r="378" spans="1:5">
      <c r="A378" s="189">
        <v>44644</v>
      </c>
      <c r="B378" s="190">
        <v>1116.715942</v>
      </c>
      <c r="C378" s="83">
        <v>17429.949218999998</v>
      </c>
      <c r="D378" s="165">
        <f t="shared" si="5"/>
        <v>-8.6183244340956033E-3</v>
      </c>
      <c r="E378" s="165">
        <f t="shared" si="5"/>
        <v>-9.2293449114222437E-4</v>
      </c>
    </row>
    <row r="379" spans="1:5">
      <c r="A379" s="189">
        <v>44645</v>
      </c>
      <c r="B379" s="190">
        <v>1100.6507570000001</v>
      </c>
      <c r="C379" s="83">
        <v>17370.5</v>
      </c>
      <c r="D379" s="165">
        <f t="shared" si="5"/>
        <v>-1.4386098018111637E-2</v>
      </c>
      <c r="E379" s="165">
        <f t="shared" si="5"/>
        <v>-3.4107511303127502E-3</v>
      </c>
    </row>
    <row r="380" spans="1:5">
      <c r="A380" s="189">
        <v>44648</v>
      </c>
      <c r="B380" s="190">
        <v>1062.6072999999999</v>
      </c>
      <c r="C380" s="83">
        <v>17422.150390999999</v>
      </c>
      <c r="D380" s="165">
        <f t="shared" si="5"/>
        <v>-3.4564512637681455E-2</v>
      </c>
      <c r="E380" s="165">
        <f t="shared" si="5"/>
        <v>2.9734544774184801E-3</v>
      </c>
    </row>
    <row r="381" spans="1:5">
      <c r="A381" s="189">
        <v>44649</v>
      </c>
      <c r="B381" s="190">
        <v>1044.9160159999999</v>
      </c>
      <c r="C381" s="83">
        <v>17523.599609000001</v>
      </c>
      <c r="D381" s="165">
        <f t="shared" si="5"/>
        <v>-1.6648938888336295E-2</v>
      </c>
      <c r="E381" s="165">
        <f t="shared" si="5"/>
        <v>5.8230020820166928E-3</v>
      </c>
    </row>
    <row r="382" spans="1:5">
      <c r="A382" s="189">
        <v>44650</v>
      </c>
      <c r="B382" s="190">
        <v>1059.7491460000001</v>
      </c>
      <c r="C382" s="83">
        <v>17684.300781000002</v>
      </c>
      <c r="D382" s="165">
        <f t="shared" si="5"/>
        <v>1.4195523633355966E-2</v>
      </c>
      <c r="E382" s="165">
        <f t="shared" si="5"/>
        <v>9.170557167801574E-3</v>
      </c>
    </row>
    <row r="383" spans="1:5">
      <c r="A383" s="189">
        <v>44651</v>
      </c>
      <c r="B383" s="190">
        <v>1041.417236</v>
      </c>
      <c r="C383" s="83">
        <v>17660.349609000001</v>
      </c>
      <c r="D383" s="165">
        <f t="shared" si="5"/>
        <v>-1.7298348452738588E-2</v>
      </c>
      <c r="E383" s="165">
        <f t="shared" si="5"/>
        <v>-1.3543748376940723E-3</v>
      </c>
    </row>
    <row r="384" spans="1:5">
      <c r="A384" s="189">
        <v>44652</v>
      </c>
      <c r="B384" s="190">
        <v>1068.7670900000001</v>
      </c>
      <c r="C384" s="83">
        <v>17879.5</v>
      </c>
      <c r="D384" s="165">
        <f t="shared" si="5"/>
        <v>2.6262148401776653E-2</v>
      </c>
      <c r="E384" s="165">
        <f t="shared" si="5"/>
        <v>1.2409176253697529E-2</v>
      </c>
    </row>
    <row r="385" spans="1:5">
      <c r="A385" s="189">
        <v>44655</v>
      </c>
      <c r="B385" s="190">
        <v>1094.5893550000001</v>
      </c>
      <c r="C385" s="83">
        <v>18256.099609000001</v>
      </c>
      <c r="D385" s="165">
        <f t="shared" si="5"/>
        <v>2.4160797279040525E-2</v>
      </c>
      <c r="E385" s="165">
        <f t="shared" si="5"/>
        <v>2.1063206968874981E-2</v>
      </c>
    </row>
    <row r="386" spans="1:5">
      <c r="A386" s="189">
        <v>44656</v>
      </c>
      <c r="B386" s="190">
        <v>1120.411865</v>
      </c>
      <c r="C386" s="83">
        <v>18195.099609000001</v>
      </c>
      <c r="D386" s="165">
        <f t="shared" si="5"/>
        <v>2.359104798712397E-2</v>
      </c>
      <c r="E386" s="165">
        <f t="shared" si="5"/>
        <v>-3.3413489905548266E-3</v>
      </c>
    </row>
    <row r="387" spans="1:5">
      <c r="A387" s="189">
        <v>44657</v>
      </c>
      <c r="B387" s="190">
        <v>1110.9499510000001</v>
      </c>
      <c r="C387" s="83">
        <v>18075.099609000001</v>
      </c>
      <c r="D387" s="165">
        <f t="shared" si="5"/>
        <v>-8.4450319526024886E-3</v>
      </c>
      <c r="E387" s="165">
        <f t="shared" si="5"/>
        <v>-6.5951823611145599E-3</v>
      </c>
    </row>
    <row r="388" spans="1:5">
      <c r="A388" s="189">
        <v>44658</v>
      </c>
      <c r="B388" s="190">
        <v>1128.8876949999999</v>
      </c>
      <c r="C388" s="83">
        <v>17920.800781000002</v>
      </c>
      <c r="D388" s="165">
        <f t="shared" ref="D388:E451" si="6">B388/B387-1</f>
        <v>1.6146311527223567E-2</v>
      </c>
      <c r="E388" s="165">
        <f t="shared" si="6"/>
        <v>-8.5365409506883427E-3</v>
      </c>
    </row>
    <row r="389" spans="1:5">
      <c r="A389" s="189">
        <v>44659</v>
      </c>
      <c r="B389" s="190">
        <v>1126.3745120000001</v>
      </c>
      <c r="C389" s="83">
        <v>18089.300781000002</v>
      </c>
      <c r="D389" s="165">
        <f t="shared" si="6"/>
        <v>-2.2262471378959869E-3</v>
      </c>
      <c r="E389" s="165">
        <f t="shared" si="6"/>
        <v>9.4024816222859631E-3</v>
      </c>
    </row>
    <row r="390" spans="1:5">
      <c r="A390" s="189">
        <v>44662</v>
      </c>
      <c r="B390" s="190">
        <v>1107.7962649999999</v>
      </c>
      <c r="C390" s="83">
        <v>18032.400390999999</v>
      </c>
      <c r="D390" s="165">
        <f t="shared" si="6"/>
        <v>-1.649384534368814E-2</v>
      </c>
      <c r="E390" s="165">
        <f t="shared" si="6"/>
        <v>-3.145527330706277E-3</v>
      </c>
    </row>
    <row r="391" spans="1:5">
      <c r="A391" s="189">
        <v>44663</v>
      </c>
      <c r="B391" s="190">
        <v>1080.544922</v>
      </c>
      <c r="C391" s="83">
        <v>17877.550781000002</v>
      </c>
      <c r="D391" s="165">
        <f t="shared" si="6"/>
        <v>-2.4599598194167904E-2</v>
      </c>
      <c r="E391" s="165">
        <f t="shared" si="6"/>
        <v>-8.5872987867595674E-3</v>
      </c>
    </row>
    <row r="392" spans="1:5">
      <c r="A392" s="189">
        <v>44664</v>
      </c>
      <c r="B392" s="190">
        <v>1074.138428</v>
      </c>
      <c r="C392" s="83">
        <v>17835.199218999998</v>
      </c>
      <c r="D392" s="165">
        <f t="shared" si="6"/>
        <v>-5.9289473945628446E-3</v>
      </c>
      <c r="E392" s="165">
        <f t="shared" si="6"/>
        <v>-2.3689800979345144E-3</v>
      </c>
    </row>
    <row r="393" spans="1:5">
      <c r="A393" s="189">
        <v>44669</v>
      </c>
      <c r="B393" s="190">
        <v>1042.7476810000001</v>
      </c>
      <c r="C393" s="83">
        <v>17565.949218999998</v>
      </c>
      <c r="D393" s="165">
        <f t="shared" si="6"/>
        <v>-2.9224116912424547E-2</v>
      </c>
      <c r="E393" s="165">
        <f t="shared" si="6"/>
        <v>-1.5096551302503314E-2</v>
      </c>
    </row>
    <row r="394" spans="1:5">
      <c r="A394" s="189">
        <v>44670</v>
      </c>
      <c r="B394" s="190">
        <v>991.20172100000002</v>
      </c>
      <c r="C394" s="83">
        <v>17330.400390999999</v>
      </c>
      <c r="D394" s="165">
        <f t="shared" si="6"/>
        <v>-4.9432821514949099E-2</v>
      </c>
      <c r="E394" s="165">
        <f t="shared" si="6"/>
        <v>-1.3409399347757422E-2</v>
      </c>
    </row>
    <row r="395" spans="1:5">
      <c r="A395" s="189">
        <v>44671</v>
      </c>
      <c r="B395" s="190">
        <v>1000.958923</v>
      </c>
      <c r="C395" s="83">
        <v>17496.650390999999</v>
      </c>
      <c r="D395" s="165">
        <f t="shared" si="6"/>
        <v>9.8438105920117813E-3</v>
      </c>
      <c r="E395" s="165">
        <f t="shared" si="6"/>
        <v>9.5929693630354418E-3</v>
      </c>
    </row>
    <row r="396" spans="1:5">
      <c r="A396" s="189">
        <v>44672</v>
      </c>
      <c r="B396" s="190">
        <v>1013.1309199999999</v>
      </c>
      <c r="C396" s="83">
        <v>17750.199218999998</v>
      </c>
      <c r="D396" s="165">
        <f t="shared" si="6"/>
        <v>1.2160336173955066E-2</v>
      </c>
      <c r="E396" s="165">
        <f t="shared" si="6"/>
        <v>1.4491278178045963E-2</v>
      </c>
    </row>
    <row r="397" spans="1:5">
      <c r="A397" s="189">
        <v>44673</v>
      </c>
      <c r="B397" s="190">
        <v>1008.942139</v>
      </c>
      <c r="C397" s="83">
        <v>17541.099609000001</v>
      </c>
      <c r="D397" s="165">
        <f t="shared" si="6"/>
        <v>-4.1344913251685211E-3</v>
      </c>
      <c r="E397" s="165">
        <f t="shared" si="6"/>
        <v>-1.1780127502804327E-2</v>
      </c>
    </row>
    <row r="398" spans="1:5">
      <c r="A398" s="189">
        <v>44676</v>
      </c>
      <c r="B398" s="190">
        <v>993.41925000000003</v>
      </c>
      <c r="C398" s="83">
        <v>17300.349609000001</v>
      </c>
      <c r="D398" s="165">
        <f t="shared" si="6"/>
        <v>-1.538531140684174E-2</v>
      </c>
      <c r="E398" s="165">
        <f t="shared" si="6"/>
        <v>-1.3724909234109628E-2</v>
      </c>
    </row>
    <row r="399" spans="1:5">
      <c r="A399" s="189">
        <v>44677</v>
      </c>
      <c r="B399" s="190">
        <v>995.83398399999999</v>
      </c>
      <c r="C399" s="83">
        <v>17577.800781000002</v>
      </c>
      <c r="D399" s="165">
        <f t="shared" si="6"/>
        <v>2.4307300266226406E-3</v>
      </c>
      <c r="E399" s="165">
        <f t="shared" si="6"/>
        <v>1.6037315908093763E-2</v>
      </c>
    </row>
    <row r="400" spans="1:5">
      <c r="A400" s="189">
        <v>44678</v>
      </c>
      <c r="B400" s="190">
        <v>987.06219499999997</v>
      </c>
      <c r="C400" s="83">
        <v>17398.550781000002</v>
      </c>
      <c r="D400" s="165">
        <f t="shared" si="6"/>
        <v>-8.8084852906566979E-3</v>
      </c>
      <c r="E400" s="165">
        <f t="shared" si="6"/>
        <v>-1.0197521421095646E-2</v>
      </c>
    </row>
    <row r="401" spans="1:5">
      <c r="A401" s="189">
        <v>44679</v>
      </c>
      <c r="B401" s="190">
        <v>997.11511199999995</v>
      </c>
      <c r="C401" s="83">
        <v>17615.400390999999</v>
      </c>
      <c r="D401" s="165">
        <f t="shared" si="6"/>
        <v>1.0184684461550075E-2</v>
      </c>
      <c r="E401" s="165">
        <f t="shared" si="6"/>
        <v>1.246365934321414E-2</v>
      </c>
    </row>
    <row r="402" spans="1:5">
      <c r="A402" s="189">
        <v>44680</v>
      </c>
      <c r="B402" s="190">
        <v>985.48541299999999</v>
      </c>
      <c r="C402" s="83">
        <v>17457.199218999998</v>
      </c>
      <c r="D402" s="165">
        <f t="shared" si="6"/>
        <v>-1.1663346448208212E-2</v>
      </c>
      <c r="E402" s="165">
        <f t="shared" si="6"/>
        <v>-8.9808445160762806E-3</v>
      </c>
    </row>
    <row r="403" spans="1:5">
      <c r="A403" s="189">
        <v>44683</v>
      </c>
      <c r="B403" s="190">
        <v>972.37701400000003</v>
      </c>
      <c r="C403" s="83">
        <v>17419.449218999998</v>
      </c>
      <c r="D403" s="165">
        <f t="shared" si="6"/>
        <v>-1.3301464260232487E-2</v>
      </c>
      <c r="E403" s="165">
        <f t="shared" si="6"/>
        <v>-2.1624316436117397E-3</v>
      </c>
    </row>
    <row r="404" spans="1:5">
      <c r="A404" s="189">
        <v>44685</v>
      </c>
      <c r="B404" s="190">
        <v>968.97680700000001</v>
      </c>
      <c r="C404" s="83">
        <v>17004.050781000002</v>
      </c>
      <c r="D404" s="165">
        <f t="shared" si="6"/>
        <v>-3.4967990306690178E-3</v>
      </c>
      <c r="E404" s="165">
        <f t="shared" si="6"/>
        <v>-2.3846818161558536E-2</v>
      </c>
    </row>
    <row r="405" spans="1:5">
      <c r="A405" s="189">
        <v>44686</v>
      </c>
      <c r="B405" s="190">
        <v>975.92517099999998</v>
      </c>
      <c r="C405" s="83">
        <v>17016.599609000001</v>
      </c>
      <c r="D405" s="165">
        <f t="shared" si="6"/>
        <v>7.1708259163729693E-3</v>
      </c>
      <c r="E405" s="165">
        <f t="shared" si="6"/>
        <v>7.3799050365219721E-4</v>
      </c>
    </row>
    <row r="406" spans="1:5">
      <c r="A406" s="189">
        <v>44687</v>
      </c>
      <c r="B406" s="190">
        <v>988.54058799999996</v>
      </c>
      <c r="C406" s="83">
        <v>16729.550781000002</v>
      </c>
      <c r="D406" s="165">
        <f t="shared" si="6"/>
        <v>1.2926623244150282E-2</v>
      </c>
      <c r="E406" s="165">
        <f t="shared" si="6"/>
        <v>-1.6868753722581564E-2</v>
      </c>
    </row>
    <row r="407" spans="1:5">
      <c r="A407" s="189">
        <v>44690</v>
      </c>
      <c r="B407" s="190">
        <v>969.37097200000005</v>
      </c>
      <c r="C407" s="83">
        <v>16581.800781000002</v>
      </c>
      <c r="D407" s="165">
        <f t="shared" si="6"/>
        <v>-1.9391835027010473E-2</v>
      </c>
      <c r="E407" s="165">
        <f t="shared" si="6"/>
        <v>-8.8316776663125429E-3</v>
      </c>
    </row>
    <row r="408" spans="1:5">
      <c r="A408" s="189">
        <v>44691</v>
      </c>
      <c r="B408" s="190">
        <v>943.99218800000006</v>
      </c>
      <c r="C408" s="83">
        <v>16466.25</v>
      </c>
      <c r="D408" s="165">
        <f t="shared" si="6"/>
        <v>-2.6180672552674644E-2</v>
      </c>
      <c r="E408" s="165">
        <f t="shared" si="6"/>
        <v>-6.9685302896899115E-3</v>
      </c>
    </row>
    <row r="409" spans="1:5">
      <c r="A409" s="189">
        <v>44692</v>
      </c>
      <c r="B409" s="190">
        <v>878.35235599999999</v>
      </c>
      <c r="C409" s="83">
        <v>16399.699218999998</v>
      </c>
      <c r="D409" s="165">
        <f t="shared" si="6"/>
        <v>-6.9534295764744236E-2</v>
      </c>
      <c r="E409" s="165">
        <f t="shared" si="6"/>
        <v>-4.0416476732711981E-3</v>
      </c>
    </row>
    <row r="410" spans="1:5">
      <c r="A410" s="189">
        <v>44693</v>
      </c>
      <c r="B410" s="190">
        <v>848.98199499999998</v>
      </c>
      <c r="C410" s="83">
        <v>16023.900390999999</v>
      </c>
      <c r="D410" s="165">
        <f t="shared" si="6"/>
        <v>-3.343801698643134E-2</v>
      </c>
      <c r="E410" s="165">
        <f t="shared" si="6"/>
        <v>-2.291498295070038E-2</v>
      </c>
    </row>
    <row r="411" spans="1:5">
      <c r="A411" s="189">
        <v>44694</v>
      </c>
      <c r="B411" s="190">
        <v>900.084473</v>
      </c>
      <c r="C411" s="83">
        <v>15986.5</v>
      </c>
      <c r="D411" s="165">
        <f t="shared" si="6"/>
        <v>6.0192652259957624E-2</v>
      </c>
      <c r="E411" s="165">
        <f t="shared" si="6"/>
        <v>-2.3340379113317988E-3</v>
      </c>
    </row>
    <row r="412" spans="1:5">
      <c r="A412" s="189">
        <v>44697</v>
      </c>
      <c r="B412" s="190">
        <v>910.33453399999996</v>
      </c>
      <c r="C412" s="83">
        <v>16079</v>
      </c>
      <c r="D412" s="165">
        <f t="shared" si="6"/>
        <v>1.1387887812169817E-2</v>
      </c>
      <c r="E412" s="165">
        <f t="shared" si="6"/>
        <v>5.7861320489163148E-3</v>
      </c>
    </row>
    <row r="413" spans="1:5">
      <c r="A413" s="189">
        <v>44698</v>
      </c>
      <c r="B413" s="190">
        <v>931.03179899999998</v>
      </c>
      <c r="C413" s="83">
        <v>16498.5</v>
      </c>
      <c r="D413" s="165">
        <f t="shared" si="6"/>
        <v>2.2735889090196748E-2</v>
      </c>
      <c r="E413" s="165">
        <f t="shared" si="6"/>
        <v>2.608993096585599E-2</v>
      </c>
    </row>
    <row r="414" spans="1:5">
      <c r="A414" s="189">
        <v>44699</v>
      </c>
      <c r="B414" s="190">
        <v>932.95361300000002</v>
      </c>
      <c r="C414" s="83">
        <v>16485.800781000002</v>
      </c>
      <c r="D414" s="165">
        <f t="shared" si="6"/>
        <v>2.0641765426963055E-3</v>
      </c>
      <c r="E414" s="165">
        <f t="shared" si="6"/>
        <v>-7.6971961087357599E-4</v>
      </c>
    </row>
    <row r="415" spans="1:5">
      <c r="A415" s="189">
        <v>44700</v>
      </c>
      <c r="B415" s="190">
        <v>900.13372800000002</v>
      </c>
      <c r="C415" s="83">
        <v>16047.349609000001</v>
      </c>
      <c r="D415" s="165">
        <f t="shared" si="6"/>
        <v>-3.5178474623689615E-2</v>
      </c>
      <c r="E415" s="165">
        <f t="shared" si="6"/>
        <v>-2.6595685452254103E-2</v>
      </c>
    </row>
    <row r="416" spans="1:5">
      <c r="A416" s="189">
        <v>44701</v>
      </c>
      <c r="B416" s="190">
        <v>897.620544</v>
      </c>
      <c r="C416" s="83">
        <v>16476.699218999998</v>
      </c>
      <c r="D416" s="165">
        <f t="shared" si="6"/>
        <v>-2.7920118109384662E-3</v>
      </c>
      <c r="E416" s="165">
        <f t="shared" si="6"/>
        <v>2.6755172689650886E-2</v>
      </c>
    </row>
    <row r="417" spans="1:5">
      <c r="A417" s="189">
        <v>44704</v>
      </c>
      <c r="B417" s="190">
        <v>912.502747</v>
      </c>
      <c r="C417" s="83">
        <v>16409.75</v>
      </c>
      <c r="D417" s="165">
        <f t="shared" si="6"/>
        <v>1.6579614960327893E-2</v>
      </c>
      <c r="E417" s="165">
        <f t="shared" si="6"/>
        <v>-4.0632664413025044E-3</v>
      </c>
    </row>
    <row r="418" spans="1:5">
      <c r="A418" s="189">
        <v>44705</v>
      </c>
      <c r="B418" s="190">
        <v>892.98821999999996</v>
      </c>
      <c r="C418" s="83">
        <v>16312.299805000001</v>
      </c>
      <c r="D418" s="165">
        <f t="shared" si="6"/>
        <v>-2.1385718633896933E-2</v>
      </c>
      <c r="E418" s="165">
        <f t="shared" si="6"/>
        <v>-5.9385545178932686E-3</v>
      </c>
    </row>
    <row r="419" spans="1:5">
      <c r="A419" s="189">
        <v>44706</v>
      </c>
      <c r="B419" s="190">
        <v>866.82104500000003</v>
      </c>
      <c r="C419" s="83">
        <v>16187.150390999999</v>
      </c>
      <c r="D419" s="165">
        <f t="shared" si="6"/>
        <v>-2.9302934141729131E-2</v>
      </c>
      <c r="E419" s="165">
        <f t="shared" si="6"/>
        <v>-7.6720888836068202E-3</v>
      </c>
    </row>
    <row r="420" spans="1:5">
      <c r="A420" s="189">
        <v>44707</v>
      </c>
      <c r="B420" s="190">
        <v>829.07318099999998</v>
      </c>
      <c r="C420" s="83">
        <v>16341.900390999999</v>
      </c>
      <c r="D420" s="165">
        <f t="shared" si="6"/>
        <v>-4.354747063161124E-2</v>
      </c>
      <c r="E420" s="165">
        <f t="shared" si="6"/>
        <v>9.5600520327556726E-3</v>
      </c>
    </row>
    <row r="421" spans="1:5">
      <c r="A421" s="189">
        <v>44708</v>
      </c>
      <c r="B421" s="190">
        <v>845.28601100000003</v>
      </c>
      <c r="C421" s="83">
        <v>16516.800781000002</v>
      </c>
      <c r="D421" s="165">
        <f t="shared" si="6"/>
        <v>1.9555366608825286E-2</v>
      </c>
      <c r="E421" s="165">
        <f t="shared" si="6"/>
        <v>1.0702573496061962E-2</v>
      </c>
    </row>
    <row r="422" spans="1:5">
      <c r="A422" s="189">
        <v>44711</v>
      </c>
      <c r="B422" s="190">
        <v>883.37884499999996</v>
      </c>
      <c r="C422" s="83">
        <v>16838.150390999999</v>
      </c>
      <c r="D422" s="165">
        <f t="shared" si="6"/>
        <v>4.5065023559226924E-2</v>
      </c>
      <c r="E422" s="165">
        <f t="shared" si="6"/>
        <v>1.945592335106805E-2</v>
      </c>
    </row>
    <row r="423" spans="1:5">
      <c r="A423" s="189">
        <v>44712</v>
      </c>
      <c r="B423" s="190">
        <v>892.05194100000006</v>
      </c>
      <c r="C423" s="83">
        <v>16767.5</v>
      </c>
      <c r="D423" s="165">
        <f t="shared" si="6"/>
        <v>9.8180933911771184E-3</v>
      </c>
      <c r="E423" s="165">
        <f t="shared" si="6"/>
        <v>-4.1958522378896523E-3</v>
      </c>
    </row>
    <row r="424" spans="1:5">
      <c r="A424" s="189">
        <v>44713</v>
      </c>
      <c r="B424" s="190">
        <v>976.81213400000001</v>
      </c>
      <c r="C424" s="83">
        <v>16688.949218999998</v>
      </c>
      <c r="D424" s="165">
        <f t="shared" si="6"/>
        <v>9.5017105063392115E-2</v>
      </c>
      <c r="E424" s="165">
        <f t="shared" si="6"/>
        <v>-4.6847043983898606E-3</v>
      </c>
    </row>
    <row r="425" spans="1:5">
      <c r="A425" s="189">
        <v>44714</v>
      </c>
      <c r="B425" s="190">
        <v>957.642517</v>
      </c>
      <c r="C425" s="83">
        <v>16794.75</v>
      </c>
      <c r="D425" s="165">
        <f t="shared" si="6"/>
        <v>-1.9624671247173486E-2</v>
      </c>
      <c r="E425" s="165">
        <f t="shared" si="6"/>
        <v>6.3395711504443675E-3</v>
      </c>
    </row>
    <row r="426" spans="1:5">
      <c r="A426" s="189">
        <v>44715</v>
      </c>
      <c r="B426" s="190">
        <v>934.08709699999997</v>
      </c>
      <c r="C426" s="83">
        <v>16721.5</v>
      </c>
      <c r="D426" s="165">
        <f t="shared" si="6"/>
        <v>-2.459729970406066E-2</v>
      </c>
      <c r="E426" s="165">
        <f t="shared" si="6"/>
        <v>-4.3614820107473751E-3</v>
      </c>
    </row>
    <row r="427" spans="1:5">
      <c r="A427" s="189">
        <v>44718</v>
      </c>
      <c r="B427" s="190">
        <v>907.32843000000003</v>
      </c>
      <c r="C427" s="83">
        <v>16701.199218999998</v>
      </c>
      <c r="D427" s="165">
        <f t="shared" si="6"/>
        <v>-2.8646865036398128E-2</v>
      </c>
      <c r="E427" s="165">
        <f t="shared" si="6"/>
        <v>-1.2140526268576979E-3</v>
      </c>
    </row>
    <row r="428" spans="1:5">
      <c r="A428" s="189">
        <v>44719</v>
      </c>
      <c r="B428" s="190">
        <v>905.35723900000005</v>
      </c>
      <c r="C428" s="83">
        <v>16550.699218999998</v>
      </c>
      <c r="D428" s="165">
        <f t="shared" si="6"/>
        <v>-2.1725220271120449E-3</v>
      </c>
      <c r="E428" s="165">
        <f t="shared" si="6"/>
        <v>-9.0113289486891679E-3</v>
      </c>
    </row>
    <row r="429" spans="1:5">
      <c r="A429" s="189">
        <v>44720</v>
      </c>
      <c r="B429" s="190">
        <v>899.93652299999997</v>
      </c>
      <c r="C429" s="83">
        <v>16492.199218999998</v>
      </c>
      <c r="D429" s="165">
        <f t="shared" si="6"/>
        <v>-5.9873779835101226E-3</v>
      </c>
      <c r="E429" s="165">
        <f t="shared" si="6"/>
        <v>-3.5345938697769475E-3</v>
      </c>
    </row>
    <row r="430" spans="1:5">
      <c r="A430" s="189">
        <v>44721</v>
      </c>
      <c r="B430" s="190">
        <v>893.72735599999999</v>
      </c>
      <c r="C430" s="83">
        <v>16616.400390999999</v>
      </c>
      <c r="D430" s="165">
        <f t="shared" si="6"/>
        <v>-6.8995610704867261E-3</v>
      </c>
      <c r="E430" s="165">
        <f t="shared" si="6"/>
        <v>7.5309041778317543E-3</v>
      </c>
    </row>
    <row r="431" spans="1:5">
      <c r="A431" s="189">
        <v>44722</v>
      </c>
      <c r="B431" s="190">
        <v>880.37280299999998</v>
      </c>
      <c r="C431" s="83">
        <v>16353.5</v>
      </c>
      <c r="D431" s="165">
        <f t="shared" si="6"/>
        <v>-1.4942535786047983E-2</v>
      </c>
      <c r="E431" s="165">
        <f t="shared" si="6"/>
        <v>-1.5821741461068517E-2</v>
      </c>
    </row>
    <row r="432" spans="1:5">
      <c r="A432" s="189">
        <v>44725</v>
      </c>
      <c r="B432" s="190">
        <v>855.4375</v>
      </c>
      <c r="C432" s="83">
        <v>15936.049805000001</v>
      </c>
      <c r="D432" s="165">
        <f t="shared" si="6"/>
        <v>-2.8323572599050384E-2</v>
      </c>
      <c r="E432" s="165">
        <f t="shared" si="6"/>
        <v>-2.5526657596233182E-2</v>
      </c>
    </row>
    <row r="433" spans="1:5">
      <c r="A433" s="189">
        <v>44726</v>
      </c>
      <c r="B433" s="190">
        <v>858.34497099999999</v>
      </c>
      <c r="C433" s="83">
        <v>15905.599609000001</v>
      </c>
      <c r="D433" s="165">
        <f t="shared" si="6"/>
        <v>3.3988117191494638E-3</v>
      </c>
      <c r="E433" s="165">
        <f t="shared" si="6"/>
        <v>-1.9107743997164306E-3</v>
      </c>
    </row>
    <row r="434" spans="1:5">
      <c r="A434" s="189">
        <v>44727</v>
      </c>
      <c r="B434" s="190">
        <v>863.12506099999996</v>
      </c>
      <c r="C434" s="83">
        <v>15874.900390999999</v>
      </c>
      <c r="D434" s="165">
        <f t="shared" si="6"/>
        <v>5.5689613867382359E-3</v>
      </c>
      <c r="E434" s="165">
        <f t="shared" si="6"/>
        <v>-1.9300886954699559E-3</v>
      </c>
    </row>
    <row r="435" spans="1:5">
      <c r="A435" s="189">
        <v>44728</v>
      </c>
      <c r="B435" s="190">
        <v>848.93267800000001</v>
      </c>
      <c r="C435" s="83">
        <v>15543.349609000001</v>
      </c>
      <c r="D435" s="165">
        <f t="shared" si="6"/>
        <v>-1.6443020416481602E-2</v>
      </c>
      <c r="E435" s="165">
        <f t="shared" si="6"/>
        <v>-2.0885219675958799E-2</v>
      </c>
    </row>
    <row r="436" spans="1:5">
      <c r="A436" s="189">
        <v>44729</v>
      </c>
      <c r="B436" s="190">
        <v>814.58508300000005</v>
      </c>
      <c r="C436" s="83">
        <v>15445.799805000001</v>
      </c>
      <c r="D436" s="165">
        <f t="shared" si="6"/>
        <v>-4.0459739494207558E-2</v>
      </c>
      <c r="E436" s="165">
        <f t="shared" si="6"/>
        <v>-6.2759833918627494E-3</v>
      </c>
    </row>
    <row r="437" spans="1:5">
      <c r="A437" s="189">
        <v>44732</v>
      </c>
      <c r="B437" s="190">
        <v>809.55853300000001</v>
      </c>
      <c r="C437" s="83">
        <v>15481.950194999999</v>
      </c>
      <c r="D437" s="165">
        <f t="shared" si="6"/>
        <v>-6.1706875130685956E-3</v>
      </c>
      <c r="E437" s="165">
        <f t="shared" si="6"/>
        <v>2.3404673410500898E-3</v>
      </c>
    </row>
    <row r="438" spans="1:5">
      <c r="A438" s="189">
        <v>44733</v>
      </c>
      <c r="B438" s="190">
        <v>835.23303199999998</v>
      </c>
      <c r="C438" s="83">
        <v>15793.150390999999</v>
      </c>
      <c r="D438" s="165">
        <f t="shared" si="6"/>
        <v>3.1714197248786213E-2</v>
      </c>
      <c r="E438" s="165">
        <f t="shared" si="6"/>
        <v>2.0100839498921941E-2</v>
      </c>
    </row>
    <row r="439" spans="1:5">
      <c r="A439" s="189">
        <v>44734</v>
      </c>
      <c r="B439" s="190">
        <v>833.95178199999998</v>
      </c>
      <c r="C439" s="83">
        <v>15555.299805000001</v>
      </c>
      <c r="D439" s="165">
        <f t="shared" si="6"/>
        <v>-1.5340030277921635E-3</v>
      </c>
      <c r="E439" s="165">
        <f t="shared" si="6"/>
        <v>-1.5060363519082465E-2</v>
      </c>
    </row>
    <row r="440" spans="1:5">
      <c r="A440" s="189">
        <v>44735</v>
      </c>
      <c r="B440" s="190">
        <v>839.13836700000002</v>
      </c>
      <c r="C440" s="83">
        <v>15704.799805000001</v>
      </c>
      <c r="D440" s="165">
        <f t="shared" si="6"/>
        <v>6.2192864287207161E-3</v>
      </c>
      <c r="E440" s="165">
        <f t="shared" si="6"/>
        <v>9.6108722990955187E-3</v>
      </c>
    </row>
    <row r="441" spans="1:5">
      <c r="A441" s="189">
        <v>44736</v>
      </c>
      <c r="B441" s="190">
        <v>858.10632299999997</v>
      </c>
      <c r="C441" s="83">
        <v>15858.299805000001</v>
      </c>
      <c r="D441" s="165">
        <f t="shared" si="6"/>
        <v>2.2604086222171249E-2</v>
      </c>
      <c r="E441" s="165">
        <f t="shared" si="6"/>
        <v>9.7740819307439164E-3</v>
      </c>
    </row>
    <row r="442" spans="1:5">
      <c r="A442" s="189">
        <v>44739</v>
      </c>
      <c r="B442" s="190">
        <v>867.04705799999999</v>
      </c>
      <c r="C442" s="83">
        <v>15990.299805000001</v>
      </c>
      <c r="D442" s="165">
        <f t="shared" si="6"/>
        <v>1.0419145926745532E-2</v>
      </c>
      <c r="E442" s="165">
        <f t="shared" si="6"/>
        <v>8.3237170203063204E-3</v>
      </c>
    </row>
    <row r="443" spans="1:5">
      <c r="A443" s="189">
        <v>44740</v>
      </c>
      <c r="B443" s="190">
        <v>851.33917199999996</v>
      </c>
      <c r="C443" s="83">
        <v>16008.849609000001</v>
      </c>
      <c r="D443" s="165">
        <f t="shared" si="6"/>
        <v>-1.8116532263235063E-2</v>
      </c>
      <c r="E443" s="165">
        <f t="shared" si="6"/>
        <v>1.1600660541837282E-3</v>
      </c>
    </row>
    <row r="444" spans="1:5">
      <c r="A444" s="189">
        <v>44741</v>
      </c>
      <c r="B444" s="190">
        <v>831.67956500000003</v>
      </c>
      <c r="C444" s="83">
        <v>15952.75</v>
      </c>
      <c r="D444" s="165">
        <f t="shared" si="6"/>
        <v>-2.3092567153717103E-2</v>
      </c>
      <c r="E444" s="165">
        <f t="shared" si="6"/>
        <v>-3.5042873392016061E-3</v>
      </c>
    </row>
    <row r="445" spans="1:5">
      <c r="A445" s="189">
        <v>44742</v>
      </c>
      <c r="B445" s="190">
        <v>818.93536400000005</v>
      </c>
      <c r="C445" s="83">
        <v>15929.400390999999</v>
      </c>
      <c r="D445" s="165">
        <f t="shared" si="6"/>
        <v>-1.5323450925477489E-2</v>
      </c>
      <c r="E445" s="165">
        <f t="shared" si="6"/>
        <v>-1.4636729717447672E-3</v>
      </c>
    </row>
    <row r="446" spans="1:5">
      <c r="A446" s="189">
        <v>44743</v>
      </c>
      <c r="B446" s="190">
        <v>805.45031700000004</v>
      </c>
      <c r="C446" s="83">
        <v>15925.950194999999</v>
      </c>
      <c r="D446" s="165">
        <f t="shared" si="6"/>
        <v>-1.6466558403502973E-2</v>
      </c>
      <c r="E446" s="165">
        <f t="shared" si="6"/>
        <v>-2.1659296114806548E-4</v>
      </c>
    </row>
    <row r="447" spans="1:5">
      <c r="A447" s="189">
        <v>44746</v>
      </c>
      <c r="B447" s="190">
        <v>815.97161900000003</v>
      </c>
      <c r="C447" s="83">
        <v>16018.150390999999</v>
      </c>
      <c r="D447" s="165">
        <f t="shared" si="6"/>
        <v>1.3062633135694668E-2</v>
      </c>
      <c r="E447" s="165">
        <f t="shared" si="6"/>
        <v>5.7893058103966055E-3</v>
      </c>
    </row>
    <row r="448" spans="1:5">
      <c r="A448" s="189">
        <v>44747</v>
      </c>
      <c r="B448" s="190">
        <v>815.625854</v>
      </c>
      <c r="C448" s="83">
        <v>16001.599609000001</v>
      </c>
      <c r="D448" s="165">
        <f t="shared" si="6"/>
        <v>-4.2374635581543529E-4</v>
      </c>
      <c r="E448" s="165">
        <f t="shared" si="6"/>
        <v>-1.0332517547905207E-3</v>
      </c>
    </row>
    <row r="449" spans="1:5">
      <c r="A449" s="189">
        <v>44748</v>
      </c>
      <c r="B449" s="190">
        <v>813.106628</v>
      </c>
      <c r="C449" s="83">
        <v>16196.25</v>
      </c>
      <c r="D449" s="165">
        <f t="shared" si="6"/>
        <v>-3.0887029728706716E-3</v>
      </c>
      <c r="E449" s="165">
        <f t="shared" si="6"/>
        <v>1.2164433291439236E-2</v>
      </c>
    </row>
    <row r="450" spans="1:5">
      <c r="A450" s="189">
        <v>44749</v>
      </c>
      <c r="B450" s="190">
        <v>816.91021699999999</v>
      </c>
      <c r="C450" s="83">
        <v>16339.099609000001</v>
      </c>
      <c r="D450" s="165">
        <f t="shared" si="6"/>
        <v>4.6778477373325966E-3</v>
      </c>
      <c r="E450" s="165">
        <f t="shared" si="6"/>
        <v>8.8199187466235784E-3</v>
      </c>
    </row>
    <row r="451" spans="1:5">
      <c r="A451" s="189">
        <v>44750</v>
      </c>
      <c r="B451" s="190">
        <v>818.83654799999999</v>
      </c>
      <c r="C451" s="83">
        <v>16424</v>
      </c>
      <c r="D451" s="165">
        <f t="shared" si="6"/>
        <v>2.3580694180496131E-3</v>
      </c>
      <c r="E451" s="165">
        <f t="shared" si="6"/>
        <v>5.196148688219937E-3</v>
      </c>
    </row>
    <row r="452" spans="1:5">
      <c r="A452" s="189">
        <v>44753</v>
      </c>
      <c r="B452" s="190">
        <v>823.72680700000001</v>
      </c>
      <c r="C452" s="83">
        <v>16465.099609000001</v>
      </c>
      <c r="D452" s="165">
        <f t="shared" ref="D452:E469" si="7">B452/B451-1</f>
        <v>5.9722041131951009E-3</v>
      </c>
      <c r="E452" s="165">
        <f t="shared" si="7"/>
        <v>2.5024116536775942E-3</v>
      </c>
    </row>
    <row r="453" spans="1:5">
      <c r="A453" s="189">
        <v>44754</v>
      </c>
      <c r="B453" s="190">
        <v>826.29540999999995</v>
      </c>
      <c r="C453" s="83">
        <v>16323.5</v>
      </c>
      <c r="D453" s="165">
        <f t="shared" si="7"/>
        <v>3.1182704971746134E-3</v>
      </c>
      <c r="E453" s="165">
        <f t="shared" si="7"/>
        <v>-8.5999849598602518E-3</v>
      </c>
    </row>
    <row r="454" spans="1:5">
      <c r="A454" s="189">
        <v>44755</v>
      </c>
      <c r="B454" s="190">
        <v>825.30749500000002</v>
      </c>
      <c r="C454" s="83">
        <v>16237.25</v>
      </c>
      <c r="D454" s="165">
        <f t="shared" si="7"/>
        <v>-1.1955954106049882E-3</v>
      </c>
      <c r="E454" s="165">
        <f t="shared" si="7"/>
        <v>-5.2837933041320895E-3</v>
      </c>
    </row>
    <row r="455" spans="1:5">
      <c r="A455" s="189">
        <v>44756</v>
      </c>
      <c r="B455" s="190">
        <v>818.93536400000005</v>
      </c>
      <c r="C455" s="83">
        <v>16213.049805000001</v>
      </c>
      <c r="D455" s="165">
        <f t="shared" si="7"/>
        <v>-7.720917401822458E-3</v>
      </c>
      <c r="E455" s="165">
        <f t="shared" si="7"/>
        <v>-1.4904121695483719E-3</v>
      </c>
    </row>
    <row r="456" spans="1:5">
      <c r="A456" s="189">
        <v>44757</v>
      </c>
      <c r="B456" s="190">
        <v>818.145081</v>
      </c>
      <c r="C456" s="83">
        <v>16317.200194999999</v>
      </c>
      <c r="D456" s="165">
        <f t="shared" si="7"/>
        <v>-9.650126673489412E-4</v>
      </c>
      <c r="E456" s="165">
        <f t="shared" si="7"/>
        <v>6.42386171958087E-3</v>
      </c>
    </row>
    <row r="457" spans="1:5">
      <c r="A457" s="189">
        <v>44760</v>
      </c>
      <c r="B457" s="190">
        <v>846.10314900000003</v>
      </c>
      <c r="C457" s="83">
        <v>16548.150390999999</v>
      </c>
      <c r="D457" s="165">
        <f t="shared" si="7"/>
        <v>3.4172506379708922E-2</v>
      </c>
      <c r="E457" s="165">
        <f t="shared" si="7"/>
        <v>1.4153788225921726E-2</v>
      </c>
    </row>
    <row r="458" spans="1:5">
      <c r="A458" s="189">
        <v>44761</v>
      </c>
      <c r="B458" s="190">
        <v>870.10949700000003</v>
      </c>
      <c r="C458" s="83">
        <v>16614.050781000002</v>
      </c>
      <c r="D458" s="165">
        <f t="shared" si="7"/>
        <v>2.8372838498914588E-2</v>
      </c>
      <c r="E458" s="165">
        <f t="shared" si="7"/>
        <v>3.9823417386781745E-3</v>
      </c>
    </row>
    <row r="459" spans="1:5">
      <c r="A459" s="189">
        <v>44762</v>
      </c>
      <c r="B459" s="190">
        <v>900.98199499999998</v>
      </c>
      <c r="C459" s="83">
        <v>16773.699218999998</v>
      </c>
      <c r="D459" s="165">
        <f t="shared" si="7"/>
        <v>3.5481164274661303E-2</v>
      </c>
      <c r="E459" s="165">
        <f t="shared" si="7"/>
        <v>9.6092422073592587E-3</v>
      </c>
    </row>
    <row r="460" spans="1:5">
      <c r="A460" s="189">
        <v>44763</v>
      </c>
      <c r="B460" s="190">
        <v>958.18261700000005</v>
      </c>
      <c r="C460" s="83">
        <v>16881.699218999998</v>
      </c>
      <c r="D460" s="165">
        <f t="shared" si="7"/>
        <v>6.3486975674802437E-2</v>
      </c>
      <c r="E460" s="165">
        <f t="shared" si="7"/>
        <v>6.4386512831746678E-3</v>
      </c>
    </row>
    <row r="461" spans="1:5">
      <c r="A461" s="189">
        <v>44764</v>
      </c>
      <c r="B461" s="190">
        <v>986.53576699999996</v>
      </c>
      <c r="C461" s="83">
        <v>16970.699218999998</v>
      </c>
      <c r="D461" s="165">
        <f t="shared" si="7"/>
        <v>2.9590549334709948E-2</v>
      </c>
      <c r="E461" s="165">
        <f t="shared" si="7"/>
        <v>5.2719811462955679E-3</v>
      </c>
    </row>
    <row r="462" spans="1:5">
      <c r="A462" s="189">
        <v>44767</v>
      </c>
      <c r="B462" s="190">
        <v>959.17053199999998</v>
      </c>
      <c r="C462" s="83">
        <v>16892.099609000001</v>
      </c>
      <c r="D462" s="165">
        <f t="shared" si="7"/>
        <v>-2.7738715529003199E-2</v>
      </c>
      <c r="E462" s="165">
        <f t="shared" si="7"/>
        <v>-4.6314891912054845E-3</v>
      </c>
    </row>
    <row r="463" spans="1:5">
      <c r="A463" s="189">
        <v>44768</v>
      </c>
      <c r="B463" s="190">
        <v>929.63165300000003</v>
      </c>
      <c r="C463" s="83">
        <v>16733.300781000002</v>
      </c>
      <c r="D463" s="165">
        <f t="shared" si="7"/>
        <v>-3.079627450439637E-2</v>
      </c>
      <c r="E463" s="165">
        <f t="shared" si="7"/>
        <v>-9.4007750176533511E-3</v>
      </c>
    </row>
    <row r="464" spans="1:5">
      <c r="A464" s="189">
        <v>44769</v>
      </c>
      <c r="B464" s="190">
        <v>938.127747</v>
      </c>
      <c r="C464" s="83">
        <v>16889.550781000002</v>
      </c>
      <c r="D464" s="165">
        <f t="shared" si="7"/>
        <v>9.1392047297254031E-3</v>
      </c>
      <c r="E464" s="165">
        <f t="shared" si="7"/>
        <v>9.3376675675020948E-3</v>
      </c>
    </row>
    <row r="465" spans="1:5">
      <c r="A465" s="189">
        <v>44770</v>
      </c>
      <c r="B465" s="190">
        <v>952.05743399999994</v>
      </c>
      <c r="C465" s="83">
        <v>17169.699218999998</v>
      </c>
      <c r="D465" s="165">
        <f t="shared" si="7"/>
        <v>1.4848390365326258E-2</v>
      </c>
      <c r="E465" s="165">
        <f t="shared" si="7"/>
        <v>1.6587086396350426E-2</v>
      </c>
    </row>
    <row r="466" spans="1:5">
      <c r="A466" s="189">
        <v>44771</v>
      </c>
      <c r="B466" s="190">
        <v>956.25610400000005</v>
      </c>
      <c r="C466" s="83">
        <v>17400.75</v>
      </c>
      <c r="D466" s="165">
        <f t="shared" si="7"/>
        <v>4.41010158637134E-3</v>
      </c>
      <c r="E466" s="165">
        <f t="shared" si="7"/>
        <v>1.3456891588661035E-2</v>
      </c>
    </row>
    <row r="467" spans="1:5">
      <c r="A467" s="189">
        <v>44774</v>
      </c>
      <c r="B467" s="190">
        <v>962.48004200000003</v>
      </c>
      <c r="C467" s="83">
        <v>17598.800781000002</v>
      </c>
      <c r="D467" s="165">
        <f t="shared" si="7"/>
        <v>6.508651786864883E-3</v>
      </c>
      <c r="E467" s="165">
        <f t="shared" si="7"/>
        <v>1.1381738200939795E-2</v>
      </c>
    </row>
    <row r="468" spans="1:5">
      <c r="A468" s="189">
        <v>44775</v>
      </c>
      <c r="B468" s="190">
        <v>957.98498500000005</v>
      </c>
      <c r="C468" s="83">
        <v>17618.25</v>
      </c>
      <c r="D468" s="165">
        <f t="shared" si="7"/>
        <v>-4.6702859320172374E-3</v>
      </c>
      <c r="E468" s="165">
        <f t="shared" si="7"/>
        <v>1.1051445630885226E-3</v>
      </c>
    </row>
    <row r="469" spans="1:5">
      <c r="A469" s="189">
        <v>44776</v>
      </c>
      <c r="B469" s="190">
        <v>961.78845200000001</v>
      </c>
      <c r="C469" s="83">
        <v>17646</v>
      </c>
      <c r="D469" s="165">
        <f t="shared" si="7"/>
        <v>3.9702783024306854E-3</v>
      </c>
      <c r="E469" s="165">
        <f t="shared" si="7"/>
        <v>1.5750713039035524E-3</v>
      </c>
    </row>
    <row r="470" spans="1:5">
      <c r="A470" s="189">
        <v>44777</v>
      </c>
      <c r="B470" s="190">
        <v>957.04644800000005</v>
      </c>
      <c r="C470" s="83">
        <v>17652.949218999998</v>
      </c>
      <c r="D470" s="165">
        <f t="shared" ref="D470:D533" si="8">B470/B469-1</f>
        <v>-4.9304023043104106E-3</v>
      </c>
      <c r="E470" s="165">
        <f t="shared" ref="E470:E533" si="9">C470/C469-1</f>
        <v>3.9381270542881985E-4</v>
      </c>
    </row>
    <row r="471" spans="1:5">
      <c r="A471" s="189">
        <v>44778</v>
      </c>
      <c r="B471" s="190">
        <v>958.77533000000005</v>
      </c>
      <c r="C471" s="83">
        <v>17655.5</v>
      </c>
      <c r="D471" s="165">
        <f t="shared" si="8"/>
        <v>1.8064765859724385E-3</v>
      </c>
      <c r="E471" s="165">
        <f t="shared" si="9"/>
        <v>1.4449602547172979E-4</v>
      </c>
    </row>
    <row r="472" spans="1:5">
      <c r="A472" s="189">
        <v>44781</v>
      </c>
      <c r="B472" s="190">
        <v>956.79949999999997</v>
      </c>
      <c r="C472" s="83">
        <v>17784.800781000002</v>
      </c>
      <c r="D472" s="165">
        <f t="shared" si="8"/>
        <v>-2.0607851893729157E-3</v>
      </c>
      <c r="E472" s="165">
        <f t="shared" si="9"/>
        <v>7.3235411628105318E-3</v>
      </c>
    </row>
    <row r="473" spans="1:5">
      <c r="A473" s="189">
        <v>44783</v>
      </c>
      <c r="B473" s="190">
        <v>952.74908400000004</v>
      </c>
      <c r="C473" s="83">
        <v>17784.900390999999</v>
      </c>
      <c r="D473" s="165">
        <f t="shared" si="8"/>
        <v>-4.2332965265972078E-3</v>
      </c>
      <c r="E473" s="165">
        <f t="shared" si="9"/>
        <v>5.6008499180748572E-6</v>
      </c>
    </row>
    <row r="474" spans="1:5">
      <c r="A474" s="189">
        <v>44784</v>
      </c>
      <c r="B474" s="190">
        <v>961.29449499999998</v>
      </c>
      <c r="C474" s="83">
        <v>17913.949218999998</v>
      </c>
      <c r="D474" s="165">
        <f t="shared" si="8"/>
        <v>8.9692146059308087E-3</v>
      </c>
      <c r="E474" s="165">
        <f t="shared" si="9"/>
        <v>7.2560894445776736E-3</v>
      </c>
    </row>
    <row r="475" spans="1:5">
      <c r="A475" s="189">
        <v>44785</v>
      </c>
      <c r="B475" s="190">
        <v>967.41961700000002</v>
      </c>
      <c r="C475" s="83">
        <v>17956.800781000002</v>
      </c>
      <c r="D475" s="165">
        <f t="shared" si="8"/>
        <v>6.3717435519070609E-3</v>
      </c>
      <c r="E475" s="165">
        <f t="shared" si="9"/>
        <v>2.3920778984096724E-3</v>
      </c>
    </row>
    <row r="476" spans="1:5">
      <c r="A476" s="189">
        <v>44789</v>
      </c>
      <c r="B476" s="190">
        <v>987.96832300000005</v>
      </c>
      <c r="C476" s="83">
        <v>18107.25</v>
      </c>
      <c r="D476" s="165">
        <f t="shared" si="8"/>
        <v>2.1240737358336981E-2</v>
      </c>
      <c r="E476" s="165">
        <f t="shared" si="9"/>
        <v>8.3783977354801031E-3</v>
      </c>
    </row>
    <row r="477" spans="1:5">
      <c r="A477" s="189">
        <v>44790</v>
      </c>
      <c r="B477" s="190">
        <v>1094.2189940000001</v>
      </c>
      <c r="C477" s="83">
        <v>18235.550781000002</v>
      </c>
      <c r="D477" s="165">
        <f t="shared" si="8"/>
        <v>0.10754461304727481</v>
      </c>
      <c r="E477" s="165">
        <f t="shared" si="9"/>
        <v>7.0856027834156343E-3</v>
      </c>
    </row>
    <row r="478" spans="1:5">
      <c r="A478" s="189">
        <v>44791</v>
      </c>
      <c r="B478" s="190">
        <v>1101.2825929999999</v>
      </c>
      <c r="C478" s="83">
        <v>18264.400390999999</v>
      </c>
      <c r="D478" s="165">
        <f t="shared" si="8"/>
        <v>6.4553796257715845E-3</v>
      </c>
      <c r="E478" s="165">
        <f t="shared" si="9"/>
        <v>1.5820531195611665E-3</v>
      </c>
    </row>
    <row r="479" spans="1:5">
      <c r="A479" s="189">
        <v>44792</v>
      </c>
      <c r="B479" s="190">
        <v>1085.327759</v>
      </c>
      <c r="C479" s="83">
        <v>18071.099609000001</v>
      </c>
      <c r="D479" s="165">
        <f t="shared" si="8"/>
        <v>-1.4487502210070669E-2</v>
      </c>
      <c r="E479" s="165">
        <f t="shared" si="9"/>
        <v>-1.0583472649627779E-2</v>
      </c>
    </row>
    <row r="480" spans="1:5">
      <c r="A480" s="189">
        <v>44795</v>
      </c>
      <c r="B480" s="190">
        <v>1037.709961</v>
      </c>
      <c r="C480" s="83">
        <v>17792.449218999998</v>
      </c>
      <c r="D480" s="165">
        <f t="shared" si="8"/>
        <v>-4.3874117846091076E-2</v>
      </c>
      <c r="E480" s="165">
        <f t="shared" si="9"/>
        <v>-1.5419669861220009E-2</v>
      </c>
    </row>
    <row r="481" spans="1:5">
      <c r="A481" s="189">
        <v>44796</v>
      </c>
      <c r="B481" s="190">
        <v>1029.510254</v>
      </c>
      <c r="C481" s="83">
        <v>17878.400390999999</v>
      </c>
      <c r="D481" s="165">
        <f t="shared" si="8"/>
        <v>-7.9017329583097595E-3</v>
      </c>
      <c r="E481" s="165">
        <f t="shared" si="9"/>
        <v>4.8307667450424585E-3</v>
      </c>
    </row>
    <row r="482" spans="1:5">
      <c r="A482" s="189">
        <v>44797</v>
      </c>
      <c r="B482" s="190">
        <v>1047.243408</v>
      </c>
      <c r="C482" s="83">
        <v>17917.300781000002</v>
      </c>
      <c r="D482" s="165">
        <f t="shared" si="8"/>
        <v>1.7224844464735156E-2</v>
      </c>
      <c r="E482" s="165">
        <f t="shared" si="9"/>
        <v>2.1758316823234924E-3</v>
      </c>
    </row>
    <row r="483" spans="1:5">
      <c r="A483" s="189">
        <v>44798</v>
      </c>
      <c r="B483" s="190">
        <v>1037.1667480000001</v>
      </c>
      <c r="C483" s="83">
        <v>17847.650390999999</v>
      </c>
      <c r="D483" s="165">
        <f t="shared" si="8"/>
        <v>-9.6220801420408009E-3</v>
      </c>
      <c r="E483" s="165">
        <f t="shared" si="9"/>
        <v>-3.8873260460002834E-3</v>
      </c>
    </row>
    <row r="484" spans="1:5">
      <c r="A484" s="189">
        <v>44799</v>
      </c>
      <c r="B484" s="190">
        <v>1023.6815800000001</v>
      </c>
      <c r="C484" s="83">
        <v>17893.800781000002</v>
      </c>
      <c r="D484" s="165">
        <f t="shared" si="8"/>
        <v>-1.3001928596345635E-2</v>
      </c>
      <c r="E484" s="165">
        <f t="shared" si="9"/>
        <v>2.5857963927440331E-3</v>
      </c>
    </row>
    <row r="485" spans="1:5">
      <c r="A485" s="189">
        <v>44802</v>
      </c>
      <c r="B485" s="190">
        <v>992.71026600000005</v>
      </c>
      <c r="C485" s="83">
        <v>17666.449218999998</v>
      </c>
      <c r="D485" s="165">
        <f t="shared" si="8"/>
        <v>-3.0254831780796576E-2</v>
      </c>
      <c r="E485" s="165">
        <f t="shared" si="9"/>
        <v>-1.2705604850670404E-2</v>
      </c>
    </row>
    <row r="486" spans="1:5">
      <c r="A486" s="189">
        <v>44803</v>
      </c>
      <c r="B486" s="190">
        <v>1019.433533</v>
      </c>
      <c r="C486" s="83">
        <v>18112.400390999999</v>
      </c>
      <c r="D486" s="165">
        <f t="shared" si="8"/>
        <v>2.691950301640178E-2</v>
      </c>
      <c r="E486" s="165">
        <f t="shared" si="9"/>
        <v>2.5242829867610617E-2</v>
      </c>
    </row>
    <row r="487" spans="1:5">
      <c r="A487" s="189">
        <v>44805</v>
      </c>
      <c r="B487" s="190">
        <v>1018.890137</v>
      </c>
      <c r="C487" s="83">
        <v>17924.300781000002</v>
      </c>
      <c r="D487" s="165">
        <f t="shared" si="8"/>
        <v>-5.3303720390762699E-4</v>
      </c>
      <c r="E487" s="165">
        <f t="shared" si="9"/>
        <v>-1.0385128748228389E-2</v>
      </c>
    </row>
    <row r="488" spans="1:5">
      <c r="A488" s="189">
        <v>44806</v>
      </c>
      <c r="B488" s="190">
        <v>1008.418274</v>
      </c>
      <c r="C488" s="83">
        <v>17916</v>
      </c>
      <c r="D488" s="165">
        <f t="shared" si="8"/>
        <v>-1.0277715545302213E-2</v>
      </c>
      <c r="E488" s="165">
        <f t="shared" si="9"/>
        <v>-4.631020814379605E-4</v>
      </c>
    </row>
    <row r="489" spans="1:5">
      <c r="A489" s="189">
        <v>44809</v>
      </c>
      <c r="B489" s="190">
        <v>1002.787048</v>
      </c>
      <c r="C489" s="83">
        <v>18021.650390999999</v>
      </c>
      <c r="D489" s="165">
        <f t="shared" si="8"/>
        <v>-5.5842165351318584E-3</v>
      </c>
      <c r="E489" s="165">
        <f t="shared" si="9"/>
        <v>5.8969854320161108E-3</v>
      </c>
    </row>
    <row r="490" spans="1:5">
      <c r="A490" s="189">
        <v>44810</v>
      </c>
      <c r="B490" s="190">
        <v>1002.144958</v>
      </c>
      <c r="C490" s="83">
        <v>18031.300781000002</v>
      </c>
      <c r="D490" s="165">
        <f t="shared" si="8"/>
        <v>-6.4030543800963624E-4</v>
      </c>
      <c r="E490" s="165">
        <f t="shared" si="9"/>
        <v>5.3548869224662177E-4</v>
      </c>
    </row>
    <row r="491" spans="1:5">
      <c r="A491" s="189">
        <v>44811</v>
      </c>
      <c r="B491" s="190">
        <v>1015.185486</v>
      </c>
      <c r="C491" s="83">
        <v>18008.099609000001</v>
      </c>
      <c r="D491" s="165">
        <f t="shared" si="8"/>
        <v>1.3012616484171291E-2</v>
      </c>
      <c r="E491" s="165">
        <f t="shared" si="9"/>
        <v>-1.2867164871681602E-3</v>
      </c>
    </row>
    <row r="492" spans="1:5">
      <c r="A492" s="189">
        <v>44812</v>
      </c>
      <c r="B492" s="190">
        <v>1023.48407</v>
      </c>
      <c r="C492" s="83">
        <v>18168.849609000001</v>
      </c>
      <c r="D492" s="165">
        <f t="shared" si="8"/>
        <v>8.1744509889496442E-3</v>
      </c>
      <c r="E492" s="165">
        <f t="shared" si="9"/>
        <v>8.9265388069965645E-3</v>
      </c>
    </row>
    <row r="493" spans="1:5">
      <c r="A493" s="189">
        <v>44813</v>
      </c>
      <c r="B493" s="190">
        <v>1034.548706</v>
      </c>
      <c r="C493" s="83">
        <v>18198.099609000001</v>
      </c>
      <c r="D493" s="165">
        <f t="shared" si="8"/>
        <v>1.0810755461978072E-2</v>
      </c>
      <c r="E493" s="165">
        <f t="shared" si="9"/>
        <v>1.6098982945795814E-3</v>
      </c>
    </row>
    <row r="494" spans="1:5">
      <c r="A494" s="189">
        <v>44816</v>
      </c>
      <c r="B494" s="190">
        <v>1051.2939449999999</v>
      </c>
      <c r="C494" s="83">
        <v>18319.800781000002</v>
      </c>
      <c r="D494" s="165">
        <f t="shared" si="8"/>
        <v>1.6186032521121163E-2</v>
      </c>
      <c r="E494" s="165">
        <f t="shared" si="9"/>
        <v>6.6875758796161033E-3</v>
      </c>
    </row>
    <row r="495" spans="1:5">
      <c r="A495" s="189">
        <v>44817</v>
      </c>
      <c r="B495" s="190">
        <v>1049.2193600000001</v>
      </c>
      <c r="C495" s="83">
        <v>18453.699218999998</v>
      </c>
      <c r="D495" s="165">
        <f t="shared" si="8"/>
        <v>-1.9733634059880822E-3</v>
      </c>
      <c r="E495" s="165">
        <f t="shared" si="9"/>
        <v>7.3089461834576763E-3</v>
      </c>
    </row>
    <row r="496" spans="1:5">
      <c r="A496" s="189">
        <v>44818</v>
      </c>
      <c r="B496" s="190">
        <v>1033.41272</v>
      </c>
      <c r="C496" s="83">
        <v>18405.599609000001</v>
      </c>
      <c r="D496" s="165">
        <f t="shared" si="8"/>
        <v>-1.5065143289006766E-2</v>
      </c>
      <c r="E496" s="165">
        <f t="shared" si="9"/>
        <v>-2.6065023293797562E-3</v>
      </c>
    </row>
    <row r="497" spans="1:5">
      <c r="A497" s="189">
        <v>44819</v>
      </c>
      <c r="B497" s="190">
        <v>1021.50824</v>
      </c>
      <c r="C497" s="83">
        <v>18316.900390999999</v>
      </c>
      <c r="D497" s="165">
        <f t="shared" si="8"/>
        <v>-1.1519579515142819E-2</v>
      </c>
      <c r="E497" s="165">
        <f t="shared" si="9"/>
        <v>-4.8191430805997193E-3</v>
      </c>
    </row>
    <row r="498" spans="1:5">
      <c r="A498" s="189">
        <v>44820</v>
      </c>
      <c r="B498" s="190">
        <v>1004.812317</v>
      </c>
      <c r="C498" s="83">
        <v>17938.099609000001</v>
      </c>
      <c r="D498" s="165">
        <f t="shared" si="8"/>
        <v>-1.6344384064880368E-2</v>
      </c>
      <c r="E498" s="165">
        <f t="shared" si="9"/>
        <v>-2.0680397551657959E-2</v>
      </c>
    </row>
    <row r="499" spans="1:5">
      <c r="A499" s="189">
        <v>44823</v>
      </c>
      <c r="B499" s="190">
        <v>989.796021</v>
      </c>
      <c r="C499" s="83">
        <v>18025.25</v>
      </c>
      <c r="D499" s="165">
        <f t="shared" si="8"/>
        <v>-1.4944378911310618E-2</v>
      </c>
      <c r="E499" s="165">
        <f t="shared" si="9"/>
        <v>4.8583959783718988E-3</v>
      </c>
    </row>
    <row r="500" spans="1:5">
      <c r="A500" s="189">
        <v>44824</v>
      </c>
      <c r="B500" s="190">
        <v>993.00671399999999</v>
      </c>
      <c r="C500" s="83">
        <v>18222.099609000001</v>
      </c>
      <c r="D500" s="165">
        <f t="shared" si="8"/>
        <v>3.243792591483885E-3</v>
      </c>
      <c r="E500" s="165">
        <f t="shared" si="9"/>
        <v>1.0920769975451217E-2</v>
      </c>
    </row>
    <row r="501" spans="1:5">
      <c r="A501" s="189">
        <v>44825</v>
      </c>
      <c r="B501" s="190">
        <v>1007.430298</v>
      </c>
      <c r="C501" s="83">
        <v>18091.900390999999</v>
      </c>
      <c r="D501" s="165">
        <f t="shared" si="8"/>
        <v>1.4525162616372711E-2</v>
      </c>
      <c r="E501" s="165">
        <f t="shared" si="9"/>
        <v>-7.1451271145337447E-3</v>
      </c>
    </row>
    <row r="502" spans="1:5">
      <c r="A502" s="189">
        <v>44826</v>
      </c>
      <c r="B502" s="190">
        <v>1010.2457889999999</v>
      </c>
      <c r="C502" s="83">
        <v>18030.400390999999</v>
      </c>
      <c r="D502" s="165">
        <f t="shared" si="8"/>
        <v>2.7947253577635944E-3</v>
      </c>
      <c r="E502" s="165">
        <f t="shared" si="9"/>
        <v>-3.3993112205389364E-3</v>
      </c>
    </row>
    <row r="503" spans="1:5">
      <c r="A503" s="189">
        <v>44827</v>
      </c>
      <c r="B503" s="190">
        <v>999.92211899999995</v>
      </c>
      <c r="C503" s="83">
        <v>17718.449218999998</v>
      </c>
      <c r="D503" s="165">
        <f t="shared" si="8"/>
        <v>-1.0218968603886935E-2</v>
      </c>
      <c r="E503" s="165">
        <f t="shared" si="9"/>
        <v>-1.7301400148369006E-2</v>
      </c>
    </row>
    <row r="504" spans="1:5">
      <c r="A504" s="189">
        <v>44830</v>
      </c>
      <c r="B504" s="190">
        <v>968.60504200000003</v>
      </c>
      <c r="C504" s="83">
        <v>17374.800781000002</v>
      </c>
      <c r="D504" s="165">
        <f t="shared" si="8"/>
        <v>-3.131951619524076E-2</v>
      </c>
      <c r="E504" s="165">
        <f t="shared" si="9"/>
        <v>-1.9394950074495987E-2</v>
      </c>
    </row>
    <row r="505" spans="1:5">
      <c r="A505" s="189">
        <v>44831</v>
      </c>
      <c r="B505" s="190">
        <v>976.06384300000002</v>
      </c>
      <c r="C505" s="83">
        <v>17366.400390999999</v>
      </c>
      <c r="D505" s="165">
        <f t="shared" si="8"/>
        <v>7.7005597499253398E-3</v>
      </c>
      <c r="E505" s="165">
        <f t="shared" si="9"/>
        <v>-4.834812269726152E-4</v>
      </c>
    </row>
    <row r="506" spans="1:5">
      <c r="A506" s="189">
        <v>44832</v>
      </c>
      <c r="B506" s="190">
        <v>978.879456</v>
      </c>
      <c r="C506" s="83">
        <v>17219.550781000002</v>
      </c>
      <c r="D506" s="165">
        <f t="shared" si="8"/>
        <v>2.8846606911960837E-3</v>
      </c>
      <c r="E506" s="165">
        <f t="shared" si="9"/>
        <v>-8.4559613215010598E-3</v>
      </c>
    </row>
    <row r="507" spans="1:5">
      <c r="A507" s="189">
        <v>44833</v>
      </c>
      <c r="B507" s="190">
        <v>978.83007799999996</v>
      </c>
      <c r="C507" s="83">
        <v>17167.75</v>
      </c>
      <c r="D507" s="165">
        <f t="shared" si="8"/>
        <v>-5.0443391877763588E-5</v>
      </c>
      <c r="E507" s="165">
        <f t="shared" si="9"/>
        <v>-3.0082539120102059E-3</v>
      </c>
    </row>
    <row r="508" spans="1:5">
      <c r="A508" s="189">
        <v>44834</v>
      </c>
      <c r="B508" s="190">
        <v>981.94201699999996</v>
      </c>
      <c r="C508" s="83">
        <v>17438.599609000001</v>
      </c>
      <c r="D508" s="165">
        <f t="shared" si="8"/>
        <v>3.1792433333868164E-3</v>
      </c>
      <c r="E508" s="165">
        <f t="shared" si="9"/>
        <v>1.5776651512283246E-2</v>
      </c>
    </row>
    <row r="509" spans="1:5">
      <c r="A509" s="189">
        <v>44837</v>
      </c>
      <c r="B509" s="190">
        <v>974.53259300000002</v>
      </c>
      <c r="C509" s="83">
        <v>17190.900390999999</v>
      </c>
      <c r="D509" s="165">
        <f t="shared" si="8"/>
        <v>-7.5456838303314955E-3</v>
      </c>
      <c r="E509" s="165">
        <f t="shared" si="9"/>
        <v>-1.4204077365946532E-2</v>
      </c>
    </row>
    <row r="510" spans="1:5">
      <c r="A510" s="189">
        <v>44838</v>
      </c>
      <c r="B510" s="190">
        <v>985.49847399999999</v>
      </c>
      <c r="C510" s="83">
        <v>17589.300781000002</v>
      </c>
      <c r="D510" s="165">
        <f t="shared" si="8"/>
        <v>1.1252451768947624E-2</v>
      </c>
      <c r="E510" s="165">
        <f t="shared" si="9"/>
        <v>2.317507407631636E-2</v>
      </c>
    </row>
    <row r="511" spans="1:5">
      <c r="A511" s="189">
        <v>44840</v>
      </c>
      <c r="B511" s="190">
        <v>997.20538299999998</v>
      </c>
      <c r="C511" s="83">
        <v>17662.800781000002</v>
      </c>
      <c r="D511" s="165">
        <f t="shared" si="8"/>
        <v>1.1879175167550882E-2</v>
      </c>
      <c r="E511" s="165">
        <f t="shared" si="9"/>
        <v>4.1786766236548978E-3</v>
      </c>
    </row>
    <row r="512" spans="1:5">
      <c r="A512" s="189">
        <v>44841</v>
      </c>
      <c r="B512" s="190">
        <v>992.41394000000003</v>
      </c>
      <c r="C512" s="83">
        <v>17641.449218999998</v>
      </c>
      <c r="D512" s="165">
        <f t="shared" si="8"/>
        <v>-4.8048707735465213E-3</v>
      </c>
      <c r="E512" s="165">
        <f t="shared" si="9"/>
        <v>-1.2088435047612478E-3</v>
      </c>
    </row>
    <row r="513" spans="1:5">
      <c r="A513" s="189">
        <v>44844</v>
      </c>
      <c r="B513" s="190">
        <v>1015.284241</v>
      </c>
      <c r="C513" s="83">
        <v>17553.150390999999</v>
      </c>
      <c r="D513" s="165">
        <f t="shared" si="8"/>
        <v>2.3045122683383434E-2</v>
      </c>
      <c r="E513" s="165">
        <f t="shared" si="9"/>
        <v>-5.0051912914784724E-3</v>
      </c>
    </row>
    <row r="514" spans="1:5">
      <c r="A514" s="189">
        <v>44845</v>
      </c>
      <c r="B514" s="190">
        <v>987.42492700000003</v>
      </c>
      <c r="C514" s="83">
        <v>17285.849609000001</v>
      </c>
      <c r="D514" s="165">
        <f t="shared" si="8"/>
        <v>-2.7439915715189334E-2</v>
      </c>
      <c r="E514" s="165">
        <f t="shared" si="9"/>
        <v>-1.5228080204739314E-2</v>
      </c>
    </row>
    <row r="515" spans="1:5">
      <c r="A515" s="189">
        <v>44846</v>
      </c>
      <c r="B515" s="190">
        <v>987.91888400000005</v>
      </c>
      <c r="C515" s="83">
        <v>17423.400390999999</v>
      </c>
      <c r="D515" s="165">
        <f t="shared" si="8"/>
        <v>5.002476507258713E-4</v>
      </c>
      <c r="E515" s="165">
        <f t="shared" si="9"/>
        <v>7.9574209605746127E-3</v>
      </c>
    </row>
    <row r="516" spans="1:5">
      <c r="A516" s="189">
        <v>44847</v>
      </c>
      <c r="B516" s="190">
        <v>980.80584699999997</v>
      </c>
      <c r="C516" s="83">
        <v>17302.150390999999</v>
      </c>
      <c r="D516" s="165">
        <f t="shared" si="8"/>
        <v>-7.2000212924364648E-3</v>
      </c>
      <c r="E516" s="165">
        <f t="shared" si="9"/>
        <v>-6.9590319500797415E-3</v>
      </c>
    </row>
    <row r="517" spans="1:5">
      <c r="A517" s="189">
        <v>44848</v>
      </c>
      <c r="B517" s="190">
        <v>978.92883300000005</v>
      </c>
      <c r="C517" s="83">
        <v>17432.550781000002</v>
      </c>
      <c r="D517" s="165">
        <f t="shared" si="8"/>
        <v>-1.913746747882028E-3</v>
      </c>
      <c r="E517" s="165">
        <f t="shared" si="9"/>
        <v>7.536657990664164E-3</v>
      </c>
    </row>
    <row r="518" spans="1:5">
      <c r="A518" s="189">
        <v>44851</v>
      </c>
      <c r="B518" s="190">
        <v>979.47216800000001</v>
      </c>
      <c r="C518" s="83">
        <v>17560.5</v>
      </c>
      <c r="D518" s="165">
        <f t="shared" si="8"/>
        <v>5.5503013261426482E-4</v>
      </c>
      <c r="E518" s="165">
        <f t="shared" si="9"/>
        <v>7.3396728113623855E-3</v>
      </c>
    </row>
    <row r="519" spans="1:5">
      <c r="A519" s="189">
        <v>44852</v>
      </c>
      <c r="B519" s="190">
        <v>976.85418700000002</v>
      </c>
      <c r="C519" s="83">
        <v>17741.199218999998</v>
      </c>
      <c r="D519" s="165">
        <f t="shared" si="8"/>
        <v>-2.672848790941873E-3</v>
      </c>
      <c r="E519" s="165">
        <f t="shared" si="9"/>
        <v>1.0290095327581739E-2</v>
      </c>
    </row>
    <row r="520" spans="1:5">
      <c r="A520" s="189">
        <v>44853</v>
      </c>
      <c r="B520" s="190">
        <v>975.12536599999999</v>
      </c>
      <c r="C520" s="83">
        <v>17756.25</v>
      </c>
      <c r="D520" s="165">
        <f t="shared" si="8"/>
        <v>-1.7697840916354179E-3</v>
      </c>
      <c r="E520" s="165">
        <f t="shared" si="9"/>
        <v>8.4835195266186325E-4</v>
      </c>
    </row>
    <row r="521" spans="1:5">
      <c r="A521" s="189">
        <v>44854</v>
      </c>
      <c r="B521" s="190">
        <v>997.74871800000005</v>
      </c>
      <c r="C521" s="83">
        <v>17829.449218999998</v>
      </c>
      <c r="D521" s="165">
        <f t="shared" si="8"/>
        <v>2.3200454822339234E-2</v>
      </c>
      <c r="E521" s="165">
        <f t="shared" si="9"/>
        <v>4.122448095740916E-3</v>
      </c>
    </row>
    <row r="522" spans="1:5">
      <c r="A522" s="189">
        <v>44855</v>
      </c>
      <c r="B522" s="190">
        <v>976.65661599999999</v>
      </c>
      <c r="C522" s="83">
        <v>17808.800781000002</v>
      </c>
      <c r="D522" s="165">
        <f t="shared" si="8"/>
        <v>-2.1139693411262317E-2</v>
      </c>
      <c r="E522" s="165">
        <f t="shared" si="9"/>
        <v>-1.158108573426464E-3</v>
      </c>
    </row>
    <row r="523" spans="1:5">
      <c r="A523" s="189">
        <v>44858</v>
      </c>
      <c r="B523" s="190">
        <v>984.609375</v>
      </c>
      <c r="C523" s="83">
        <v>17951.300781000002</v>
      </c>
      <c r="D523" s="165">
        <f t="shared" si="8"/>
        <v>8.1428404515102581E-3</v>
      </c>
      <c r="E523" s="165">
        <f t="shared" si="9"/>
        <v>8.0016617487255193E-3</v>
      </c>
    </row>
    <row r="524" spans="1:5">
      <c r="A524" s="189">
        <v>44859</v>
      </c>
      <c r="B524" s="190">
        <v>975.52056900000002</v>
      </c>
      <c r="C524" s="83">
        <v>17887.400390999999</v>
      </c>
      <c r="D524" s="165">
        <f t="shared" si="8"/>
        <v>-9.2308749345393348E-3</v>
      </c>
      <c r="E524" s="165">
        <f t="shared" si="9"/>
        <v>-3.5596523494072496E-3</v>
      </c>
    </row>
    <row r="525" spans="1:5">
      <c r="A525" s="189">
        <v>44861</v>
      </c>
      <c r="B525" s="190">
        <v>972.60613999999998</v>
      </c>
      <c r="C525" s="83">
        <v>17989</v>
      </c>
      <c r="D525" s="165">
        <f t="shared" si="8"/>
        <v>-2.9875628383598807E-3</v>
      </c>
      <c r="E525" s="165">
        <f t="shared" si="9"/>
        <v>5.6799538658016679E-3</v>
      </c>
    </row>
    <row r="526" spans="1:5">
      <c r="A526" s="189">
        <v>44862</v>
      </c>
      <c r="B526" s="190">
        <v>962.18365500000004</v>
      </c>
      <c r="C526" s="83">
        <v>18017.199218999998</v>
      </c>
      <c r="D526" s="165">
        <f t="shared" si="8"/>
        <v>-1.0716038662885619E-2</v>
      </c>
      <c r="E526" s="165">
        <f t="shared" si="9"/>
        <v>1.5675812440936188E-3</v>
      </c>
    </row>
    <row r="527" spans="1:5">
      <c r="A527" s="189">
        <v>44865</v>
      </c>
      <c r="B527" s="190">
        <v>958.62707499999999</v>
      </c>
      <c r="C527" s="83">
        <v>18243.400390999999</v>
      </c>
      <c r="D527" s="165">
        <f t="shared" si="8"/>
        <v>-3.6963629360343697E-3</v>
      </c>
      <c r="E527" s="165">
        <f t="shared" si="9"/>
        <v>1.2554735575186493E-2</v>
      </c>
    </row>
    <row r="528" spans="1:5">
      <c r="A528" s="189">
        <v>44866</v>
      </c>
      <c r="B528" s="190">
        <v>965.59191899999996</v>
      </c>
      <c r="C528" s="83">
        <v>18383.199218999998</v>
      </c>
      <c r="D528" s="165">
        <f t="shared" si="8"/>
        <v>7.2654363533388722E-3</v>
      </c>
      <c r="E528" s="165">
        <f t="shared" si="9"/>
        <v>7.6629808590380488E-3</v>
      </c>
    </row>
    <row r="529" spans="1:5">
      <c r="A529" s="189">
        <v>44867</v>
      </c>
      <c r="B529" s="190">
        <v>974.50146500000005</v>
      </c>
      <c r="C529" s="83">
        <v>18322.400390999999</v>
      </c>
      <c r="D529" s="165">
        <f t="shared" si="8"/>
        <v>9.2270304097274991E-3</v>
      </c>
      <c r="E529" s="165">
        <f t="shared" si="9"/>
        <v>-3.3073039831478246E-3</v>
      </c>
    </row>
    <row r="530" spans="1:5">
      <c r="A530" s="189">
        <v>44868</v>
      </c>
      <c r="B530" s="190">
        <v>967.76971400000002</v>
      </c>
      <c r="C530" s="83">
        <v>18297.400390999999</v>
      </c>
      <c r="D530" s="165">
        <f t="shared" si="8"/>
        <v>-6.9078921292334838E-3</v>
      </c>
      <c r="E530" s="165">
        <f t="shared" si="9"/>
        <v>-1.3644500429256246E-3</v>
      </c>
    </row>
    <row r="531" spans="1:5">
      <c r="A531" s="189">
        <v>44869</v>
      </c>
      <c r="B531" s="190">
        <v>963.61206100000004</v>
      </c>
      <c r="C531" s="83">
        <v>18361.449218999998</v>
      </c>
      <c r="D531" s="165">
        <f t="shared" si="8"/>
        <v>-4.2961181155540817E-3</v>
      </c>
      <c r="E531" s="165">
        <f t="shared" si="9"/>
        <v>3.5004332108019565E-3</v>
      </c>
    </row>
    <row r="532" spans="1:5">
      <c r="A532" s="189">
        <v>44872</v>
      </c>
      <c r="B532" s="190">
        <v>966.284851</v>
      </c>
      <c r="C532" s="83">
        <v>18450.150390999999</v>
      </c>
      <c r="D532" s="165">
        <f t="shared" si="8"/>
        <v>2.773719952432252E-3</v>
      </c>
      <c r="E532" s="165">
        <f t="shared" si="9"/>
        <v>4.8308372036458547E-3</v>
      </c>
    </row>
    <row r="533" spans="1:5">
      <c r="A533" s="189">
        <v>44874</v>
      </c>
      <c r="B533" s="190">
        <v>961.92913799999997</v>
      </c>
      <c r="C533" s="83">
        <v>18406.25</v>
      </c>
      <c r="D533" s="165">
        <f t="shared" si="8"/>
        <v>-4.5076904553479347E-3</v>
      </c>
      <c r="E533" s="165">
        <f t="shared" si="9"/>
        <v>-2.3794055912635947E-3</v>
      </c>
    </row>
    <row r="534" spans="1:5">
      <c r="A534" s="189">
        <v>44875</v>
      </c>
      <c r="B534" s="190">
        <v>952.821594</v>
      </c>
      <c r="C534" s="83">
        <v>18267.099609000001</v>
      </c>
      <c r="D534" s="165">
        <f t="shared" ref="D534:D597" si="10">B534/B533-1</f>
        <v>-9.4679988787281788E-3</v>
      </c>
      <c r="E534" s="165">
        <f t="shared" ref="E534:E597" si="11">C534/C533-1</f>
        <v>-7.5599533310695133E-3</v>
      </c>
    </row>
    <row r="535" spans="1:5">
      <c r="A535" s="189">
        <v>44876</v>
      </c>
      <c r="B535" s="190">
        <v>982.22302200000001</v>
      </c>
      <c r="C535" s="83">
        <v>18573.349609000001</v>
      </c>
      <c r="D535" s="165">
        <f t="shared" si="10"/>
        <v>3.0857222574659726E-2</v>
      </c>
      <c r="E535" s="165">
        <f t="shared" si="11"/>
        <v>1.6765113595215375E-2</v>
      </c>
    </row>
    <row r="536" spans="1:5">
      <c r="A536" s="189">
        <v>44879</v>
      </c>
      <c r="B536" s="190">
        <v>988.21215800000004</v>
      </c>
      <c r="C536" s="83">
        <v>18568.400390999999</v>
      </c>
      <c r="D536" s="165">
        <f t="shared" si="10"/>
        <v>6.0975316866478391E-3</v>
      </c>
      <c r="E536" s="165">
        <f t="shared" si="11"/>
        <v>-2.6646879018543679E-4</v>
      </c>
    </row>
    <row r="537" spans="1:5">
      <c r="A537" s="189">
        <v>44880</v>
      </c>
      <c r="B537" s="190">
        <v>986.33117700000003</v>
      </c>
      <c r="C537" s="83">
        <v>18635.400390999999</v>
      </c>
      <c r="D537" s="165">
        <f t="shared" si="10"/>
        <v>-1.9034181929180605E-3</v>
      </c>
      <c r="E537" s="165">
        <f t="shared" si="11"/>
        <v>3.6082806590316263E-3</v>
      </c>
    </row>
    <row r="538" spans="1:5">
      <c r="A538" s="189">
        <v>44881</v>
      </c>
      <c r="B538" s="190">
        <v>974.45190400000001</v>
      </c>
      <c r="C538" s="83">
        <v>18615.5</v>
      </c>
      <c r="D538" s="165">
        <f t="shared" si="10"/>
        <v>-1.2043898922602936E-2</v>
      </c>
      <c r="E538" s="165">
        <f t="shared" si="11"/>
        <v>-1.0678810533960581E-3</v>
      </c>
    </row>
    <row r="539" spans="1:5">
      <c r="A539" s="189">
        <v>44882</v>
      </c>
      <c r="B539" s="190">
        <v>965.641479</v>
      </c>
      <c r="C539" s="83">
        <v>18532.449218999998</v>
      </c>
      <c r="D539" s="165">
        <f t="shared" si="10"/>
        <v>-9.0414159629986779E-3</v>
      </c>
      <c r="E539" s="165">
        <f t="shared" si="11"/>
        <v>-4.4613779377401519E-3</v>
      </c>
    </row>
    <row r="540" spans="1:5">
      <c r="A540" s="189">
        <v>44883</v>
      </c>
      <c r="B540" s="190">
        <v>955.34600799999998</v>
      </c>
      <c r="C540" s="83">
        <v>18483.199218999998</v>
      </c>
      <c r="D540" s="165">
        <f t="shared" si="10"/>
        <v>-1.066179448987814E-2</v>
      </c>
      <c r="E540" s="165">
        <f t="shared" si="11"/>
        <v>-2.6575008741698269E-3</v>
      </c>
    </row>
    <row r="541" spans="1:5">
      <c r="A541" s="189">
        <v>44886</v>
      </c>
      <c r="B541" s="190">
        <v>955.64294400000006</v>
      </c>
      <c r="C541" s="83">
        <v>18334.650390999999</v>
      </c>
      <c r="D541" s="165">
        <f t="shared" si="10"/>
        <v>3.1081513662445381E-4</v>
      </c>
      <c r="E541" s="165">
        <f t="shared" si="11"/>
        <v>-8.036965150886699E-3</v>
      </c>
    </row>
    <row r="542" spans="1:5">
      <c r="A542" s="189">
        <v>44887</v>
      </c>
      <c r="B542" s="190">
        <v>951.831726</v>
      </c>
      <c r="C542" s="83">
        <v>18407.5</v>
      </c>
      <c r="D542" s="165">
        <f t="shared" si="10"/>
        <v>-3.9881192279279665E-3</v>
      </c>
      <c r="E542" s="165">
        <f t="shared" si="11"/>
        <v>3.9733295943160662E-3</v>
      </c>
    </row>
    <row r="543" spans="1:5">
      <c r="A543" s="189">
        <v>44888</v>
      </c>
      <c r="B543" s="190">
        <v>951.78228799999999</v>
      </c>
      <c r="C543" s="83">
        <v>18433.800781000002</v>
      </c>
      <c r="D543" s="165">
        <f t="shared" si="10"/>
        <v>-5.1939853074389752E-5</v>
      </c>
      <c r="E543" s="165">
        <f t="shared" si="11"/>
        <v>1.4288078772239921E-3</v>
      </c>
    </row>
    <row r="544" spans="1:5">
      <c r="A544" s="189">
        <v>44889</v>
      </c>
      <c r="B544" s="190">
        <v>927.97406000000001</v>
      </c>
      <c r="C544" s="83">
        <v>18627.25</v>
      </c>
      <c r="D544" s="165">
        <f t="shared" si="10"/>
        <v>-2.5014363368779158E-2</v>
      </c>
      <c r="E544" s="165">
        <f t="shared" si="11"/>
        <v>1.0494266554046172E-2</v>
      </c>
    </row>
    <row r="545" spans="1:5">
      <c r="A545" s="189">
        <v>44890</v>
      </c>
      <c r="B545" s="190">
        <v>938.86340299999995</v>
      </c>
      <c r="C545" s="83">
        <v>18652.050781000002</v>
      </c>
      <c r="D545" s="165">
        <f t="shared" si="10"/>
        <v>1.1734533829533822E-2</v>
      </c>
      <c r="E545" s="165">
        <f t="shared" si="11"/>
        <v>1.3314247137929947E-3</v>
      </c>
    </row>
    <row r="546" spans="1:5">
      <c r="A546" s="189">
        <v>44893</v>
      </c>
      <c r="B546" s="190">
        <v>938.56640600000003</v>
      </c>
      <c r="C546" s="83">
        <v>18696.75</v>
      </c>
      <c r="D546" s="165">
        <f t="shared" si="10"/>
        <v>-3.163367525572669E-4</v>
      </c>
      <c r="E546" s="165">
        <f t="shared" si="11"/>
        <v>2.3964774450180304E-3</v>
      </c>
    </row>
    <row r="547" spans="1:5">
      <c r="A547" s="189">
        <v>44894</v>
      </c>
      <c r="B547" s="190">
        <v>935.15112299999998</v>
      </c>
      <c r="C547" s="83">
        <v>18758.349609000001</v>
      </c>
      <c r="D547" s="165">
        <f t="shared" si="10"/>
        <v>-3.6388293658999871E-3</v>
      </c>
      <c r="E547" s="165">
        <f t="shared" si="11"/>
        <v>3.2946693409283689E-3</v>
      </c>
    </row>
    <row r="548" spans="1:5">
      <c r="A548" s="189">
        <v>44895</v>
      </c>
      <c r="B548" s="190">
        <v>938.021973</v>
      </c>
      <c r="C548" s="83">
        <v>18919.550781000002</v>
      </c>
      <c r="D548" s="165">
        <f t="shared" si="10"/>
        <v>3.069931617886823E-3</v>
      </c>
      <c r="E548" s="165">
        <f t="shared" si="11"/>
        <v>8.593569016469349E-3</v>
      </c>
    </row>
    <row r="549" spans="1:5">
      <c r="A549" s="189">
        <v>44896</v>
      </c>
      <c r="B549" s="190">
        <v>970.93762200000003</v>
      </c>
      <c r="C549" s="83">
        <v>18973.050781000002</v>
      </c>
      <c r="D549" s="165">
        <f t="shared" si="10"/>
        <v>3.5090488226761529E-2</v>
      </c>
      <c r="E549" s="165">
        <f t="shared" si="11"/>
        <v>2.8277627000388161E-3</v>
      </c>
    </row>
    <row r="550" spans="1:5">
      <c r="A550" s="189">
        <v>44897</v>
      </c>
      <c r="B550" s="190">
        <v>975.78832999999997</v>
      </c>
      <c r="C550" s="83">
        <v>18870.25</v>
      </c>
      <c r="D550" s="165">
        <f t="shared" si="10"/>
        <v>4.9959007562279112E-3</v>
      </c>
      <c r="E550" s="165">
        <f t="shared" si="11"/>
        <v>-5.4182525618362565E-3</v>
      </c>
    </row>
    <row r="551" spans="1:5">
      <c r="A551" s="189">
        <v>44900</v>
      </c>
      <c r="B551" s="190">
        <v>970.640625</v>
      </c>
      <c r="C551" s="83">
        <v>18867.650390999999</v>
      </c>
      <c r="D551" s="165">
        <f t="shared" si="10"/>
        <v>-5.2754320191551463E-3</v>
      </c>
      <c r="E551" s="165">
        <f t="shared" si="11"/>
        <v>-1.3776229779682847E-4</v>
      </c>
    </row>
    <row r="552" spans="1:5">
      <c r="A552" s="189">
        <v>44901</v>
      </c>
      <c r="B552" s="190">
        <v>959.503784</v>
      </c>
      <c r="C552" s="83">
        <v>18821.550781000002</v>
      </c>
      <c r="D552" s="165">
        <f t="shared" si="10"/>
        <v>-1.1473701711176565E-2</v>
      </c>
      <c r="E552" s="165">
        <f t="shared" si="11"/>
        <v>-2.4433148295978091E-3</v>
      </c>
    </row>
    <row r="553" spans="1:5">
      <c r="A553" s="189">
        <v>44902</v>
      </c>
      <c r="B553" s="190">
        <v>951.43566899999996</v>
      </c>
      <c r="C553" s="83">
        <v>18754</v>
      </c>
      <c r="D553" s="165">
        <f t="shared" si="10"/>
        <v>-8.4086328105612562E-3</v>
      </c>
      <c r="E553" s="165">
        <f t="shared" si="11"/>
        <v>-3.5890124988102734E-3</v>
      </c>
    </row>
    <row r="554" spans="1:5">
      <c r="A554" s="189">
        <v>44903</v>
      </c>
      <c r="B554" s="190">
        <v>946.43652299999997</v>
      </c>
      <c r="C554" s="83">
        <v>18802</v>
      </c>
      <c r="D554" s="165">
        <f t="shared" si="10"/>
        <v>-5.254318460915286E-3</v>
      </c>
      <c r="E554" s="165">
        <f t="shared" si="11"/>
        <v>2.5594539831501617E-3</v>
      </c>
    </row>
    <row r="555" spans="1:5">
      <c r="A555" s="189">
        <v>44904</v>
      </c>
      <c r="B555" s="190">
        <v>924.80621299999996</v>
      </c>
      <c r="C555" s="83">
        <v>18687.650390999999</v>
      </c>
      <c r="D555" s="165">
        <f t="shared" si="10"/>
        <v>-2.2854475154272968E-2</v>
      </c>
      <c r="E555" s="165">
        <f t="shared" si="11"/>
        <v>-6.0817790128709914E-3</v>
      </c>
    </row>
    <row r="556" spans="1:5">
      <c r="A556" s="189">
        <v>44907</v>
      </c>
      <c r="B556" s="190">
        <v>913.91680899999994</v>
      </c>
      <c r="C556" s="83">
        <v>18690.800781000002</v>
      </c>
      <c r="D556" s="165">
        <f t="shared" si="10"/>
        <v>-1.1774795461933163E-2</v>
      </c>
      <c r="E556" s="165">
        <f t="shared" si="11"/>
        <v>1.6858138578612625E-4</v>
      </c>
    </row>
    <row r="557" spans="1:5">
      <c r="A557" s="189">
        <v>44908</v>
      </c>
      <c r="B557" s="190">
        <v>914.75830099999996</v>
      </c>
      <c r="C557" s="83">
        <v>18781.650390999999</v>
      </c>
      <c r="D557" s="165">
        <f t="shared" si="10"/>
        <v>9.2075338992914091E-4</v>
      </c>
      <c r="E557" s="165">
        <f t="shared" si="11"/>
        <v>4.8606590517163983E-3</v>
      </c>
    </row>
    <row r="558" spans="1:5">
      <c r="A558" s="189">
        <v>44909</v>
      </c>
      <c r="B558" s="190">
        <v>915.05523700000003</v>
      </c>
      <c r="C558" s="83">
        <v>18837.25</v>
      </c>
      <c r="D558" s="165">
        <f t="shared" si="10"/>
        <v>3.2460596386552076E-4</v>
      </c>
      <c r="E558" s="165">
        <f t="shared" si="11"/>
        <v>2.9603154058626124E-3</v>
      </c>
    </row>
    <row r="559" spans="1:5">
      <c r="A559" s="189">
        <v>44910</v>
      </c>
      <c r="B559" s="190">
        <v>914.80773899999997</v>
      </c>
      <c r="C559" s="83">
        <v>18604.449218999998</v>
      </c>
      <c r="D559" s="165">
        <f t="shared" si="10"/>
        <v>-2.7047328947205074E-4</v>
      </c>
      <c r="E559" s="165">
        <f t="shared" si="11"/>
        <v>-1.2358533278477579E-2</v>
      </c>
    </row>
    <row r="560" spans="1:5">
      <c r="A560" s="189">
        <v>44911</v>
      </c>
      <c r="B560" s="190">
        <v>928.02355999999997</v>
      </c>
      <c r="C560" s="83">
        <v>18446.300781000002</v>
      </c>
      <c r="D560" s="165">
        <f t="shared" si="10"/>
        <v>1.4446555747819279E-2</v>
      </c>
      <c r="E560" s="165">
        <f t="shared" si="11"/>
        <v>-8.5005708117650292E-3</v>
      </c>
    </row>
    <row r="561" spans="1:5">
      <c r="A561" s="189">
        <v>44914</v>
      </c>
      <c r="B561" s="190">
        <v>931.09234600000002</v>
      </c>
      <c r="C561" s="83">
        <v>18604.5</v>
      </c>
      <c r="D561" s="165">
        <f t="shared" si="10"/>
        <v>3.3067975127700766E-3</v>
      </c>
      <c r="E561" s="165">
        <f t="shared" si="11"/>
        <v>8.5762029405345164E-3</v>
      </c>
    </row>
    <row r="562" spans="1:5">
      <c r="A562" s="189">
        <v>44915</v>
      </c>
      <c r="B562" s="190">
        <v>915.104736</v>
      </c>
      <c r="C562" s="83">
        <v>18570.400390999999</v>
      </c>
      <c r="D562" s="165">
        <f t="shared" si="10"/>
        <v>-1.7170810251725621E-2</v>
      </c>
      <c r="E562" s="165">
        <f t="shared" si="11"/>
        <v>-1.83286887580969E-3</v>
      </c>
    </row>
    <row r="563" spans="1:5">
      <c r="A563" s="189">
        <v>44916</v>
      </c>
      <c r="B563" s="190">
        <v>898.96862799999997</v>
      </c>
      <c r="C563" s="83">
        <v>18361.150390999999</v>
      </c>
      <c r="D563" s="165">
        <f t="shared" si="10"/>
        <v>-1.7633072330640931E-2</v>
      </c>
      <c r="E563" s="165">
        <f t="shared" si="11"/>
        <v>-1.1267931525128061E-2</v>
      </c>
    </row>
    <row r="564" spans="1:5">
      <c r="A564" s="189">
        <v>44917</v>
      </c>
      <c r="B564" s="190">
        <v>879.26873799999998</v>
      </c>
      <c r="C564" s="83">
        <v>18277.849609000001</v>
      </c>
      <c r="D564" s="165">
        <f t="shared" si="10"/>
        <v>-2.1913879290568539E-2</v>
      </c>
      <c r="E564" s="165">
        <f t="shared" si="11"/>
        <v>-4.5367953655468529E-3</v>
      </c>
    </row>
    <row r="565" spans="1:5">
      <c r="A565" s="189">
        <v>44918</v>
      </c>
      <c r="B565" s="190">
        <v>839.72045900000001</v>
      </c>
      <c r="C565" s="83">
        <v>17888.050781000002</v>
      </c>
      <c r="D565" s="165">
        <f t="shared" si="10"/>
        <v>-4.4978602434970205E-2</v>
      </c>
      <c r="E565" s="165">
        <f t="shared" si="11"/>
        <v>-2.1326295835592313E-2</v>
      </c>
    </row>
    <row r="566" spans="1:5">
      <c r="A566" s="189">
        <v>44921</v>
      </c>
      <c r="B566" s="190">
        <v>864.22161900000003</v>
      </c>
      <c r="C566" s="83">
        <v>17888.050781000002</v>
      </c>
      <c r="D566" s="165">
        <f t="shared" si="10"/>
        <v>2.9177757594685438E-2</v>
      </c>
      <c r="E566" s="165">
        <f t="shared" si="11"/>
        <v>0</v>
      </c>
    </row>
    <row r="567" spans="1:5">
      <c r="A567" s="189">
        <v>44922</v>
      </c>
      <c r="B567" s="190">
        <v>873.13116500000001</v>
      </c>
      <c r="C567" s="83">
        <v>18263.550781000002</v>
      </c>
      <c r="D567" s="165">
        <f t="shared" si="10"/>
        <v>1.0309330158055241E-2</v>
      </c>
      <c r="E567" s="165">
        <f t="shared" si="11"/>
        <v>2.0991666705175049E-2</v>
      </c>
    </row>
    <row r="568" spans="1:5">
      <c r="A568" s="189">
        <v>44923</v>
      </c>
      <c r="B568" s="190">
        <v>872.93310499999995</v>
      </c>
      <c r="C568" s="83">
        <v>18270.949218999998</v>
      </c>
      <c r="D568" s="165">
        <f t="shared" si="10"/>
        <v>-2.2683877055296175E-4</v>
      </c>
      <c r="E568" s="165">
        <f t="shared" si="11"/>
        <v>4.050930779404549E-4</v>
      </c>
    </row>
    <row r="569" spans="1:5">
      <c r="A569" s="189">
        <v>44924</v>
      </c>
      <c r="B569" s="190">
        <v>866.39947500000005</v>
      </c>
      <c r="C569" s="83">
        <v>18343.599609000001</v>
      </c>
      <c r="D569" s="165">
        <f t="shared" si="10"/>
        <v>-7.4846857824230062E-3</v>
      </c>
      <c r="E569" s="165">
        <f t="shared" si="11"/>
        <v>3.9762789075268312E-3</v>
      </c>
    </row>
    <row r="570" spans="1:5">
      <c r="A570" s="189">
        <v>44925</v>
      </c>
      <c r="B570" s="190">
        <v>872.33917199999996</v>
      </c>
      <c r="C570" s="83">
        <v>18258.75</v>
      </c>
      <c r="D570" s="165">
        <f t="shared" si="10"/>
        <v>6.8556101098744548E-3</v>
      </c>
      <c r="E570" s="165">
        <f t="shared" si="11"/>
        <v>-4.625570270208601E-3</v>
      </c>
    </row>
    <row r="571" spans="1:5">
      <c r="A571" s="189">
        <v>44928</v>
      </c>
      <c r="B571" s="190">
        <v>875.25952099999995</v>
      </c>
      <c r="C571" s="83">
        <v>18334.300781000002</v>
      </c>
      <c r="D571" s="165">
        <f t="shared" si="10"/>
        <v>3.3477219569362227E-3</v>
      </c>
      <c r="E571" s="165">
        <f t="shared" si="11"/>
        <v>4.1377849524202315E-3</v>
      </c>
    </row>
    <row r="572" spans="1:5">
      <c r="A572" s="189">
        <v>44929</v>
      </c>
      <c r="B572" s="190">
        <v>878.47680700000001</v>
      </c>
      <c r="C572" s="83">
        <v>18376.5</v>
      </c>
      <c r="D572" s="165">
        <f t="shared" si="10"/>
        <v>3.6758080578480623E-3</v>
      </c>
      <c r="E572" s="165">
        <f t="shared" si="11"/>
        <v>2.3016541238229937E-3</v>
      </c>
    </row>
    <row r="573" spans="1:5">
      <c r="A573" s="189">
        <v>44930</v>
      </c>
      <c r="B573" s="190">
        <v>875.25952099999995</v>
      </c>
      <c r="C573" s="83">
        <v>18173.449218999998</v>
      </c>
      <c r="D573" s="165">
        <f t="shared" si="10"/>
        <v>-3.6623459769952182E-3</v>
      </c>
      <c r="E573" s="165">
        <f t="shared" si="11"/>
        <v>-1.1049480641036169E-2</v>
      </c>
    </row>
    <row r="574" spans="1:5">
      <c r="A574" s="189">
        <v>44931</v>
      </c>
      <c r="B574" s="190">
        <v>871.20068400000002</v>
      </c>
      <c r="C574" s="83">
        <v>18150</v>
      </c>
      <c r="D574" s="165">
        <f t="shared" si="10"/>
        <v>-4.6372954565094826E-3</v>
      </c>
      <c r="E574" s="165">
        <f t="shared" si="11"/>
        <v>-1.2903009614423366E-3</v>
      </c>
    </row>
    <row r="575" spans="1:5">
      <c r="A575" s="189">
        <v>44932</v>
      </c>
      <c r="B575" s="190">
        <v>864.66711399999997</v>
      </c>
      <c r="C575" s="83">
        <v>18013.949218999998</v>
      </c>
      <c r="D575" s="165">
        <f t="shared" si="10"/>
        <v>-7.4995005398779124E-3</v>
      </c>
      <c r="E575" s="165">
        <f t="shared" si="11"/>
        <v>-7.4959107988982199E-3</v>
      </c>
    </row>
    <row r="576" spans="1:5">
      <c r="A576" s="189">
        <v>44935</v>
      </c>
      <c r="B576" s="190">
        <v>868.47833300000002</v>
      </c>
      <c r="C576" s="83">
        <v>18248.550781000002</v>
      </c>
      <c r="D576" s="165">
        <f t="shared" si="10"/>
        <v>4.4077297936879756E-3</v>
      </c>
      <c r="E576" s="165">
        <f t="shared" si="11"/>
        <v>1.3023327597291079E-2</v>
      </c>
    </row>
    <row r="577" spans="1:5">
      <c r="A577" s="189">
        <v>44936</v>
      </c>
      <c r="B577" s="190">
        <v>872.09167500000001</v>
      </c>
      <c r="C577" s="83">
        <v>18081</v>
      </c>
      <c r="D577" s="165">
        <f t="shared" si="10"/>
        <v>4.1605436344258617E-3</v>
      </c>
      <c r="E577" s="165">
        <f t="shared" si="11"/>
        <v>-9.1815938159018895E-3</v>
      </c>
    </row>
    <row r="578" spans="1:5">
      <c r="A578" s="189">
        <v>44937</v>
      </c>
      <c r="B578" s="190">
        <v>869.17132600000002</v>
      </c>
      <c r="C578" s="83">
        <v>18054.300781000002</v>
      </c>
      <c r="D578" s="165">
        <f t="shared" si="10"/>
        <v>-3.3486720303802509E-3</v>
      </c>
      <c r="E578" s="165">
        <f t="shared" si="11"/>
        <v>-1.4766450417564858E-3</v>
      </c>
    </row>
    <row r="579" spans="1:5">
      <c r="A579" s="189">
        <v>44938</v>
      </c>
      <c r="B579" s="190">
        <v>875.45745799999997</v>
      </c>
      <c r="C579" s="83">
        <v>18028.300781000002</v>
      </c>
      <c r="D579" s="165">
        <f t="shared" si="10"/>
        <v>7.2323278644375044E-3</v>
      </c>
      <c r="E579" s="165">
        <f t="shared" si="11"/>
        <v>-1.4401000800519093E-3</v>
      </c>
    </row>
    <row r="580" spans="1:5">
      <c r="A580" s="189">
        <v>44939</v>
      </c>
      <c r="B580" s="190">
        <v>875.80395499999997</v>
      </c>
      <c r="C580" s="83">
        <v>18126.25</v>
      </c>
      <c r="D580" s="165">
        <f t="shared" si="10"/>
        <v>3.9578964898145941E-4</v>
      </c>
      <c r="E580" s="165">
        <f t="shared" si="11"/>
        <v>5.4330810313096833E-3</v>
      </c>
    </row>
    <row r="581" spans="1:5">
      <c r="A581" s="189">
        <v>44942</v>
      </c>
      <c r="B581" s="190">
        <v>873.23010299999999</v>
      </c>
      <c r="C581" s="83">
        <v>18074.199218999998</v>
      </c>
      <c r="D581" s="165">
        <f t="shared" si="10"/>
        <v>-2.9388449153554541E-3</v>
      </c>
      <c r="E581" s="165">
        <f t="shared" si="11"/>
        <v>-2.8715691883319794E-3</v>
      </c>
    </row>
    <row r="582" spans="1:5">
      <c r="A582" s="189">
        <v>44943</v>
      </c>
      <c r="B582" s="190">
        <v>875.06152299999997</v>
      </c>
      <c r="C582" s="83">
        <v>18216.400390999999</v>
      </c>
      <c r="D582" s="165">
        <f t="shared" si="10"/>
        <v>2.0972937072463171E-3</v>
      </c>
      <c r="E582" s="165">
        <f t="shared" si="11"/>
        <v>7.8676333195728532E-3</v>
      </c>
    </row>
    <row r="583" spans="1:5">
      <c r="A583" s="189">
        <v>44944</v>
      </c>
      <c r="B583" s="190">
        <v>872.58667000000003</v>
      </c>
      <c r="C583" s="83">
        <v>18307.400390999999</v>
      </c>
      <c r="D583" s="165">
        <f t="shared" si="10"/>
        <v>-2.8282045718515114E-3</v>
      </c>
      <c r="E583" s="165">
        <f t="shared" si="11"/>
        <v>4.9954984545113046E-3</v>
      </c>
    </row>
    <row r="584" spans="1:5">
      <c r="A584" s="189">
        <v>44945</v>
      </c>
      <c r="B584" s="190">
        <v>858.232483</v>
      </c>
      <c r="C584" s="83">
        <v>18244.75</v>
      </c>
      <c r="D584" s="165">
        <f t="shared" si="10"/>
        <v>-1.6450156177609254E-2</v>
      </c>
      <c r="E584" s="165">
        <f t="shared" si="11"/>
        <v>-3.4221347467113805E-3</v>
      </c>
    </row>
    <row r="585" spans="1:5">
      <c r="A585" s="189">
        <v>44946</v>
      </c>
      <c r="B585" s="190">
        <v>840.95788600000003</v>
      </c>
      <c r="C585" s="83">
        <v>18169.449218999998</v>
      </c>
      <c r="D585" s="165">
        <f t="shared" si="10"/>
        <v>-2.0128109040589592E-2</v>
      </c>
      <c r="E585" s="165">
        <f t="shared" si="11"/>
        <v>-4.127257485030067E-3</v>
      </c>
    </row>
    <row r="586" spans="1:5">
      <c r="A586" s="189">
        <v>44949</v>
      </c>
      <c r="B586" s="190">
        <v>817.05078100000003</v>
      </c>
      <c r="C586" s="83">
        <v>18249.349609000001</v>
      </c>
      <c r="D586" s="165">
        <f t="shared" si="10"/>
        <v>-2.8428421206338483E-2</v>
      </c>
      <c r="E586" s="165">
        <f t="shared" si="11"/>
        <v>4.3975130471456403E-3</v>
      </c>
    </row>
    <row r="587" spans="1:5">
      <c r="A587" s="189">
        <v>44950</v>
      </c>
      <c r="B587" s="190">
        <v>867.88439900000003</v>
      </c>
      <c r="C587" s="83">
        <v>18245.349609000001</v>
      </c>
      <c r="D587" s="165">
        <f t="shared" si="10"/>
        <v>6.2215983610937942E-2</v>
      </c>
      <c r="E587" s="165">
        <f t="shared" si="11"/>
        <v>-2.1918589350866657E-4</v>
      </c>
    </row>
    <row r="588" spans="1:5">
      <c r="A588" s="189">
        <v>44951</v>
      </c>
      <c r="B588" s="190">
        <v>854.124146</v>
      </c>
      <c r="C588" s="83">
        <v>17974.349609000001</v>
      </c>
      <c r="D588" s="165">
        <f t="shared" si="10"/>
        <v>-1.5854937611339714E-2</v>
      </c>
      <c r="E588" s="165">
        <f t="shared" si="11"/>
        <v>-1.4853099875177023E-2</v>
      </c>
    </row>
    <row r="589" spans="1:5">
      <c r="A589" s="189">
        <v>44953</v>
      </c>
      <c r="B589" s="190">
        <v>838.13659700000005</v>
      </c>
      <c r="C589" s="83">
        <v>17594.5</v>
      </c>
      <c r="D589" s="165">
        <f t="shared" si="10"/>
        <v>-1.8718062327206408E-2</v>
      </c>
      <c r="E589" s="165">
        <f t="shared" si="11"/>
        <v>-2.113287085557769E-2</v>
      </c>
    </row>
    <row r="590" spans="1:5">
      <c r="A590" s="189">
        <v>44956</v>
      </c>
      <c r="B590" s="190">
        <v>825.21777299999997</v>
      </c>
      <c r="C590" s="83">
        <v>17571.849609000001</v>
      </c>
      <c r="D590" s="165">
        <f t="shared" si="10"/>
        <v>-1.5413745260905332E-2</v>
      </c>
      <c r="E590" s="165">
        <f t="shared" si="11"/>
        <v>-1.2873563329448556E-3</v>
      </c>
    </row>
    <row r="591" spans="1:5">
      <c r="A591" s="189">
        <v>44957</v>
      </c>
      <c r="B591" s="190">
        <v>837.59204099999999</v>
      </c>
      <c r="C591" s="83">
        <v>17601</v>
      </c>
      <c r="D591" s="165">
        <f t="shared" si="10"/>
        <v>1.4995154497235985E-2</v>
      </c>
      <c r="E591" s="165">
        <f t="shared" si="11"/>
        <v>1.6589255911381162E-3</v>
      </c>
    </row>
    <row r="592" spans="1:5">
      <c r="A592" s="189">
        <v>44958</v>
      </c>
      <c r="B592" s="190">
        <v>825.26733400000001</v>
      </c>
      <c r="C592" s="83">
        <v>17516.150390999999</v>
      </c>
      <c r="D592" s="165">
        <f t="shared" si="10"/>
        <v>-1.4714450945934932E-2</v>
      </c>
      <c r="E592" s="165">
        <f t="shared" si="11"/>
        <v>-4.8207266064428378E-3</v>
      </c>
    </row>
    <row r="593" spans="1:5">
      <c r="A593" s="189">
        <v>44959</v>
      </c>
      <c r="B593" s="190">
        <v>831.899902</v>
      </c>
      <c r="C593" s="83">
        <v>17490.300781000002</v>
      </c>
      <c r="D593" s="165">
        <f t="shared" si="10"/>
        <v>8.0368720858638998E-3</v>
      </c>
      <c r="E593" s="165">
        <f t="shared" si="11"/>
        <v>-1.4757586240684573E-3</v>
      </c>
    </row>
    <row r="594" spans="1:5">
      <c r="A594" s="189">
        <v>44960</v>
      </c>
      <c r="B594" s="190">
        <v>831.10797100000002</v>
      </c>
      <c r="C594" s="83">
        <v>17687.349609000001</v>
      </c>
      <c r="D594" s="165">
        <f t="shared" si="10"/>
        <v>-9.5195467398911937E-4</v>
      </c>
      <c r="E594" s="165">
        <f t="shared" si="11"/>
        <v>1.1266177206858297E-2</v>
      </c>
    </row>
    <row r="595" spans="1:5">
      <c r="A595" s="189">
        <v>44963</v>
      </c>
      <c r="B595" s="190">
        <v>834.86975099999995</v>
      </c>
      <c r="C595" s="83">
        <v>17611.449218999998</v>
      </c>
      <c r="D595" s="165">
        <f t="shared" si="10"/>
        <v>4.5262229833673562E-3</v>
      </c>
      <c r="E595" s="165">
        <f t="shared" si="11"/>
        <v>-4.2912246140813792E-3</v>
      </c>
    </row>
    <row r="596" spans="1:5">
      <c r="A596" s="189">
        <v>44964</v>
      </c>
      <c r="B596" s="190">
        <v>825.514771</v>
      </c>
      <c r="C596" s="83">
        <v>17569.699218999998</v>
      </c>
      <c r="D596" s="165">
        <f t="shared" si="10"/>
        <v>-1.1205316744072547E-2</v>
      </c>
      <c r="E596" s="165">
        <f t="shared" si="11"/>
        <v>-2.3706169481474415E-3</v>
      </c>
    </row>
    <row r="597" spans="1:5">
      <c r="A597" s="189">
        <v>44965</v>
      </c>
      <c r="B597" s="190">
        <v>829.42504899999994</v>
      </c>
      <c r="C597" s="83">
        <v>17719.849609000001</v>
      </c>
      <c r="D597" s="165">
        <f t="shared" si="10"/>
        <v>4.736775327791154E-3</v>
      </c>
      <c r="E597" s="165">
        <f t="shared" si="11"/>
        <v>8.5459852287983473E-3</v>
      </c>
    </row>
    <row r="598" spans="1:5">
      <c r="A598" s="189">
        <v>44966</v>
      </c>
      <c r="B598" s="190">
        <v>832.88983199999996</v>
      </c>
      <c r="C598" s="83">
        <v>17723.849609000001</v>
      </c>
      <c r="D598" s="165">
        <f t="shared" ref="D598:D661" si="12">B598/B597-1</f>
        <v>4.1773310369361827E-3</v>
      </c>
      <c r="E598" s="165">
        <f t="shared" ref="E598:E661" si="13">C598/C597-1</f>
        <v>2.2573555014648861E-4</v>
      </c>
    </row>
    <row r="599" spans="1:5">
      <c r="A599" s="189">
        <v>44967</v>
      </c>
      <c r="B599" s="190">
        <v>840.80938700000002</v>
      </c>
      <c r="C599" s="83">
        <v>17685.449218999998</v>
      </c>
      <c r="D599" s="165">
        <f t="shared" si="12"/>
        <v>9.5085264529919389E-3</v>
      </c>
      <c r="E599" s="165">
        <f t="shared" si="13"/>
        <v>-2.1665942132855776E-3</v>
      </c>
    </row>
    <row r="600" spans="1:5">
      <c r="A600" s="189">
        <v>44970</v>
      </c>
      <c r="B600" s="190">
        <v>829.02911400000005</v>
      </c>
      <c r="C600" s="83">
        <v>17575.150390999999</v>
      </c>
      <c r="D600" s="165">
        <f t="shared" si="12"/>
        <v>-1.4010634493546559E-2</v>
      </c>
      <c r="E600" s="165">
        <f t="shared" si="13"/>
        <v>-6.2366992567823853E-3</v>
      </c>
    </row>
    <row r="601" spans="1:5">
      <c r="A601" s="189">
        <v>44971</v>
      </c>
      <c r="B601" s="190">
        <v>829.42504899999994</v>
      </c>
      <c r="C601" s="83">
        <v>17702.349609000001</v>
      </c>
      <c r="D601" s="165">
        <f t="shared" si="12"/>
        <v>4.7758877621251195E-4</v>
      </c>
      <c r="E601" s="165">
        <f t="shared" si="13"/>
        <v>7.2374469162517219E-3</v>
      </c>
    </row>
    <row r="602" spans="1:5">
      <c r="A602" s="189">
        <v>44972</v>
      </c>
      <c r="B602" s="190">
        <v>827.29663100000005</v>
      </c>
      <c r="C602" s="83">
        <v>17786.900390999999</v>
      </c>
      <c r="D602" s="165">
        <f t="shared" si="12"/>
        <v>-2.5661366299053467E-3</v>
      </c>
      <c r="E602" s="165">
        <f t="shared" si="13"/>
        <v>4.7762463100951003E-3</v>
      </c>
    </row>
    <row r="603" spans="1:5">
      <c r="A603" s="189">
        <v>44973</v>
      </c>
      <c r="B603" s="190">
        <v>846.99652100000003</v>
      </c>
      <c r="C603" s="83">
        <v>17814.900390999999</v>
      </c>
      <c r="D603" s="165">
        <f t="shared" si="12"/>
        <v>2.3812365797002633E-2</v>
      </c>
      <c r="E603" s="165">
        <f t="shared" si="13"/>
        <v>1.5741922080008131E-3</v>
      </c>
    </row>
    <row r="604" spans="1:5">
      <c r="A604" s="189">
        <v>44974</v>
      </c>
      <c r="B604" s="190">
        <v>842.09637499999997</v>
      </c>
      <c r="C604" s="83">
        <v>17721.050781000002</v>
      </c>
      <c r="D604" s="165">
        <f t="shared" si="12"/>
        <v>-5.785320102867364E-3</v>
      </c>
      <c r="E604" s="165">
        <f t="shared" si="13"/>
        <v>-5.2680401203595295E-3</v>
      </c>
    </row>
    <row r="605" spans="1:5">
      <c r="A605" s="189">
        <v>44977</v>
      </c>
      <c r="B605" s="190">
        <v>896.44427499999995</v>
      </c>
      <c r="C605" s="83">
        <v>17626.900390999999</v>
      </c>
      <c r="D605" s="165">
        <f t="shared" si="12"/>
        <v>6.4538812436996773E-2</v>
      </c>
      <c r="E605" s="165">
        <f t="shared" si="13"/>
        <v>-5.3129123754301899E-3</v>
      </c>
    </row>
    <row r="606" spans="1:5">
      <c r="A606" s="189">
        <v>44978</v>
      </c>
      <c r="B606" s="190">
        <v>898.86968999999999</v>
      </c>
      <c r="C606" s="83">
        <v>17604.400390999999</v>
      </c>
      <c r="D606" s="165">
        <f t="shared" si="12"/>
        <v>2.705594834659486E-3</v>
      </c>
      <c r="E606" s="165">
        <f t="shared" si="13"/>
        <v>-1.2764581123683172E-3</v>
      </c>
    </row>
    <row r="607" spans="1:5">
      <c r="A607" s="189">
        <v>44979</v>
      </c>
      <c r="B607" s="190">
        <v>867.48840299999995</v>
      </c>
      <c r="C607" s="83">
        <v>17335</v>
      </c>
      <c r="D607" s="165">
        <f t="shared" si="12"/>
        <v>-3.4911942575347132E-2</v>
      </c>
      <c r="E607" s="165">
        <f t="shared" si="13"/>
        <v>-1.5303014304180795E-2</v>
      </c>
    </row>
    <row r="608" spans="1:5">
      <c r="A608" s="189">
        <v>44980</v>
      </c>
      <c r="B608" s="190">
        <v>858.43042000000003</v>
      </c>
      <c r="C608" s="83">
        <v>17286.300781000002</v>
      </c>
      <c r="D608" s="165">
        <f t="shared" si="12"/>
        <v>-1.0441618549222209E-2</v>
      </c>
      <c r="E608" s="165">
        <f t="shared" si="13"/>
        <v>-2.8093002019035085E-3</v>
      </c>
    </row>
    <row r="609" spans="1:5">
      <c r="A609" s="189">
        <v>44981</v>
      </c>
      <c r="B609" s="190">
        <v>852.54028300000004</v>
      </c>
      <c r="C609" s="83">
        <v>17242.150390999999</v>
      </c>
      <c r="D609" s="165">
        <f t="shared" si="12"/>
        <v>-6.861519422855511E-3</v>
      </c>
      <c r="E609" s="165">
        <f t="shared" si="13"/>
        <v>-2.5540681351865491E-3</v>
      </c>
    </row>
    <row r="610" spans="1:5">
      <c r="A610" s="189">
        <v>44984</v>
      </c>
      <c r="B610" s="190">
        <v>840.06689500000005</v>
      </c>
      <c r="C610" s="83">
        <v>17156.150390999999</v>
      </c>
      <c r="D610" s="165">
        <f t="shared" si="12"/>
        <v>-1.4630848827585585E-2</v>
      </c>
      <c r="E610" s="165">
        <f t="shared" si="13"/>
        <v>-4.9877769332582478E-3</v>
      </c>
    </row>
    <row r="611" spans="1:5">
      <c r="A611" s="189">
        <v>44985</v>
      </c>
      <c r="B611" s="190">
        <v>847.44207800000004</v>
      </c>
      <c r="C611" s="83">
        <v>17083.800781000002</v>
      </c>
      <c r="D611" s="165">
        <f t="shared" si="12"/>
        <v>8.7792806071711471E-3</v>
      </c>
      <c r="E611" s="165">
        <f t="shared" si="13"/>
        <v>-4.2171237924069072E-3</v>
      </c>
    </row>
    <row r="612" spans="1:5">
      <c r="A612" s="189">
        <v>44986</v>
      </c>
      <c r="B612" s="190">
        <v>848.53106700000001</v>
      </c>
      <c r="C612" s="83">
        <v>17238.449218999998</v>
      </c>
      <c r="D612" s="165">
        <f t="shared" si="12"/>
        <v>1.2850305976899179E-3</v>
      </c>
      <c r="E612" s="165">
        <f t="shared" si="13"/>
        <v>9.0523437952982899E-3</v>
      </c>
    </row>
    <row r="613" spans="1:5">
      <c r="A613" s="189">
        <v>44987</v>
      </c>
      <c r="B613" s="190">
        <v>841.60137899999995</v>
      </c>
      <c r="C613" s="83">
        <v>17129.650390999999</v>
      </c>
      <c r="D613" s="165">
        <f t="shared" si="12"/>
        <v>-8.1666874313749416E-3</v>
      </c>
      <c r="E613" s="165">
        <f t="shared" si="13"/>
        <v>-6.3114046175384297E-3</v>
      </c>
    </row>
    <row r="614" spans="1:5">
      <c r="A614" s="189">
        <v>44988</v>
      </c>
      <c r="B614" s="190">
        <v>845.26415999999995</v>
      </c>
      <c r="C614" s="83">
        <v>17385.949218999998</v>
      </c>
      <c r="D614" s="165">
        <f t="shared" si="12"/>
        <v>4.3521566045343629E-3</v>
      </c>
      <c r="E614" s="165">
        <f t="shared" si="13"/>
        <v>1.4962291824394791E-2</v>
      </c>
    </row>
    <row r="615" spans="1:5">
      <c r="A615" s="189">
        <v>44991</v>
      </c>
      <c r="B615" s="190">
        <v>850.56036400000005</v>
      </c>
      <c r="C615" s="83">
        <v>17506.300781000002</v>
      </c>
      <c r="D615" s="165">
        <f t="shared" si="12"/>
        <v>6.265738275239352E-3</v>
      </c>
      <c r="E615" s="165">
        <f t="shared" si="13"/>
        <v>6.9223463432459553E-3</v>
      </c>
    </row>
    <row r="616" spans="1:5">
      <c r="A616" s="189">
        <v>44993</v>
      </c>
      <c r="B616" s="190">
        <v>850.31286599999999</v>
      </c>
      <c r="C616" s="83">
        <v>17552.949218999998</v>
      </c>
      <c r="D616" s="165">
        <f t="shared" si="12"/>
        <v>-2.9098228706092577E-4</v>
      </c>
      <c r="E616" s="165">
        <f t="shared" si="13"/>
        <v>2.66466563002421E-3</v>
      </c>
    </row>
    <row r="617" spans="1:5">
      <c r="A617" s="189">
        <v>44994</v>
      </c>
      <c r="B617" s="190">
        <v>839.81939699999998</v>
      </c>
      <c r="C617" s="83">
        <v>17398.300781000002</v>
      </c>
      <c r="D617" s="165">
        <f t="shared" si="12"/>
        <v>-1.2340715305606098E-2</v>
      </c>
      <c r="E617" s="165">
        <f t="shared" si="13"/>
        <v>-8.8103962513945699E-3</v>
      </c>
    </row>
    <row r="618" spans="1:5">
      <c r="A618" s="189">
        <v>44995</v>
      </c>
      <c r="B618" s="190">
        <v>833.78082300000005</v>
      </c>
      <c r="C618" s="83">
        <v>17244.300781000002</v>
      </c>
      <c r="D618" s="165">
        <f t="shared" si="12"/>
        <v>-7.1903245168793983E-3</v>
      </c>
      <c r="E618" s="165">
        <f t="shared" si="13"/>
        <v>-8.8514391111215174E-3</v>
      </c>
    </row>
    <row r="619" spans="1:5">
      <c r="A619" s="189">
        <v>44998</v>
      </c>
      <c r="B619" s="190">
        <v>821.80249000000003</v>
      </c>
      <c r="C619" s="83">
        <v>16997.300781000002</v>
      </c>
      <c r="D619" s="165">
        <f t="shared" si="12"/>
        <v>-1.4366285083052377E-2</v>
      </c>
      <c r="E619" s="165">
        <f t="shared" si="13"/>
        <v>-1.4323572937915086E-2</v>
      </c>
    </row>
    <row r="620" spans="1:5">
      <c r="A620" s="189">
        <v>44999</v>
      </c>
      <c r="B620" s="190">
        <v>819.03063999999995</v>
      </c>
      <c r="C620" s="83">
        <v>16887.050781000002</v>
      </c>
      <c r="D620" s="165">
        <f t="shared" si="12"/>
        <v>-3.3728907294988675E-3</v>
      </c>
      <c r="E620" s="165">
        <f t="shared" si="13"/>
        <v>-6.4863240005283984E-3</v>
      </c>
    </row>
    <row r="621" spans="1:5">
      <c r="A621" s="189">
        <v>45000</v>
      </c>
      <c r="B621" s="190">
        <v>814.27886999999998</v>
      </c>
      <c r="C621" s="83">
        <v>16825.050781000002</v>
      </c>
      <c r="D621" s="165">
        <f t="shared" si="12"/>
        <v>-5.8016999217513909E-3</v>
      </c>
      <c r="E621" s="165">
        <f t="shared" si="13"/>
        <v>-3.6714522153126206E-3</v>
      </c>
    </row>
    <row r="622" spans="1:5">
      <c r="A622" s="189">
        <v>45001</v>
      </c>
      <c r="B622" s="190">
        <v>804.03295900000001</v>
      </c>
      <c r="C622" s="83">
        <v>16852.25</v>
      </c>
      <c r="D622" s="165">
        <f t="shared" si="12"/>
        <v>-1.2582803481072768E-2</v>
      </c>
      <c r="E622" s="165">
        <f t="shared" si="13"/>
        <v>1.6165906037390876E-3</v>
      </c>
    </row>
    <row r="623" spans="1:5">
      <c r="A623" s="189">
        <v>45002</v>
      </c>
      <c r="B623" s="190">
        <v>810.76458700000001</v>
      </c>
      <c r="C623" s="83">
        <v>16964.800781000002</v>
      </c>
      <c r="D623" s="165">
        <f t="shared" si="12"/>
        <v>8.3723284283923061E-3</v>
      </c>
      <c r="E623" s="165">
        <f t="shared" si="13"/>
        <v>6.6786797608628934E-3</v>
      </c>
    </row>
    <row r="624" spans="1:5">
      <c r="A624" s="189">
        <v>45005</v>
      </c>
      <c r="B624" s="190">
        <v>797.84588599999995</v>
      </c>
      <c r="C624" s="83">
        <v>16852.900390999999</v>
      </c>
      <c r="D624" s="165">
        <f t="shared" si="12"/>
        <v>-1.5933972952373199E-2</v>
      </c>
      <c r="E624" s="165">
        <f t="shared" si="13"/>
        <v>-6.5960332481668216E-3</v>
      </c>
    </row>
    <row r="625" spans="1:5">
      <c r="A625" s="189">
        <v>45006</v>
      </c>
      <c r="B625" s="190">
        <v>798.09326199999998</v>
      </c>
      <c r="C625" s="83">
        <v>16970.5</v>
      </c>
      <c r="D625" s="165">
        <f t="shared" si="12"/>
        <v>3.1005486691193518E-4</v>
      </c>
      <c r="E625" s="165">
        <f t="shared" si="13"/>
        <v>6.9780041578364482E-3</v>
      </c>
    </row>
    <row r="626" spans="1:5">
      <c r="A626" s="189">
        <v>45007</v>
      </c>
      <c r="B626" s="190">
        <v>794.52948000000004</v>
      </c>
      <c r="C626" s="83">
        <v>17026.199218999998</v>
      </c>
      <c r="D626" s="165">
        <f t="shared" si="12"/>
        <v>-4.4653703641968079E-3</v>
      </c>
      <c r="E626" s="165">
        <f t="shared" si="13"/>
        <v>3.2821200907455772E-3</v>
      </c>
    </row>
    <row r="627" spans="1:5">
      <c r="A627" s="189">
        <v>45008</v>
      </c>
      <c r="B627" s="190">
        <v>796.45989999999995</v>
      </c>
      <c r="C627" s="83">
        <v>16958.150390999999</v>
      </c>
      <c r="D627" s="165">
        <f t="shared" si="12"/>
        <v>2.4296392375522391E-3</v>
      </c>
      <c r="E627" s="165">
        <f t="shared" si="13"/>
        <v>-3.9967127792127632E-3</v>
      </c>
    </row>
    <row r="628" spans="1:5">
      <c r="A628" s="189">
        <v>45009</v>
      </c>
      <c r="B628" s="190">
        <v>788.83727999999996</v>
      </c>
      <c r="C628" s="83">
        <v>16831.800781000002</v>
      </c>
      <c r="D628" s="165">
        <f t="shared" si="12"/>
        <v>-9.5706262173399503E-3</v>
      </c>
      <c r="E628" s="165">
        <f t="shared" si="13"/>
        <v>-7.4506716290859698E-3</v>
      </c>
    </row>
    <row r="629" spans="1:5">
      <c r="A629" s="189">
        <v>45012</v>
      </c>
      <c r="B629" s="190">
        <v>776.017517</v>
      </c>
      <c r="C629" s="83">
        <v>16849.300781000002</v>
      </c>
      <c r="D629" s="165">
        <f t="shared" si="12"/>
        <v>-1.6251466969208095E-2</v>
      </c>
      <c r="E629" s="165">
        <f t="shared" si="13"/>
        <v>1.039698617378626E-3</v>
      </c>
    </row>
    <row r="630" spans="1:5">
      <c r="A630" s="189">
        <v>45013</v>
      </c>
      <c r="B630" s="190">
        <v>762.45538299999998</v>
      </c>
      <c r="C630" s="83">
        <v>16795.349609000001</v>
      </c>
      <c r="D630" s="165">
        <f t="shared" si="12"/>
        <v>-1.7476582297303977E-2</v>
      </c>
      <c r="E630" s="165">
        <f t="shared" si="13"/>
        <v>-3.2019828419728169E-3</v>
      </c>
    </row>
    <row r="631" spans="1:5">
      <c r="A631" s="189">
        <v>45014</v>
      </c>
      <c r="B631" s="190">
        <v>758.39654499999995</v>
      </c>
      <c r="C631" s="83">
        <v>16918.050781000002</v>
      </c>
      <c r="D631" s="165">
        <f t="shared" si="12"/>
        <v>-5.3233777221558531E-3</v>
      </c>
      <c r="E631" s="165">
        <f t="shared" si="13"/>
        <v>7.3056634637869156E-3</v>
      </c>
    </row>
    <row r="632" spans="1:5">
      <c r="A632" s="189">
        <v>45016</v>
      </c>
      <c r="B632" s="190">
        <v>760.12896699999999</v>
      </c>
      <c r="C632" s="83">
        <v>17186.150390999999</v>
      </c>
      <c r="D632" s="165">
        <f t="shared" si="12"/>
        <v>2.2843221154178472E-3</v>
      </c>
      <c r="E632" s="165">
        <f t="shared" si="13"/>
        <v>1.5846956216793551E-2</v>
      </c>
    </row>
    <row r="633" spans="1:5">
      <c r="A633" s="189">
        <v>45019</v>
      </c>
      <c r="B633" s="190">
        <v>783.73913600000003</v>
      </c>
      <c r="C633" s="83">
        <v>17224.75</v>
      </c>
      <c r="D633" s="165">
        <f t="shared" si="12"/>
        <v>3.1060741038698048E-2</v>
      </c>
      <c r="E633" s="165">
        <f t="shared" si="13"/>
        <v>2.2459717925087386E-3</v>
      </c>
    </row>
    <row r="634" spans="1:5">
      <c r="A634" s="189">
        <v>45021</v>
      </c>
      <c r="B634" s="190">
        <v>801.31066899999996</v>
      </c>
      <c r="C634" s="83">
        <v>17373.949218999998</v>
      </c>
      <c r="D634" s="165">
        <f t="shared" si="12"/>
        <v>2.2420129597815475E-2</v>
      </c>
      <c r="E634" s="165">
        <f t="shared" si="13"/>
        <v>8.6619091133397497E-3</v>
      </c>
    </row>
    <row r="635" spans="1:5">
      <c r="A635" s="189">
        <v>45022</v>
      </c>
      <c r="B635" s="190">
        <v>797.49932899999999</v>
      </c>
      <c r="C635" s="83">
        <v>17414.650390999999</v>
      </c>
      <c r="D635" s="165">
        <f t="shared" si="12"/>
        <v>-4.7563824462194537E-3</v>
      </c>
      <c r="E635" s="165">
        <f t="shared" si="13"/>
        <v>2.3426551722327549E-3</v>
      </c>
    </row>
    <row r="636" spans="1:5">
      <c r="A636" s="189">
        <v>45026</v>
      </c>
      <c r="B636" s="190">
        <v>794.67797900000005</v>
      </c>
      <c r="C636" s="83">
        <v>17446.300781000002</v>
      </c>
      <c r="D636" s="165">
        <f t="shared" si="12"/>
        <v>-3.5377459232945885E-3</v>
      </c>
      <c r="E636" s="165">
        <f t="shared" si="13"/>
        <v>1.8174576743934523E-3</v>
      </c>
    </row>
    <row r="637" spans="1:5">
      <c r="A637" s="189">
        <v>45027</v>
      </c>
      <c r="B637" s="190">
        <v>799.28125</v>
      </c>
      <c r="C637" s="83">
        <v>17540.800781000002</v>
      </c>
      <c r="D637" s="165">
        <f t="shared" si="12"/>
        <v>5.7926243354478046E-3</v>
      </c>
      <c r="E637" s="165">
        <f t="shared" si="13"/>
        <v>5.4166210468475917E-3</v>
      </c>
    </row>
    <row r="638" spans="1:5">
      <c r="A638" s="189">
        <v>45028</v>
      </c>
      <c r="B638" s="190">
        <v>801.26110800000004</v>
      </c>
      <c r="C638" s="83">
        <v>17626.900390999999</v>
      </c>
      <c r="D638" s="165">
        <f t="shared" si="12"/>
        <v>2.4770479727880268E-3</v>
      </c>
      <c r="E638" s="165">
        <f t="shared" si="13"/>
        <v>4.9085335997465229E-3</v>
      </c>
    </row>
    <row r="639" spans="1:5">
      <c r="A639" s="189">
        <v>45029</v>
      </c>
      <c r="B639" s="190">
        <v>799.33074999999997</v>
      </c>
      <c r="C639" s="83">
        <v>17635.150390999999</v>
      </c>
      <c r="D639" s="165">
        <f t="shared" si="12"/>
        <v>-2.409149752467532E-3</v>
      </c>
      <c r="E639" s="165">
        <f t="shared" si="13"/>
        <v>4.6803464120181992E-4</v>
      </c>
    </row>
    <row r="640" spans="1:5">
      <c r="A640" s="189">
        <v>45033</v>
      </c>
      <c r="B640" s="190">
        <v>792.64862100000005</v>
      </c>
      <c r="C640" s="83">
        <v>17543.449218999998</v>
      </c>
      <c r="D640" s="165">
        <f t="shared" si="12"/>
        <v>-8.3596546235709113E-3</v>
      </c>
      <c r="E640" s="165">
        <f t="shared" si="13"/>
        <v>-5.199908703177325E-3</v>
      </c>
    </row>
    <row r="641" spans="1:5">
      <c r="A641" s="189">
        <v>45034</v>
      </c>
      <c r="B641" s="190">
        <v>792.74761999999998</v>
      </c>
      <c r="C641" s="83">
        <v>17510.849609000001</v>
      </c>
      <c r="D641" s="165">
        <f t="shared" si="12"/>
        <v>1.2489645143776151E-4</v>
      </c>
      <c r="E641" s="165">
        <f t="shared" si="13"/>
        <v>-1.8582212421882627E-3</v>
      </c>
    </row>
    <row r="642" spans="1:5">
      <c r="A642" s="189">
        <v>45035</v>
      </c>
      <c r="B642" s="190">
        <v>791.85668899999996</v>
      </c>
      <c r="C642" s="83">
        <v>17455.449218999998</v>
      </c>
      <c r="D642" s="165">
        <f t="shared" si="12"/>
        <v>-1.1238520022299747E-3</v>
      </c>
      <c r="E642" s="165">
        <f t="shared" si="13"/>
        <v>-3.1637751015535232E-3</v>
      </c>
    </row>
    <row r="643" spans="1:5">
      <c r="A643" s="189">
        <v>45036</v>
      </c>
      <c r="B643" s="190">
        <v>790.71826199999998</v>
      </c>
      <c r="C643" s="83">
        <v>17459.849609000001</v>
      </c>
      <c r="D643" s="165">
        <f t="shared" si="12"/>
        <v>-1.4376679717609253E-3</v>
      </c>
      <c r="E643" s="165">
        <f t="shared" si="13"/>
        <v>2.5209262418823819E-4</v>
      </c>
    </row>
    <row r="644" spans="1:5">
      <c r="A644" s="189">
        <v>45037</v>
      </c>
      <c r="B644" s="190">
        <v>788.73834199999999</v>
      </c>
      <c r="C644" s="83">
        <v>17455.25</v>
      </c>
      <c r="D644" s="165">
        <f t="shared" si="12"/>
        <v>-2.5039512746197756E-3</v>
      </c>
      <c r="E644" s="165">
        <f t="shared" si="13"/>
        <v>-2.6343921070370868E-4</v>
      </c>
    </row>
    <row r="645" spans="1:5">
      <c r="A645" s="189">
        <v>45040</v>
      </c>
      <c r="B645" s="190">
        <v>788.24340800000004</v>
      </c>
      <c r="C645" s="83">
        <v>17564.400390999999</v>
      </c>
      <c r="D645" s="165">
        <f t="shared" si="12"/>
        <v>-6.2750087531560084E-4</v>
      </c>
      <c r="E645" s="165">
        <f t="shared" si="13"/>
        <v>6.2531554116955768E-3</v>
      </c>
    </row>
    <row r="646" spans="1:5">
      <c r="A646" s="189">
        <v>45041</v>
      </c>
      <c r="B646" s="190">
        <v>794.23254399999996</v>
      </c>
      <c r="C646" s="83">
        <v>17600.050781000002</v>
      </c>
      <c r="D646" s="165">
        <f t="shared" si="12"/>
        <v>7.5980793993521978E-3</v>
      </c>
      <c r="E646" s="165">
        <f t="shared" si="13"/>
        <v>2.029695816901933E-3</v>
      </c>
    </row>
    <row r="647" spans="1:5">
      <c r="A647" s="189">
        <v>45042</v>
      </c>
      <c r="B647" s="190">
        <v>797.35089100000005</v>
      </c>
      <c r="C647" s="83">
        <v>17645.550781000002</v>
      </c>
      <c r="D647" s="165">
        <f t="shared" si="12"/>
        <v>3.9262392652599232E-3</v>
      </c>
      <c r="E647" s="165">
        <f t="shared" si="13"/>
        <v>2.5852198136335769E-3</v>
      </c>
    </row>
    <row r="648" spans="1:5">
      <c r="A648" s="189">
        <v>45043</v>
      </c>
      <c r="B648" s="190">
        <v>799.23168899999996</v>
      </c>
      <c r="C648" s="83">
        <v>17739.949218999998</v>
      </c>
      <c r="D648" s="165">
        <f t="shared" si="12"/>
        <v>2.3588084257875064E-3</v>
      </c>
      <c r="E648" s="165">
        <f t="shared" si="13"/>
        <v>5.3497019827593029E-3</v>
      </c>
    </row>
    <row r="649" spans="1:5">
      <c r="A649" s="189">
        <v>45044</v>
      </c>
      <c r="B649" s="190">
        <v>814.47686799999997</v>
      </c>
      <c r="C649" s="83">
        <v>17903.949218999998</v>
      </c>
      <c r="D649" s="165">
        <f t="shared" si="12"/>
        <v>1.9074792966573773E-2</v>
      </c>
      <c r="E649" s="165">
        <f t="shared" si="13"/>
        <v>9.2446713333513841E-3</v>
      </c>
    </row>
    <row r="650" spans="1:5">
      <c r="A650" s="189">
        <v>45048</v>
      </c>
      <c r="B650" s="190">
        <v>819.92163100000005</v>
      </c>
      <c r="C650" s="83">
        <v>17989.300781000002</v>
      </c>
      <c r="D650" s="165">
        <f t="shared" si="12"/>
        <v>6.6849817519925026E-3</v>
      </c>
      <c r="E650" s="165">
        <f t="shared" si="13"/>
        <v>4.7671919170451105E-3</v>
      </c>
    </row>
    <row r="651" spans="1:5">
      <c r="A651" s="189">
        <v>45049</v>
      </c>
      <c r="B651" s="190">
        <v>820.91156000000001</v>
      </c>
      <c r="C651" s="83">
        <v>17941.099609000001</v>
      </c>
      <c r="D651" s="165">
        <f t="shared" si="12"/>
        <v>1.2073458762060785E-3</v>
      </c>
      <c r="E651" s="165">
        <f t="shared" si="13"/>
        <v>-2.6794355482070431E-3</v>
      </c>
    </row>
    <row r="652" spans="1:5">
      <c r="A652" s="189">
        <v>45050</v>
      </c>
      <c r="B652" s="190">
        <v>820.61456299999998</v>
      </c>
      <c r="C652" s="83">
        <v>18099.75</v>
      </c>
      <c r="D652" s="165">
        <f t="shared" si="12"/>
        <v>-3.6178927727614774E-4</v>
      </c>
      <c r="E652" s="165">
        <f t="shared" si="13"/>
        <v>8.8428465622258923E-3</v>
      </c>
    </row>
    <row r="653" spans="1:5">
      <c r="A653" s="189">
        <v>45051</v>
      </c>
      <c r="B653" s="190">
        <v>862.68719499999997</v>
      </c>
      <c r="C653" s="83">
        <v>17939.25</v>
      </c>
      <c r="D653" s="165">
        <f t="shared" si="12"/>
        <v>5.1269662880696343E-2</v>
      </c>
      <c r="E653" s="165">
        <f t="shared" si="13"/>
        <v>-8.8675257945551866E-3</v>
      </c>
    </row>
    <row r="654" spans="1:5">
      <c r="A654" s="189">
        <v>45054</v>
      </c>
      <c r="B654" s="190">
        <v>846.99652100000003</v>
      </c>
      <c r="C654" s="83">
        <v>18118.5</v>
      </c>
      <c r="D654" s="165">
        <f t="shared" si="12"/>
        <v>-1.8188138285743283E-2</v>
      </c>
      <c r="E654" s="165">
        <f t="shared" si="13"/>
        <v>9.9920565241022885E-3</v>
      </c>
    </row>
    <row r="655" spans="1:5">
      <c r="A655" s="189">
        <v>45055</v>
      </c>
      <c r="B655" s="190">
        <v>846.20465100000001</v>
      </c>
      <c r="C655" s="83">
        <v>18114.050781000002</v>
      </c>
      <c r="D655" s="165">
        <f t="shared" si="12"/>
        <v>-9.3491529229083881E-4</v>
      </c>
      <c r="E655" s="165">
        <f t="shared" si="13"/>
        <v>-2.4556221541505163E-4</v>
      </c>
    </row>
    <row r="656" spans="1:5">
      <c r="A656" s="189">
        <v>45056</v>
      </c>
      <c r="B656" s="190">
        <v>839.57195999999999</v>
      </c>
      <c r="C656" s="83">
        <v>18170.849609000001</v>
      </c>
      <c r="D656" s="165">
        <f t="shared" si="12"/>
        <v>-7.8381641984144323E-3</v>
      </c>
      <c r="E656" s="165">
        <f t="shared" si="13"/>
        <v>3.135622654849568E-3</v>
      </c>
    </row>
    <row r="657" spans="1:5">
      <c r="A657" s="189">
        <v>45057</v>
      </c>
      <c r="B657" s="190">
        <v>840.11645499999997</v>
      </c>
      <c r="C657" s="83">
        <v>18174.25</v>
      </c>
      <c r="D657" s="165">
        <f t="shared" si="12"/>
        <v>6.4853881018134274E-4</v>
      </c>
      <c r="E657" s="165">
        <f t="shared" si="13"/>
        <v>1.8713439784967534E-4</v>
      </c>
    </row>
    <row r="658" spans="1:5">
      <c r="A658" s="189">
        <v>45058</v>
      </c>
      <c r="B658" s="190">
        <v>846.94702099999995</v>
      </c>
      <c r="C658" s="83">
        <v>18181.949218999998</v>
      </c>
      <c r="D658" s="165">
        <f t="shared" si="12"/>
        <v>8.1304990032602387E-3</v>
      </c>
      <c r="E658" s="165">
        <f t="shared" si="13"/>
        <v>4.2363338239526094E-4</v>
      </c>
    </row>
    <row r="659" spans="1:5">
      <c r="A659" s="189">
        <v>45061</v>
      </c>
      <c r="B659" s="190">
        <v>855.60906999999997</v>
      </c>
      <c r="C659" s="83">
        <v>18258.099609000001</v>
      </c>
      <c r="D659" s="165">
        <f t="shared" si="12"/>
        <v>1.0227379972093997E-2</v>
      </c>
      <c r="E659" s="165">
        <f t="shared" si="13"/>
        <v>4.1882412651568224E-3</v>
      </c>
    </row>
    <row r="660" spans="1:5">
      <c r="A660" s="189">
        <v>45062</v>
      </c>
      <c r="B660" s="190">
        <v>859.42040999999995</v>
      </c>
      <c r="C660" s="83">
        <v>18162.25</v>
      </c>
      <c r="D660" s="165">
        <f t="shared" si="12"/>
        <v>4.4545343587814035E-3</v>
      </c>
      <c r="E660" s="165">
        <f t="shared" si="13"/>
        <v>-5.2497034769573014E-3</v>
      </c>
    </row>
    <row r="661" spans="1:5">
      <c r="A661" s="189">
        <v>45063</v>
      </c>
      <c r="B661" s="190">
        <v>859.96490500000004</v>
      </c>
      <c r="C661" s="83">
        <v>18056.699218999998</v>
      </c>
      <c r="D661" s="165">
        <f t="shared" si="12"/>
        <v>6.3356070400999442E-4</v>
      </c>
      <c r="E661" s="165">
        <f t="shared" si="13"/>
        <v>-5.8115476331402904E-3</v>
      </c>
    </row>
    <row r="662" spans="1:5">
      <c r="A662" s="189">
        <v>45064</v>
      </c>
      <c r="B662" s="190">
        <v>867.04290800000001</v>
      </c>
      <c r="C662" s="83">
        <v>17985.75</v>
      </c>
      <c r="D662" s="165">
        <f t="shared" ref="D662:D725" si="14">B662/B661-1</f>
        <v>8.2305719208390915E-3</v>
      </c>
      <c r="E662" s="165">
        <f t="shared" ref="E662:E725" si="15">C662/C661-1</f>
        <v>-3.9292463223479235E-3</v>
      </c>
    </row>
    <row r="663" spans="1:5">
      <c r="A663" s="189">
        <v>45065</v>
      </c>
      <c r="B663" s="190">
        <v>866.20147699999995</v>
      </c>
      <c r="C663" s="83">
        <v>18060.349609000001</v>
      </c>
      <c r="D663" s="165">
        <f t="shared" si="14"/>
        <v>-9.704606222326051E-4</v>
      </c>
      <c r="E663" s="165">
        <f t="shared" si="15"/>
        <v>4.1477063230612732E-3</v>
      </c>
    </row>
    <row r="664" spans="1:5">
      <c r="A664" s="189">
        <v>45068</v>
      </c>
      <c r="B664" s="190">
        <v>894.167419</v>
      </c>
      <c r="C664" s="83">
        <v>18180.900390999999</v>
      </c>
      <c r="D664" s="165">
        <f t="shared" si="14"/>
        <v>3.2285724213790612E-2</v>
      </c>
      <c r="E664" s="165">
        <f t="shared" si="15"/>
        <v>6.674886400865887E-3</v>
      </c>
    </row>
    <row r="665" spans="1:5">
      <c r="A665" s="189">
        <v>45069</v>
      </c>
      <c r="B665" s="190">
        <v>881.84258999999997</v>
      </c>
      <c r="C665" s="83">
        <v>18219.800781000002</v>
      </c>
      <c r="D665" s="165">
        <f t="shared" si="14"/>
        <v>-1.3783580947048568E-2</v>
      </c>
      <c r="E665" s="165">
        <f t="shared" si="15"/>
        <v>2.1396294552749051E-3</v>
      </c>
    </row>
    <row r="666" spans="1:5">
      <c r="A666" s="189">
        <v>45070</v>
      </c>
      <c r="B666" s="190">
        <v>869.66632100000004</v>
      </c>
      <c r="C666" s="83">
        <v>18170</v>
      </c>
      <c r="D666" s="165">
        <f t="shared" si="14"/>
        <v>-1.3807757912894569E-2</v>
      </c>
      <c r="E666" s="165">
        <f t="shared" si="15"/>
        <v>-2.7333329051508759E-3</v>
      </c>
    </row>
    <row r="667" spans="1:5">
      <c r="A667" s="189">
        <v>45071</v>
      </c>
      <c r="B667" s="190">
        <v>873.032104</v>
      </c>
      <c r="C667" s="83">
        <v>18213.599609000001</v>
      </c>
      <c r="D667" s="165">
        <f t="shared" si="14"/>
        <v>3.8702004650814636E-3</v>
      </c>
      <c r="E667" s="165">
        <f t="shared" si="15"/>
        <v>2.3995381948267447E-3</v>
      </c>
    </row>
    <row r="668" spans="1:5">
      <c r="A668" s="189">
        <v>45072</v>
      </c>
      <c r="B668" s="190">
        <v>879.51623500000005</v>
      </c>
      <c r="C668" s="83">
        <v>18393.050781000002</v>
      </c>
      <c r="D668" s="165">
        <f t="shared" si="14"/>
        <v>7.4271392429803296E-3</v>
      </c>
      <c r="E668" s="165">
        <f t="shared" si="15"/>
        <v>9.8525923404688687E-3</v>
      </c>
    </row>
    <row r="669" spans="1:5">
      <c r="A669" s="189">
        <v>45075</v>
      </c>
      <c r="B669" s="190">
        <v>880.80316200000004</v>
      </c>
      <c r="C669" s="83">
        <v>18490.25</v>
      </c>
      <c r="D669" s="165">
        <f t="shared" si="14"/>
        <v>1.463221426492467E-3</v>
      </c>
      <c r="E669" s="165">
        <f t="shared" si="15"/>
        <v>5.284562096702583E-3</v>
      </c>
    </row>
    <row r="670" spans="1:5">
      <c r="A670" s="189">
        <v>45076</v>
      </c>
      <c r="B670" s="190">
        <v>886.94085700000005</v>
      </c>
      <c r="C670" s="83">
        <v>18516.949218999998</v>
      </c>
      <c r="D670" s="165">
        <f t="shared" si="14"/>
        <v>6.9682935584194361E-3</v>
      </c>
      <c r="E670" s="165">
        <f t="shared" si="15"/>
        <v>1.4439620340449544E-3</v>
      </c>
    </row>
    <row r="671" spans="1:5">
      <c r="A671" s="189">
        <v>45077</v>
      </c>
      <c r="B671" s="190">
        <v>911.24401899999998</v>
      </c>
      <c r="C671" s="83">
        <v>18438.300781000002</v>
      </c>
      <c r="D671" s="165">
        <f t="shared" si="14"/>
        <v>2.7401107760672172E-2</v>
      </c>
      <c r="E671" s="165">
        <f t="shared" si="15"/>
        <v>-4.2473755838405847E-3</v>
      </c>
    </row>
    <row r="672" spans="1:5">
      <c r="A672" s="189">
        <v>45078</v>
      </c>
      <c r="B672" s="190">
        <v>909.61053500000003</v>
      </c>
      <c r="C672" s="83">
        <v>18405.699218999998</v>
      </c>
      <c r="D672" s="165">
        <f t="shared" si="14"/>
        <v>-1.7925867999578626E-3</v>
      </c>
      <c r="E672" s="165">
        <f t="shared" si="15"/>
        <v>-1.7681435175197491E-3</v>
      </c>
    </row>
    <row r="673" spans="1:5">
      <c r="A673" s="189">
        <v>45079</v>
      </c>
      <c r="B673" s="190">
        <v>919.55957000000001</v>
      </c>
      <c r="C673" s="83">
        <v>18457</v>
      </c>
      <c r="D673" s="165">
        <f t="shared" si="14"/>
        <v>1.0937686644097555E-2</v>
      </c>
      <c r="E673" s="165">
        <f t="shared" si="15"/>
        <v>2.7872226091276708E-3</v>
      </c>
    </row>
    <row r="674" spans="1:5">
      <c r="A674" s="189">
        <v>45082</v>
      </c>
      <c r="B674" s="190">
        <v>919.114014</v>
      </c>
      <c r="C674" s="83">
        <v>18513.849609000001</v>
      </c>
      <c r="D674" s="165">
        <f t="shared" si="14"/>
        <v>-4.8453195914210934E-4</v>
      </c>
      <c r="E674" s="165">
        <f t="shared" si="15"/>
        <v>3.0801110147911093E-3</v>
      </c>
    </row>
    <row r="675" spans="1:5">
      <c r="A675" s="189">
        <v>45083</v>
      </c>
      <c r="B675" s="190">
        <v>903.47296100000005</v>
      </c>
      <c r="C675" s="83">
        <v>18527.849609000001</v>
      </c>
      <c r="D675" s="165">
        <f t="shared" si="14"/>
        <v>-1.7017532930359569E-2</v>
      </c>
      <c r="E675" s="165">
        <f t="shared" si="15"/>
        <v>7.5619065162957355E-4</v>
      </c>
    </row>
    <row r="676" spans="1:5">
      <c r="A676" s="189">
        <v>45084</v>
      </c>
      <c r="B676" s="190">
        <v>910.353027</v>
      </c>
      <c r="C676" s="83">
        <v>18659.650390999999</v>
      </c>
      <c r="D676" s="165">
        <f t="shared" si="14"/>
        <v>7.6151321588913135E-3</v>
      </c>
      <c r="E676" s="165">
        <f t="shared" si="15"/>
        <v>7.1136578060291278E-3</v>
      </c>
    </row>
    <row r="677" spans="1:5">
      <c r="A677" s="189">
        <v>45085</v>
      </c>
      <c r="B677" s="190">
        <v>904.26495399999999</v>
      </c>
      <c r="C677" s="83">
        <v>18562.949218999998</v>
      </c>
      <c r="D677" s="165">
        <f t="shared" si="14"/>
        <v>-6.6875957122510821E-3</v>
      </c>
      <c r="E677" s="165">
        <f t="shared" si="15"/>
        <v>-5.182367835071644E-3</v>
      </c>
    </row>
    <row r="678" spans="1:5">
      <c r="A678" s="189">
        <v>45086</v>
      </c>
      <c r="B678" s="190">
        <v>898.275757</v>
      </c>
      <c r="C678" s="83">
        <v>18502.099609000001</v>
      </c>
      <c r="D678" s="165">
        <f t="shared" si="14"/>
        <v>-6.6232766994970271E-3</v>
      </c>
      <c r="E678" s="165">
        <f t="shared" si="15"/>
        <v>-3.2780141389233686E-3</v>
      </c>
    </row>
    <row r="679" spans="1:5">
      <c r="A679" s="189">
        <v>45089</v>
      </c>
      <c r="B679" s="190">
        <v>908.67010500000004</v>
      </c>
      <c r="C679" s="83">
        <v>18545.800781000002</v>
      </c>
      <c r="D679" s="165">
        <f t="shared" si="14"/>
        <v>1.1571444424498756E-2</v>
      </c>
      <c r="E679" s="165">
        <f t="shared" si="15"/>
        <v>2.3619574493449758E-3</v>
      </c>
    </row>
    <row r="680" spans="1:5">
      <c r="A680" s="189">
        <v>45090</v>
      </c>
      <c r="B680" s="190">
        <v>904.85882600000002</v>
      </c>
      <c r="C680" s="83">
        <v>18668</v>
      </c>
      <c r="D680" s="165">
        <f t="shared" si="14"/>
        <v>-4.1943483988614583E-3</v>
      </c>
      <c r="E680" s="165">
        <f t="shared" si="15"/>
        <v>6.5890505588299675E-3</v>
      </c>
    </row>
    <row r="681" spans="1:5">
      <c r="A681" s="189">
        <v>45091</v>
      </c>
      <c r="B681" s="190">
        <v>907.38311799999997</v>
      </c>
      <c r="C681" s="83">
        <v>18705.25</v>
      </c>
      <c r="D681" s="165">
        <f t="shared" si="14"/>
        <v>2.7897081041456939E-3</v>
      </c>
      <c r="E681" s="165">
        <f t="shared" si="15"/>
        <v>1.9953931862009E-3</v>
      </c>
    </row>
    <row r="682" spans="1:5">
      <c r="A682" s="189">
        <v>45092</v>
      </c>
      <c r="B682" s="190">
        <v>907.87817399999994</v>
      </c>
      <c r="C682" s="83">
        <v>18653.599609000001</v>
      </c>
      <c r="D682" s="165">
        <f t="shared" si="14"/>
        <v>5.4558652258274165E-4</v>
      </c>
      <c r="E682" s="165">
        <f t="shared" si="15"/>
        <v>-2.7612777696101043E-3</v>
      </c>
    </row>
    <row r="683" spans="1:5">
      <c r="A683" s="189">
        <v>45093</v>
      </c>
      <c r="B683" s="190">
        <v>898.86968999999999</v>
      </c>
      <c r="C683" s="83">
        <v>18798.550781000002</v>
      </c>
      <c r="D683" s="165">
        <f t="shared" si="14"/>
        <v>-9.9225691926370096E-3</v>
      </c>
      <c r="E683" s="165">
        <f t="shared" si="15"/>
        <v>7.7706809966084922E-3</v>
      </c>
    </row>
    <row r="684" spans="1:5">
      <c r="A684" s="189">
        <v>45096</v>
      </c>
      <c r="B684" s="190">
        <v>907.18524200000002</v>
      </c>
      <c r="C684" s="83">
        <v>18732.800781000002</v>
      </c>
      <c r="D684" s="165">
        <f t="shared" si="14"/>
        <v>9.2511207047152322E-3</v>
      </c>
      <c r="E684" s="165">
        <f t="shared" si="15"/>
        <v>-3.4976100427089873E-3</v>
      </c>
    </row>
    <row r="685" spans="1:5">
      <c r="A685" s="189">
        <v>45097</v>
      </c>
      <c r="B685" s="190">
        <v>935.69561799999997</v>
      </c>
      <c r="C685" s="83">
        <v>18794.599609000001</v>
      </c>
      <c r="D685" s="165">
        <f t="shared" si="14"/>
        <v>3.1427292552891783E-2</v>
      </c>
      <c r="E685" s="165">
        <f t="shared" si="15"/>
        <v>3.2989636052009885E-3</v>
      </c>
    </row>
    <row r="686" spans="1:5">
      <c r="A686" s="189">
        <v>45098</v>
      </c>
      <c r="B686" s="190">
        <v>994.99328600000001</v>
      </c>
      <c r="C686" s="83">
        <v>18827.800781000002</v>
      </c>
      <c r="D686" s="165">
        <f t="shared" si="14"/>
        <v>6.3372817890016142E-2</v>
      </c>
      <c r="E686" s="165">
        <f t="shared" si="15"/>
        <v>1.7665272307318958E-3</v>
      </c>
    </row>
    <row r="687" spans="1:5">
      <c r="A687" s="189">
        <v>45099</v>
      </c>
      <c r="B687" s="190">
        <v>972.47198500000002</v>
      </c>
      <c r="C687" s="83">
        <v>18722.699218999998</v>
      </c>
      <c r="D687" s="165">
        <f t="shared" si="14"/>
        <v>-2.2634626099376498E-2</v>
      </c>
      <c r="E687" s="165">
        <f t="shared" si="15"/>
        <v>-5.5822537758135615E-3</v>
      </c>
    </row>
    <row r="688" spans="1:5">
      <c r="A688" s="189">
        <v>45100</v>
      </c>
      <c r="B688" s="190">
        <v>945.89209000000005</v>
      </c>
      <c r="C688" s="83">
        <v>18595.75</v>
      </c>
      <c r="D688" s="165">
        <f t="shared" si="14"/>
        <v>-2.7332298935069055E-2</v>
      </c>
      <c r="E688" s="165">
        <f t="shared" si="15"/>
        <v>-6.7804977004153333E-3</v>
      </c>
    </row>
    <row r="689" spans="1:5">
      <c r="A689" s="189">
        <v>45103</v>
      </c>
      <c r="B689" s="190">
        <v>942.08074999999997</v>
      </c>
      <c r="C689" s="83">
        <v>18632.75</v>
      </c>
      <c r="D689" s="165">
        <f t="shared" si="14"/>
        <v>-4.029360262437609E-3</v>
      </c>
      <c r="E689" s="165">
        <f t="shared" si="15"/>
        <v>1.9897019480257239E-3</v>
      </c>
    </row>
    <row r="690" spans="1:5">
      <c r="A690" s="189">
        <v>45104</v>
      </c>
      <c r="B690" s="190">
        <v>947.17895499999997</v>
      </c>
      <c r="C690" s="83">
        <v>18751.300781000002</v>
      </c>
      <c r="D690" s="165">
        <f t="shared" si="14"/>
        <v>5.4116433225070981E-3</v>
      </c>
      <c r="E690" s="165">
        <f t="shared" si="15"/>
        <v>6.3624951228349325E-3</v>
      </c>
    </row>
    <row r="691" spans="1:5">
      <c r="A691" s="189">
        <v>45105</v>
      </c>
      <c r="B691" s="190">
        <v>941.53625499999998</v>
      </c>
      <c r="C691" s="83">
        <v>18901.199218999998</v>
      </c>
      <c r="D691" s="165">
        <f t="shared" si="14"/>
        <v>-5.957374760295453E-3</v>
      </c>
      <c r="E691" s="165">
        <f t="shared" si="15"/>
        <v>7.9940287743602845E-3</v>
      </c>
    </row>
    <row r="692" spans="1:5">
      <c r="A692" s="189">
        <v>45107</v>
      </c>
      <c r="B692" s="190">
        <v>968.66076699999996</v>
      </c>
      <c r="C692" s="83">
        <v>19099.550781000002</v>
      </c>
      <c r="D692" s="165">
        <f t="shared" si="14"/>
        <v>2.8808781240187153E-2</v>
      </c>
      <c r="E692" s="165">
        <f t="shared" si="15"/>
        <v>1.0494125780157626E-2</v>
      </c>
    </row>
    <row r="693" spans="1:5">
      <c r="A693" s="189">
        <v>45110</v>
      </c>
      <c r="B693" s="190">
        <v>974.10546899999997</v>
      </c>
      <c r="C693" s="83">
        <v>19223.849609000001</v>
      </c>
      <c r="D693" s="165">
        <f t="shared" si="14"/>
        <v>5.6208552937089262E-3</v>
      </c>
      <c r="E693" s="165">
        <f t="shared" si="15"/>
        <v>6.5079451043241754E-3</v>
      </c>
    </row>
    <row r="694" spans="1:5">
      <c r="A694" s="189">
        <v>45111</v>
      </c>
      <c r="B694" s="190">
        <v>977.71875</v>
      </c>
      <c r="C694" s="83">
        <v>19270.550781000002</v>
      </c>
      <c r="D694" s="165">
        <f t="shared" si="14"/>
        <v>3.709332423427858E-3</v>
      </c>
      <c r="E694" s="165">
        <f t="shared" si="15"/>
        <v>2.4293350681507953E-3</v>
      </c>
    </row>
    <row r="695" spans="1:5">
      <c r="A695" s="189">
        <v>45112</v>
      </c>
      <c r="B695" s="190">
        <v>986.13330099999996</v>
      </c>
      <c r="C695" s="83">
        <v>19297.949218999998</v>
      </c>
      <c r="D695" s="165">
        <f t="shared" si="14"/>
        <v>8.6063103525424456E-3</v>
      </c>
      <c r="E695" s="165">
        <f t="shared" si="15"/>
        <v>1.4217776290550432E-3</v>
      </c>
    </row>
    <row r="696" spans="1:5">
      <c r="A696" s="189">
        <v>45113</v>
      </c>
      <c r="B696" s="190">
        <v>975.342896</v>
      </c>
      <c r="C696" s="83">
        <v>19397.099609000001</v>
      </c>
      <c r="D696" s="165">
        <f t="shared" si="14"/>
        <v>-1.0942136310636563E-2</v>
      </c>
      <c r="E696" s="165">
        <f t="shared" si="15"/>
        <v>5.1378718471486451E-3</v>
      </c>
    </row>
    <row r="697" spans="1:5">
      <c r="A697" s="189">
        <v>45114</v>
      </c>
      <c r="B697" s="190">
        <v>974.64758300000005</v>
      </c>
      <c r="C697" s="83">
        <v>19233.599609000001</v>
      </c>
      <c r="D697" s="165">
        <f t="shared" si="14"/>
        <v>-7.1289082316738916E-4</v>
      </c>
      <c r="E697" s="165">
        <f t="shared" si="15"/>
        <v>-8.4290952408234698E-3</v>
      </c>
    </row>
    <row r="698" spans="1:5">
      <c r="A698" s="189">
        <v>45117</v>
      </c>
      <c r="B698" s="190">
        <v>951.05499299999997</v>
      </c>
      <c r="C698" s="83">
        <v>19239.800781000002</v>
      </c>
      <c r="D698" s="165">
        <f t="shared" si="14"/>
        <v>-2.42062776448706E-2</v>
      </c>
      <c r="E698" s="165">
        <f t="shared" si="15"/>
        <v>3.2241349128936392E-4</v>
      </c>
    </row>
    <row r="699" spans="1:5">
      <c r="A699" s="189">
        <v>45118</v>
      </c>
      <c r="B699" s="190">
        <v>988.00836200000003</v>
      </c>
      <c r="C699" s="83">
        <v>19333.599609000001</v>
      </c>
      <c r="D699" s="165">
        <f t="shared" si="14"/>
        <v>3.8855133795612229E-2</v>
      </c>
      <c r="E699" s="165">
        <f t="shared" si="15"/>
        <v>4.8752494408688118E-3</v>
      </c>
    </row>
    <row r="700" spans="1:5">
      <c r="A700" s="189">
        <v>45119</v>
      </c>
      <c r="B700" s="190">
        <v>974.29986599999995</v>
      </c>
      <c r="C700" s="83">
        <v>19293.699218999998</v>
      </c>
      <c r="D700" s="165">
        <f t="shared" si="14"/>
        <v>-1.3874878520512057E-2</v>
      </c>
      <c r="E700" s="165">
        <f t="shared" si="15"/>
        <v>-2.0637848516025237E-3</v>
      </c>
    </row>
    <row r="701" spans="1:5">
      <c r="A701" s="189">
        <v>45120</v>
      </c>
      <c r="B701" s="190">
        <v>956.17077600000005</v>
      </c>
      <c r="C701" s="83">
        <v>19304.849609000001</v>
      </c>
      <c r="D701" s="165">
        <f t="shared" si="14"/>
        <v>-1.8607300106105007E-2</v>
      </c>
      <c r="E701" s="165">
        <f t="shared" si="15"/>
        <v>5.7792908832232648E-4</v>
      </c>
    </row>
    <row r="702" spans="1:5">
      <c r="A702" s="189">
        <v>45121</v>
      </c>
      <c r="B702" s="190">
        <v>967.04821800000002</v>
      </c>
      <c r="C702" s="83">
        <v>19454</v>
      </c>
      <c r="D702" s="165">
        <f t="shared" si="14"/>
        <v>1.1376045234831489E-2</v>
      </c>
      <c r="E702" s="165">
        <f t="shared" si="15"/>
        <v>7.7260581678120221E-3</v>
      </c>
    </row>
    <row r="703" spans="1:5">
      <c r="A703" s="189">
        <v>45124</v>
      </c>
      <c r="B703" s="190">
        <v>988.852844</v>
      </c>
      <c r="C703" s="83">
        <v>19584.800781000002</v>
      </c>
      <c r="D703" s="165">
        <f t="shared" si="14"/>
        <v>2.2547609926933276E-2</v>
      </c>
      <c r="E703" s="165">
        <f t="shared" si="15"/>
        <v>6.7235931427984674E-3</v>
      </c>
    </row>
    <row r="704" spans="1:5">
      <c r="A704" s="189">
        <v>45125</v>
      </c>
      <c r="B704" s="190">
        <v>929.49877900000001</v>
      </c>
      <c r="C704" s="83">
        <v>19605.849609000001</v>
      </c>
      <c r="D704" s="165">
        <f t="shared" si="14"/>
        <v>-6.0023152443903993E-2</v>
      </c>
      <c r="E704" s="165">
        <f t="shared" si="15"/>
        <v>1.0747532351933486E-3</v>
      </c>
    </row>
    <row r="705" spans="1:5">
      <c r="A705" s="189">
        <v>45126</v>
      </c>
      <c r="B705" s="190">
        <v>937.44574</v>
      </c>
      <c r="C705" s="83">
        <v>19690.699218999998</v>
      </c>
      <c r="D705" s="165">
        <f t="shared" si="14"/>
        <v>8.5497272073340458E-3</v>
      </c>
      <c r="E705" s="165">
        <f t="shared" si="15"/>
        <v>4.3277701141319902E-3</v>
      </c>
    </row>
    <row r="706" spans="1:5">
      <c r="A706" s="189">
        <v>45127</v>
      </c>
      <c r="B706" s="190">
        <v>935.75701900000001</v>
      </c>
      <c r="C706" s="83">
        <v>19811.900390999999</v>
      </c>
      <c r="D706" s="165">
        <f t="shared" si="14"/>
        <v>-1.8014066606137913E-3</v>
      </c>
      <c r="E706" s="165">
        <f t="shared" si="15"/>
        <v>6.1552497781820481E-3</v>
      </c>
    </row>
    <row r="707" spans="1:5">
      <c r="A707" s="189">
        <v>45128</v>
      </c>
      <c r="B707" s="190">
        <v>928.40600600000005</v>
      </c>
      <c r="C707" s="83">
        <v>19602.599609000001</v>
      </c>
      <c r="D707" s="165">
        <f t="shared" si="14"/>
        <v>-7.8556856649129037E-3</v>
      </c>
      <c r="E707" s="165">
        <f t="shared" si="15"/>
        <v>-1.0564397047699625E-2</v>
      </c>
    </row>
    <row r="708" spans="1:5">
      <c r="A708" s="189">
        <v>45131</v>
      </c>
      <c r="B708" s="190">
        <v>925.32659899999999</v>
      </c>
      <c r="C708" s="83">
        <v>19540.449218999998</v>
      </c>
      <c r="D708" s="165">
        <f t="shared" si="14"/>
        <v>-3.3168753542079932E-3</v>
      </c>
      <c r="E708" s="165">
        <f t="shared" si="15"/>
        <v>-3.170517749669699E-3</v>
      </c>
    </row>
    <row r="709" spans="1:5">
      <c r="A709" s="189">
        <v>45132</v>
      </c>
      <c r="B709" s="190">
        <v>916.78363000000002</v>
      </c>
      <c r="C709" s="83">
        <v>19566.900390999999</v>
      </c>
      <c r="D709" s="165">
        <f t="shared" si="14"/>
        <v>-9.2323823925869464E-3</v>
      </c>
      <c r="E709" s="165">
        <f t="shared" si="15"/>
        <v>1.353662431377467E-3</v>
      </c>
    </row>
    <row r="710" spans="1:5">
      <c r="A710" s="189">
        <v>45133</v>
      </c>
      <c r="B710" s="190">
        <v>917.72723399999995</v>
      </c>
      <c r="C710" s="83">
        <v>19662</v>
      </c>
      <c r="D710" s="165">
        <f t="shared" si="14"/>
        <v>1.0292548526416034E-3</v>
      </c>
      <c r="E710" s="165">
        <f t="shared" si="15"/>
        <v>4.8602286054333366E-3</v>
      </c>
    </row>
    <row r="711" spans="1:5">
      <c r="A711" s="189">
        <v>45134</v>
      </c>
      <c r="B711" s="190">
        <v>920.31005900000002</v>
      </c>
      <c r="C711" s="83">
        <v>19566.699218999998</v>
      </c>
      <c r="D711" s="165">
        <f t="shared" si="14"/>
        <v>2.814371094494561E-3</v>
      </c>
      <c r="E711" s="165">
        <f t="shared" si="15"/>
        <v>-4.8469525480623332E-3</v>
      </c>
    </row>
    <row r="712" spans="1:5">
      <c r="A712" s="189">
        <v>45135</v>
      </c>
      <c r="B712" s="190">
        <v>918.86968999999999</v>
      </c>
      <c r="C712" s="83">
        <v>19580.650390999999</v>
      </c>
      <c r="D712" s="165">
        <f t="shared" si="14"/>
        <v>-1.5650910102679161E-3</v>
      </c>
      <c r="E712" s="165">
        <f t="shared" si="15"/>
        <v>7.1300590068124059E-4</v>
      </c>
    </row>
    <row r="713" spans="1:5">
      <c r="A713" s="189">
        <v>45138</v>
      </c>
      <c r="B713" s="190">
        <v>918.720642</v>
      </c>
      <c r="C713" s="83">
        <v>19679.349609000001</v>
      </c>
      <c r="D713" s="165">
        <f t="shared" si="14"/>
        <v>-1.6220798402877268E-4</v>
      </c>
      <c r="E713" s="165">
        <f t="shared" si="15"/>
        <v>5.0406506438298582E-3</v>
      </c>
    </row>
    <row r="714" spans="1:5">
      <c r="A714" s="189">
        <v>45139</v>
      </c>
      <c r="B714" s="190">
        <v>924.68090800000004</v>
      </c>
      <c r="C714" s="83">
        <v>19659.849609000001</v>
      </c>
      <c r="D714" s="165">
        <f t="shared" si="14"/>
        <v>6.4875716594599009E-3</v>
      </c>
      <c r="E714" s="165">
        <f t="shared" si="15"/>
        <v>-9.9088640567079889E-4</v>
      </c>
    </row>
    <row r="715" spans="1:5">
      <c r="A715" s="189">
        <v>45140</v>
      </c>
      <c r="B715" s="190">
        <v>916.43585199999995</v>
      </c>
      <c r="C715" s="83">
        <v>19447.099609000001</v>
      </c>
      <c r="D715" s="165">
        <f t="shared" si="14"/>
        <v>-8.9166499801898169E-3</v>
      </c>
      <c r="E715" s="165">
        <f t="shared" si="15"/>
        <v>-1.0821547683793398E-2</v>
      </c>
    </row>
    <row r="716" spans="1:5">
      <c r="A716" s="189">
        <v>45141</v>
      </c>
      <c r="B716" s="190">
        <v>910.62469499999997</v>
      </c>
      <c r="C716" s="83">
        <v>19310.900390999999</v>
      </c>
      <c r="D716" s="165">
        <f t="shared" si="14"/>
        <v>-6.3410406602032454E-3</v>
      </c>
      <c r="E716" s="165">
        <f t="shared" si="15"/>
        <v>-7.0035748640362439E-3</v>
      </c>
    </row>
    <row r="717" spans="1:5">
      <c r="A717" s="189">
        <v>45142</v>
      </c>
      <c r="B717" s="190">
        <v>913.15777600000001</v>
      </c>
      <c r="C717" s="83">
        <v>19448.75</v>
      </c>
      <c r="D717" s="165">
        <f t="shared" si="14"/>
        <v>2.7816959213917691E-3</v>
      </c>
      <c r="E717" s="165">
        <f t="shared" si="15"/>
        <v>7.1384350915220107E-3</v>
      </c>
    </row>
    <row r="718" spans="1:5">
      <c r="A718" s="189">
        <v>45145</v>
      </c>
      <c r="B718" s="190">
        <v>925.07824700000003</v>
      </c>
      <c r="C718" s="83">
        <v>19521.849609000001</v>
      </c>
      <c r="D718" s="165">
        <f t="shared" si="14"/>
        <v>1.3054119795394614E-2</v>
      </c>
      <c r="E718" s="165">
        <f t="shared" si="15"/>
        <v>3.7585762066971729E-3</v>
      </c>
    </row>
    <row r="719" spans="1:5">
      <c r="A719" s="189">
        <v>45146</v>
      </c>
      <c r="B719" s="190">
        <v>920.35974099999999</v>
      </c>
      <c r="C719" s="83">
        <v>19497.449218999998</v>
      </c>
      <c r="D719" s="165">
        <f t="shared" si="14"/>
        <v>-5.1006560961757152E-3</v>
      </c>
      <c r="E719" s="165">
        <f t="shared" si="15"/>
        <v>-1.249901545638088E-3</v>
      </c>
    </row>
    <row r="720" spans="1:5">
      <c r="A720" s="189">
        <v>45147</v>
      </c>
      <c r="B720" s="190">
        <v>917.72723399999995</v>
      </c>
      <c r="C720" s="83">
        <v>19554.75</v>
      </c>
      <c r="D720" s="165">
        <f t="shared" si="14"/>
        <v>-2.8603022087207997E-3</v>
      </c>
      <c r="E720" s="165">
        <f t="shared" si="15"/>
        <v>2.9388860233143799E-3</v>
      </c>
    </row>
    <row r="721" spans="1:5">
      <c r="A721" s="189">
        <v>45148</v>
      </c>
      <c r="B721" s="190">
        <v>906.40289299999995</v>
      </c>
      <c r="C721" s="83">
        <v>19463.099609000001</v>
      </c>
      <c r="D721" s="165">
        <f t="shared" si="14"/>
        <v>-1.2339549901599689E-2</v>
      </c>
      <c r="E721" s="165">
        <f t="shared" si="15"/>
        <v>-4.6868607882994961E-3</v>
      </c>
    </row>
    <row r="722" spans="1:5">
      <c r="A722" s="189">
        <v>45149</v>
      </c>
      <c r="B722" s="190">
        <v>898.25720200000001</v>
      </c>
      <c r="C722" s="83">
        <v>19359</v>
      </c>
      <c r="D722" s="165">
        <f t="shared" si="14"/>
        <v>-8.9868325254781611E-3</v>
      </c>
      <c r="E722" s="165">
        <f t="shared" si="15"/>
        <v>-5.3485627208044173E-3</v>
      </c>
    </row>
    <row r="723" spans="1:5">
      <c r="A723" s="189">
        <v>45152</v>
      </c>
      <c r="B723" s="190">
        <v>887.081726</v>
      </c>
      <c r="C723" s="83">
        <v>19330.800781000002</v>
      </c>
      <c r="D723" s="165">
        <f t="shared" si="14"/>
        <v>-1.2441287389755917E-2</v>
      </c>
      <c r="E723" s="165">
        <f t="shared" si="15"/>
        <v>-1.4566464693422931E-3</v>
      </c>
    </row>
    <row r="724" spans="1:5">
      <c r="A724" s="189">
        <v>45154</v>
      </c>
      <c r="B724" s="190">
        <v>892.69433600000002</v>
      </c>
      <c r="C724" s="83">
        <v>19358.050781000002</v>
      </c>
      <c r="D724" s="165">
        <f t="shared" si="14"/>
        <v>6.3270495102047963E-3</v>
      </c>
      <c r="E724" s="165">
        <f t="shared" si="15"/>
        <v>1.4096674167158874E-3</v>
      </c>
    </row>
    <row r="725" spans="1:5">
      <c r="A725" s="189">
        <v>45155</v>
      </c>
      <c r="B725" s="190">
        <v>891.05523700000003</v>
      </c>
      <c r="C725" s="83">
        <v>19264.599609000001</v>
      </c>
      <c r="D725" s="165">
        <f t="shared" si="14"/>
        <v>-1.8361256859145136E-3</v>
      </c>
      <c r="E725" s="165">
        <f t="shared" si="15"/>
        <v>-4.8275093942683478E-3</v>
      </c>
    </row>
    <row r="726" spans="1:5">
      <c r="A726" s="189">
        <v>45156</v>
      </c>
      <c r="B726" s="190">
        <v>885.64135699999997</v>
      </c>
      <c r="C726" s="83">
        <v>19209.349609000001</v>
      </c>
      <c r="D726" s="165">
        <f t="shared" ref="D726:D789" si="16">B726/B725-1</f>
        <v>-6.0758073968876225E-3</v>
      </c>
      <c r="E726" s="165">
        <f t="shared" ref="E726:E789" si="17">C726/C725-1</f>
        <v>-2.8679547523109417E-3</v>
      </c>
    </row>
    <row r="727" spans="1:5">
      <c r="A727" s="189">
        <v>45159</v>
      </c>
      <c r="B727" s="190">
        <v>893.24066200000004</v>
      </c>
      <c r="C727" s="83">
        <v>19303.400390999999</v>
      </c>
      <c r="D727" s="165">
        <f t="shared" si="16"/>
        <v>8.5805669980698607E-3</v>
      </c>
      <c r="E727" s="165">
        <f t="shared" si="17"/>
        <v>4.896094033081333E-3</v>
      </c>
    </row>
    <row r="728" spans="1:5">
      <c r="A728" s="189">
        <v>45160</v>
      </c>
      <c r="B728" s="190">
        <v>905.40948500000002</v>
      </c>
      <c r="C728" s="83">
        <v>19325.449218999998</v>
      </c>
      <c r="D728" s="165">
        <f t="shared" si="16"/>
        <v>1.3623230018160459E-2</v>
      </c>
      <c r="E728" s="165">
        <f t="shared" si="17"/>
        <v>1.1422250771049303E-3</v>
      </c>
    </row>
    <row r="729" spans="1:5">
      <c r="A729" s="189">
        <v>45161</v>
      </c>
      <c r="B729" s="190">
        <v>910.972351</v>
      </c>
      <c r="C729" s="83">
        <v>19362.550781000002</v>
      </c>
      <c r="D729" s="165">
        <f t="shared" si="16"/>
        <v>6.1440332713103007E-3</v>
      </c>
      <c r="E729" s="165">
        <f t="shared" si="17"/>
        <v>1.9198292148121521E-3</v>
      </c>
    </row>
    <row r="730" spans="1:5">
      <c r="A730" s="189">
        <v>45162</v>
      </c>
      <c r="B730" s="190">
        <v>910.82342500000004</v>
      </c>
      <c r="C730" s="83">
        <v>19323.349609000001</v>
      </c>
      <c r="D730" s="165">
        <f t="shared" si="16"/>
        <v>-1.6348026351897804E-4</v>
      </c>
      <c r="E730" s="165">
        <f t="shared" si="17"/>
        <v>-2.0245871756973122E-3</v>
      </c>
    </row>
    <row r="731" spans="1:5">
      <c r="A731" s="189">
        <v>45163</v>
      </c>
      <c r="B731" s="190">
        <v>906.005493</v>
      </c>
      <c r="C731" s="83">
        <v>19193.900390999999</v>
      </c>
      <c r="D731" s="165">
        <f t="shared" si="16"/>
        <v>-5.2896443676775373E-3</v>
      </c>
      <c r="E731" s="165">
        <f t="shared" si="17"/>
        <v>-6.6991086234712283E-3</v>
      </c>
    </row>
    <row r="732" spans="1:5">
      <c r="A732" s="189">
        <v>45166</v>
      </c>
      <c r="B732" s="190">
        <v>892.34661900000003</v>
      </c>
      <c r="C732" s="83">
        <v>19243.650390999999</v>
      </c>
      <c r="D732" s="165">
        <f t="shared" si="16"/>
        <v>-1.507592846349326E-2</v>
      </c>
      <c r="E732" s="165">
        <f t="shared" si="17"/>
        <v>2.5919692707860875E-3</v>
      </c>
    </row>
    <row r="733" spans="1:5">
      <c r="A733" s="189">
        <v>45167</v>
      </c>
      <c r="B733" s="190">
        <v>896.36975099999995</v>
      </c>
      <c r="C733" s="83">
        <v>19291.25</v>
      </c>
      <c r="D733" s="165">
        <f t="shared" si="16"/>
        <v>4.5084857322690297E-3</v>
      </c>
      <c r="E733" s="165">
        <f t="shared" si="17"/>
        <v>2.4735228521020058E-3</v>
      </c>
    </row>
    <row r="734" spans="1:5">
      <c r="A734" s="189">
        <v>45168</v>
      </c>
      <c r="B734" s="190">
        <v>902.72741699999995</v>
      </c>
      <c r="C734" s="83">
        <v>19307.5</v>
      </c>
      <c r="D734" s="165">
        <f t="shared" si="16"/>
        <v>7.0926824481831741E-3</v>
      </c>
      <c r="E734" s="165">
        <f t="shared" si="17"/>
        <v>8.4235080671279938E-4</v>
      </c>
    </row>
    <row r="735" spans="1:5">
      <c r="A735" s="189">
        <v>45169</v>
      </c>
      <c r="B735" s="190">
        <v>922.09814500000005</v>
      </c>
      <c r="C735" s="83">
        <v>19204.800781000002</v>
      </c>
      <c r="D735" s="165">
        <f t="shared" si="16"/>
        <v>2.1458003418544758E-2</v>
      </c>
      <c r="E735" s="165">
        <f t="shared" si="17"/>
        <v>-5.3191360352193851E-3</v>
      </c>
    </row>
    <row r="736" spans="1:5">
      <c r="A736" s="189">
        <v>45170</v>
      </c>
      <c r="B736" s="190">
        <v>918.57171600000004</v>
      </c>
      <c r="C736" s="83">
        <v>19382.949218999998</v>
      </c>
      <c r="D736" s="165">
        <f t="shared" si="16"/>
        <v>-3.8243532091695176E-3</v>
      </c>
      <c r="E736" s="165">
        <f t="shared" si="17"/>
        <v>9.2762450405756702E-3</v>
      </c>
    </row>
    <row r="737" spans="1:5">
      <c r="A737" s="189">
        <v>45173</v>
      </c>
      <c r="B737" s="190">
        <v>910.52533000000005</v>
      </c>
      <c r="C737" s="83">
        <v>19485.5</v>
      </c>
      <c r="D737" s="165">
        <f t="shared" si="16"/>
        <v>-8.7596709759785174E-3</v>
      </c>
      <c r="E737" s="165">
        <f t="shared" si="17"/>
        <v>5.2907728251940789E-3</v>
      </c>
    </row>
    <row r="738" spans="1:5">
      <c r="A738" s="189">
        <v>45174</v>
      </c>
      <c r="B738" s="190">
        <v>911.91607699999997</v>
      </c>
      <c r="C738" s="83">
        <v>19531.199218999998</v>
      </c>
      <c r="D738" s="165">
        <f t="shared" si="16"/>
        <v>1.5274116536658777E-3</v>
      </c>
      <c r="E738" s="165">
        <f t="shared" si="17"/>
        <v>2.3452936285954795E-3</v>
      </c>
    </row>
    <row r="739" spans="1:5">
      <c r="A739" s="189">
        <v>45175</v>
      </c>
      <c r="B739" s="190">
        <v>913.753784</v>
      </c>
      <c r="C739" s="83">
        <v>19578.25</v>
      </c>
      <c r="D739" s="165">
        <f t="shared" si="16"/>
        <v>2.0152150470311714E-3</v>
      </c>
      <c r="E739" s="165">
        <f t="shared" si="17"/>
        <v>2.4090062505854881E-3</v>
      </c>
    </row>
    <row r="740" spans="1:5">
      <c r="A740" s="189">
        <v>45176</v>
      </c>
      <c r="B740" s="190">
        <v>913.55517599999996</v>
      </c>
      <c r="C740" s="83">
        <v>19690.5</v>
      </c>
      <c r="D740" s="165">
        <f t="shared" si="16"/>
        <v>-2.1735395626010234E-4</v>
      </c>
      <c r="E740" s="165">
        <f t="shared" si="17"/>
        <v>5.7334031386870876E-3</v>
      </c>
    </row>
    <row r="741" spans="1:5">
      <c r="A741" s="189">
        <v>45177</v>
      </c>
      <c r="B741" s="190">
        <v>933.27355999999997</v>
      </c>
      <c r="C741" s="83">
        <v>19789.300781000002</v>
      </c>
      <c r="D741" s="165">
        <f t="shared" si="16"/>
        <v>2.1584228865449528E-2</v>
      </c>
      <c r="E741" s="165">
        <f t="shared" si="17"/>
        <v>5.0176877682130971E-3</v>
      </c>
    </row>
    <row r="742" spans="1:5">
      <c r="A742" s="189">
        <v>45180</v>
      </c>
      <c r="B742" s="190">
        <v>949.36621100000002</v>
      </c>
      <c r="C742" s="83">
        <v>19970.800781000002</v>
      </c>
      <c r="D742" s="165">
        <f t="shared" si="16"/>
        <v>1.724323037716835E-2</v>
      </c>
      <c r="E742" s="165">
        <f t="shared" si="17"/>
        <v>9.1716226868541195E-3</v>
      </c>
    </row>
    <row r="743" spans="1:5">
      <c r="A743" s="189">
        <v>45181</v>
      </c>
      <c r="B743" s="190">
        <v>926.81664999999998</v>
      </c>
      <c r="C743" s="83">
        <v>19905.199218999998</v>
      </c>
      <c r="D743" s="165">
        <f t="shared" si="16"/>
        <v>-2.3752226210208005E-2</v>
      </c>
      <c r="E743" s="165">
        <f t="shared" si="17"/>
        <v>-3.2848738876017913E-3</v>
      </c>
    </row>
    <row r="744" spans="1:5">
      <c r="A744" s="189">
        <v>45182</v>
      </c>
      <c r="B744" s="190">
        <v>908.93597399999999</v>
      </c>
      <c r="C744" s="83">
        <v>19977.800781000002</v>
      </c>
      <c r="D744" s="165">
        <f t="shared" si="16"/>
        <v>-1.9292570973989287E-2</v>
      </c>
      <c r="E744" s="165">
        <f t="shared" si="17"/>
        <v>3.6473667608762916E-3</v>
      </c>
    </row>
    <row r="745" spans="1:5">
      <c r="A745" s="189">
        <v>45183</v>
      </c>
      <c r="B745" s="190">
        <v>924.23394800000005</v>
      </c>
      <c r="C745" s="83">
        <v>20024.800781000002</v>
      </c>
      <c r="D745" s="165">
        <f t="shared" si="16"/>
        <v>1.6830639822382087E-2</v>
      </c>
      <c r="E745" s="165">
        <f t="shared" si="17"/>
        <v>2.3526113066809629E-3</v>
      </c>
    </row>
    <row r="746" spans="1:5">
      <c r="A746" s="189">
        <v>45184</v>
      </c>
      <c r="B746" s="190">
        <v>935.70733600000005</v>
      </c>
      <c r="C746" s="83">
        <v>20108.400390999999</v>
      </c>
      <c r="D746" s="165">
        <f t="shared" si="16"/>
        <v>1.2413943487823431E-2</v>
      </c>
      <c r="E746" s="165">
        <f t="shared" si="17"/>
        <v>4.1748035805340145E-3</v>
      </c>
    </row>
    <row r="747" spans="1:5">
      <c r="A747" s="189">
        <v>45187</v>
      </c>
      <c r="B747" s="190">
        <v>923.886169</v>
      </c>
      <c r="C747" s="83">
        <v>20056.150390999999</v>
      </c>
      <c r="D747" s="165">
        <f t="shared" si="16"/>
        <v>-1.263340207477015E-2</v>
      </c>
      <c r="E747" s="165">
        <f t="shared" si="17"/>
        <v>-2.5984165315996455E-3</v>
      </c>
    </row>
    <row r="748" spans="1:5">
      <c r="A748" s="189">
        <v>45189</v>
      </c>
      <c r="B748" s="190">
        <v>917.97558600000002</v>
      </c>
      <c r="C748" s="83">
        <v>19832.599609000001</v>
      </c>
      <c r="D748" s="165">
        <f t="shared" si="16"/>
        <v>-6.3975229831587654E-3</v>
      </c>
      <c r="E748" s="165">
        <f t="shared" si="17"/>
        <v>-1.114624579701573E-2</v>
      </c>
    </row>
    <row r="749" spans="1:5">
      <c r="A749" s="189">
        <v>45190</v>
      </c>
      <c r="B749" s="190">
        <v>916.83331299999998</v>
      </c>
      <c r="C749" s="83">
        <v>19674.800781000002</v>
      </c>
      <c r="D749" s="165">
        <f t="shared" si="16"/>
        <v>-1.2443391931341585E-3</v>
      </c>
      <c r="E749" s="165">
        <f t="shared" si="17"/>
        <v>-7.9565377767415457E-3</v>
      </c>
    </row>
    <row r="750" spans="1:5">
      <c r="A750" s="189">
        <v>45191</v>
      </c>
      <c r="B750" s="190">
        <v>905.55847200000005</v>
      </c>
      <c r="C750" s="83">
        <v>19614.199218999998</v>
      </c>
      <c r="D750" s="165">
        <f t="shared" si="16"/>
        <v>-1.2297590892620502E-2</v>
      </c>
      <c r="E750" s="165">
        <f t="shared" si="17"/>
        <v>-3.0801614041513492E-3</v>
      </c>
    </row>
    <row r="751" spans="1:5">
      <c r="A751" s="189">
        <v>45194</v>
      </c>
      <c r="B751" s="190">
        <v>900.69097899999997</v>
      </c>
      <c r="C751" s="83">
        <v>19606.849609000001</v>
      </c>
      <c r="D751" s="165">
        <f t="shared" si="16"/>
        <v>-5.3751283329610544E-3</v>
      </c>
      <c r="E751" s="165">
        <f t="shared" si="17"/>
        <v>-3.7470864438238216E-4</v>
      </c>
    </row>
    <row r="752" spans="1:5">
      <c r="A752" s="189">
        <v>45195</v>
      </c>
      <c r="B752" s="190">
        <v>897.71081500000003</v>
      </c>
      <c r="C752" s="83">
        <v>19606.050781000002</v>
      </c>
      <c r="D752" s="165">
        <f t="shared" si="16"/>
        <v>-3.3087530234938711E-3</v>
      </c>
      <c r="E752" s="165">
        <f t="shared" si="17"/>
        <v>-4.0742292409468028E-5</v>
      </c>
    </row>
    <row r="753" spans="1:5">
      <c r="A753" s="189">
        <v>45196</v>
      </c>
      <c r="B753" s="190">
        <v>904.66449</v>
      </c>
      <c r="C753" s="83">
        <v>19654.949218999998</v>
      </c>
      <c r="D753" s="165">
        <f t="shared" si="16"/>
        <v>7.7460078276989641E-3</v>
      </c>
      <c r="E753" s="165">
        <f t="shared" si="17"/>
        <v>2.4940483193782725E-3</v>
      </c>
    </row>
    <row r="754" spans="1:5">
      <c r="A754" s="189">
        <v>45197</v>
      </c>
      <c r="B754" s="190">
        <v>867.16461200000003</v>
      </c>
      <c r="C754" s="83">
        <v>19451.650390999999</v>
      </c>
      <c r="D754" s="165">
        <f t="shared" si="16"/>
        <v>-4.1451696639491109E-2</v>
      </c>
      <c r="E754" s="165">
        <f t="shared" si="17"/>
        <v>-1.0343391159895465E-2</v>
      </c>
    </row>
    <row r="755" spans="1:5">
      <c r="A755" s="189">
        <v>45198</v>
      </c>
      <c r="B755" s="190">
        <v>869.00238000000002</v>
      </c>
      <c r="C755" s="83">
        <v>19577.050781000002</v>
      </c>
      <c r="D755" s="165">
        <f t="shared" si="16"/>
        <v>2.1192838990067298E-3</v>
      </c>
      <c r="E755" s="165">
        <f t="shared" si="17"/>
        <v>6.4467737944757797E-3</v>
      </c>
    </row>
    <row r="756" spans="1:5">
      <c r="A756" s="189">
        <v>45202</v>
      </c>
      <c r="B756" s="190">
        <v>850.27728300000001</v>
      </c>
      <c r="C756" s="83">
        <v>19492.699218999998</v>
      </c>
      <c r="D756" s="165">
        <f t="shared" si="16"/>
        <v>-2.1547808649269751E-2</v>
      </c>
      <c r="E756" s="165">
        <f t="shared" si="17"/>
        <v>-4.3086960821426823E-3</v>
      </c>
    </row>
    <row r="757" spans="1:5">
      <c r="A757" s="189">
        <v>45203</v>
      </c>
      <c r="B757" s="190">
        <v>847.09851100000003</v>
      </c>
      <c r="C757" s="83">
        <v>19376.25</v>
      </c>
      <c r="D757" s="165">
        <f t="shared" si="16"/>
        <v>-3.738512204847444E-3</v>
      </c>
      <c r="E757" s="165">
        <f t="shared" si="17"/>
        <v>-5.9739914771009817E-3</v>
      </c>
    </row>
    <row r="758" spans="1:5">
      <c r="A758" s="189">
        <v>45204</v>
      </c>
      <c r="B758" s="190">
        <v>850.823669</v>
      </c>
      <c r="C758" s="83">
        <v>19476.050781000002</v>
      </c>
      <c r="D758" s="165">
        <f t="shared" si="16"/>
        <v>4.3975499326547318E-3</v>
      </c>
      <c r="E758" s="165">
        <f t="shared" si="17"/>
        <v>5.1506757499517608E-3</v>
      </c>
    </row>
    <row r="759" spans="1:5">
      <c r="A759" s="189">
        <v>45205</v>
      </c>
      <c r="B759" s="190">
        <v>851.12164299999995</v>
      </c>
      <c r="C759" s="83">
        <v>19584.449218999998</v>
      </c>
      <c r="D759" s="165">
        <f t="shared" si="16"/>
        <v>3.5021827771930525E-4</v>
      </c>
      <c r="E759" s="165">
        <f t="shared" si="17"/>
        <v>5.5657298914904008E-3</v>
      </c>
    </row>
    <row r="760" spans="1:5">
      <c r="A760" s="189">
        <v>45208</v>
      </c>
      <c r="B760" s="190">
        <v>833.93633999999997</v>
      </c>
      <c r="C760" s="83">
        <v>19428.900390999999</v>
      </c>
      <c r="D760" s="165">
        <f t="shared" si="16"/>
        <v>-2.0191359415354437E-2</v>
      </c>
      <c r="E760" s="165">
        <f t="shared" si="17"/>
        <v>-7.942466303780038E-3</v>
      </c>
    </row>
    <row r="761" spans="1:5">
      <c r="A761" s="189">
        <v>45209</v>
      </c>
      <c r="B761" s="190">
        <v>841.53564500000005</v>
      </c>
      <c r="C761" s="83">
        <v>19616.550781000002</v>
      </c>
      <c r="D761" s="165">
        <f t="shared" si="16"/>
        <v>9.1125720699496426E-3</v>
      </c>
      <c r="E761" s="165">
        <f t="shared" si="17"/>
        <v>9.6583124224018935E-3</v>
      </c>
    </row>
    <row r="762" spans="1:5">
      <c r="A762" s="189">
        <v>45210</v>
      </c>
      <c r="B762" s="190">
        <v>851.76733400000001</v>
      </c>
      <c r="C762" s="83">
        <v>19736.800781000002</v>
      </c>
      <c r="D762" s="165">
        <f t="shared" si="16"/>
        <v>1.215835486089234E-2</v>
      </c>
      <c r="E762" s="165">
        <f t="shared" si="17"/>
        <v>6.1300277170270867E-3</v>
      </c>
    </row>
    <row r="763" spans="1:5">
      <c r="A763" s="189">
        <v>45211</v>
      </c>
      <c r="B763" s="190">
        <v>841.783997</v>
      </c>
      <c r="C763" s="83">
        <v>19728.099609000001</v>
      </c>
      <c r="D763" s="165">
        <f t="shared" si="16"/>
        <v>-1.1720732413060597E-2</v>
      </c>
      <c r="E763" s="165">
        <f t="shared" si="17"/>
        <v>-4.4086030439027812E-4</v>
      </c>
    </row>
    <row r="764" spans="1:5">
      <c r="A764" s="189">
        <v>45212</v>
      </c>
      <c r="B764" s="190">
        <v>840.04559300000005</v>
      </c>
      <c r="C764" s="83">
        <v>19691.699218999998</v>
      </c>
      <c r="D764" s="165">
        <f t="shared" si="16"/>
        <v>-2.0651426092624936E-3</v>
      </c>
      <c r="E764" s="165">
        <f t="shared" si="17"/>
        <v>-1.8451037211610899E-3</v>
      </c>
    </row>
    <row r="765" spans="1:5">
      <c r="A765" s="189">
        <v>45215</v>
      </c>
      <c r="B765" s="190">
        <v>852.36340299999995</v>
      </c>
      <c r="C765" s="83">
        <v>19680.650390999999</v>
      </c>
      <c r="D765" s="165">
        <f t="shared" si="16"/>
        <v>1.4663263640262825E-2</v>
      </c>
      <c r="E765" s="165">
        <f t="shared" si="17"/>
        <v>-5.6109063403420034E-4</v>
      </c>
    </row>
    <row r="766" spans="1:5">
      <c r="A766" s="189">
        <v>45216</v>
      </c>
      <c r="B766" s="190">
        <v>854.99578899999995</v>
      </c>
      <c r="C766" s="83">
        <v>19758.900390999999</v>
      </c>
      <c r="D766" s="165">
        <f t="shared" si="16"/>
        <v>3.0883376629440296E-3</v>
      </c>
      <c r="E766" s="165">
        <f t="shared" si="17"/>
        <v>3.9759864864925554E-3</v>
      </c>
    </row>
    <row r="767" spans="1:5">
      <c r="A767" s="189">
        <v>45217</v>
      </c>
      <c r="B767" s="190">
        <v>831.05554199999995</v>
      </c>
      <c r="C767" s="83">
        <v>19611.349609000001</v>
      </c>
      <c r="D767" s="165">
        <f t="shared" si="16"/>
        <v>-2.8000426795084521E-2</v>
      </c>
      <c r="E767" s="165">
        <f t="shared" si="17"/>
        <v>-7.4675603945656421E-3</v>
      </c>
    </row>
    <row r="768" spans="1:5">
      <c r="A768" s="189">
        <v>45218</v>
      </c>
      <c r="B768" s="190">
        <v>826.63507100000004</v>
      </c>
      <c r="C768" s="83">
        <v>19562.300781000002</v>
      </c>
      <c r="D768" s="165">
        <f t="shared" si="16"/>
        <v>-5.3191041712588039E-3</v>
      </c>
      <c r="E768" s="165">
        <f t="shared" si="17"/>
        <v>-2.5010429663386846E-3</v>
      </c>
    </row>
    <row r="769" spans="1:5">
      <c r="A769" s="189">
        <v>45219</v>
      </c>
      <c r="B769" s="190">
        <v>823.65496800000005</v>
      </c>
      <c r="C769" s="83">
        <v>19468.400390999999</v>
      </c>
      <c r="D769" s="165">
        <f t="shared" si="16"/>
        <v>-3.6051010954506468E-3</v>
      </c>
      <c r="E769" s="165">
        <f t="shared" si="17"/>
        <v>-4.8000688186536911E-3</v>
      </c>
    </row>
    <row r="770" spans="1:5">
      <c r="A770" s="189">
        <v>45222</v>
      </c>
      <c r="B770" s="190">
        <v>805.97283900000002</v>
      </c>
      <c r="C770" s="83">
        <v>19189.099609000001</v>
      </c>
      <c r="D770" s="165">
        <f t="shared" si="16"/>
        <v>-2.1467883624785022E-2</v>
      </c>
      <c r="E770" s="165">
        <f t="shared" si="17"/>
        <v>-1.4346365206723166E-2</v>
      </c>
    </row>
    <row r="771" spans="1:5">
      <c r="A771" s="189">
        <v>45224</v>
      </c>
      <c r="B771" s="190">
        <v>811.13842799999998</v>
      </c>
      <c r="C771" s="83">
        <v>19034.400390999999</v>
      </c>
      <c r="D771" s="165">
        <f t="shared" si="16"/>
        <v>6.4091353331572343E-3</v>
      </c>
      <c r="E771" s="165">
        <f t="shared" si="17"/>
        <v>-8.0618278685387068E-3</v>
      </c>
    </row>
    <row r="772" spans="1:5">
      <c r="A772" s="189">
        <v>45225</v>
      </c>
      <c r="B772" s="190">
        <v>808.15832499999999</v>
      </c>
      <c r="C772" s="83">
        <v>18780.599609000001</v>
      </c>
      <c r="D772" s="165">
        <f t="shared" si="16"/>
        <v>-3.673975855573719E-3</v>
      </c>
      <c r="E772" s="165">
        <f t="shared" si="17"/>
        <v>-1.3333794434628121E-2</v>
      </c>
    </row>
    <row r="773" spans="1:5">
      <c r="A773" s="189">
        <v>45226</v>
      </c>
      <c r="B773" s="190">
        <v>826.48602300000005</v>
      </c>
      <c r="C773" s="83">
        <v>18996.099609000001</v>
      </c>
      <c r="D773" s="165">
        <f t="shared" si="16"/>
        <v>2.2678350804590242E-2</v>
      </c>
      <c r="E773" s="165">
        <f t="shared" si="17"/>
        <v>1.1474607013970406E-2</v>
      </c>
    </row>
    <row r="774" spans="1:5">
      <c r="A774" s="189">
        <v>45229</v>
      </c>
      <c r="B774" s="190">
        <v>826.03765899999996</v>
      </c>
      <c r="C774" s="83">
        <v>19080.849609000001</v>
      </c>
      <c r="D774" s="165">
        <f t="shared" si="16"/>
        <v>-5.4249435262387902E-4</v>
      </c>
      <c r="E774" s="165">
        <f t="shared" si="17"/>
        <v>4.4614421773112589E-3</v>
      </c>
    </row>
    <row r="775" spans="1:5">
      <c r="A775" s="189">
        <v>45230</v>
      </c>
      <c r="B775" s="190">
        <v>816.32305899999994</v>
      </c>
      <c r="C775" s="83">
        <v>19035.349609000001</v>
      </c>
      <c r="D775" s="165">
        <f t="shared" si="16"/>
        <v>-1.1760480765199643E-2</v>
      </c>
      <c r="E775" s="165">
        <f t="shared" si="17"/>
        <v>-2.3845898339106553E-3</v>
      </c>
    </row>
    <row r="776" spans="1:5">
      <c r="A776" s="189">
        <v>45231</v>
      </c>
      <c r="B776" s="190">
        <v>808.55139199999996</v>
      </c>
      <c r="C776" s="83">
        <v>18942.300781000002</v>
      </c>
      <c r="D776" s="165">
        <f t="shared" si="16"/>
        <v>-9.5203325623562929E-3</v>
      </c>
      <c r="E776" s="165">
        <f t="shared" si="17"/>
        <v>-4.8882121900196696E-3</v>
      </c>
    </row>
    <row r="777" spans="1:5">
      <c r="A777" s="189">
        <v>45232</v>
      </c>
      <c r="B777" s="190">
        <v>808.053223</v>
      </c>
      <c r="C777" s="83">
        <v>19107.25</v>
      </c>
      <c r="D777" s="165">
        <f t="shared" si="16"/>
        <v>-6.1612533838784067E-4</v>
      </c>
      <c r="E777" s="165">
        <f t="shared" si="17"/>
        <v>8.7079822513138616E-3</v>
      </c>
    </row>
    <row r="778" spans="1:5">
      <c r="A778" s="189">
        <v>45233</v>
      </c>
      <c r="B778" s="190">
        <v>814.13104199999998</v>
      </c>
      <c r="C778" s="83">
        <v>19222.099609000001</v>
      </c>
      <c r="D778" s="165">
        <f t="shared" si="16"/>
        <v>7.5215577724390137E-3</v>
      </c>
      <c r="E778" s="165">
        <f t="shared" si="17"/>
        <v>6.0107869525964919E-3</v>
      </c>
    </row>
    <row r="779" spans="1:5">
      <c r="A779" s="189">
        <v>45236</v>
      </c>
      <c r="B779" s="190">
        <v>821.85290499999996</v>
      </c>
      <c r="C779" s="83">
        <v>19399.099609000001</v>
      </c>
      <c r="D779" s="165">
        <f t="shared" si="16"/>
        <v>9.4847912702484827E-3</v>
      </c>
      <c r="E779" s="165">
        <f t="shared" si="17"/>
        <v>9.2081512217909722E-3</v>
      </c>
    </row>
    <row r="780" spans="1:5">
      <c r="A780" s="189">
        <v>45237</v>
      </c>
      <c r="B780" s="190">
        <v>837.894409</v>
      </c>
      <c r="C780" s="83">
        <v>19416.800781000002</v>
      </c>
      <c r="D780" s="165">
        <f t="shared" si="16"/>
        <v>1.951870450588733E-2</v>
      </c>
      <c r="E780" s="165">
        <f t="shared" si="17"/>
        <v>9.124738960455403E-4</v>
      </c>
    </row>
    <row r="781" spans="1:5">
      <c r="A781" s="189">
        <v>45238</v>
      </c>
      <c r="B781" s="190">
        <v>831.71691899999996</v>
      </c>
      <c r="C781" s="83">
        <v>19470.099609000001</v>
      </c>
      <c r="D781" s="165">
        <f t="shared" si="16"/>
        <v>-7.3726354223709878E-3</v>
      </c>
      <c r="E781" s="165">
        <f t="shared" si="17"/>
        <v>2.7449850570724355E-3</v>
      </c>
    </row>
    <row r="782" spans="1:5">
      <c r="A782" s="189">
        <v>45239</v>
      </c>
      <c r="B782" s="190">
        <v>826.43621800000005</v>
      </c>
      <c r="C782" s="83">
        <v>19413.800781000002</v>
      </c>
      <c r="D782" s="165">
        <f t="shared" si="16"/>
        <v>-6.349156641359488E-3</v>
      </c>
      <c r="E782" s="165">
        <f t="shared" si="17"/>
        <v>-2.8915531574360553E-3</v>
      </c>
    </row>
    <row r="783" spans="1:5">
      <c r="A783" s="189">
        <v>45240</v>
      </c>
      <c r="B783" s="190">
        <v>822.849243</v>
      </c>
      <c r="C783" s="83">
        <v>19444.800781000002</v>
      </c>
      <c r="D783" s="165">
        <f t="shared" si="16"/>
        <v>-4.3402925983575535E-3</v>
      </c>
      <c r="E783" s="165">
        <f t="shared" si="17"/>
        <v>1.5968022104326796E-3</v>
      </c>
    </row>
    <row r="784" spans="1:5">
      <c r="A784" s="189">
        <v>45243</v>
      </c>
      <c r="B784" s="190">
        <v>831.56744400000002</v>
      </c>
      <c r="C784" s="83">
        <v>19475.699218999998</v>
      </c>
      <c r="D784" s="165">
        <f t="shared" si="16"/>
        <v>1.0595137656339793E-2</v>
      </c>
      <c r="E784" s="165">
        <f t="shared" si="17"/>
        <v>1.5890334052786059E-3</v>
      </c>
    </row>
    <row r="785" spans="1:5">
      <c r="A785" s="189">
        <v>45245</v>
      </c>
      <c r="B785" s="190">
        <v>837.19695999999999</v>
      </c>
      <c r="C785" s="83">
        <v>19698.400390999999</v>
      </c>
      <c r="D785" s="165">
        <f t="shared" si="16"/>
        <v>6.7697647865108124E-3</v>
      </c>
      <c r="E785" s="165">
        <f t="shared" si="17"/>
        <v>1.1434822929630162E-2</v>
      </c>
    </row>
    <row r="786" spans="1:5">
      <c r="A786" s="189">
        <v>45246</v>
      </c>
      <c r="B786" s="190">
        <v>850.59808299999997</v>
      </c>
      <c r="C786" s="83">
        <v>19785.849609000001</v>
      </c>
      <c r="D786" s="165">
        <f t="shared" si="16"/>
        <v>1.6007132897376986E-2</v>
      </c>
      <c r="E786" s="165">
        <f t="shared" si="17"/>
        <v>4.4394070718531964E-3</v>
      </c>
    </row>
    <row r="787" spans="1:5">
      <c r="A787" s="189">
        <v>45247</v>
      </c>
      <c r="B787" s="190">
        <v>845.16790800000001</v>
      </c>
      <c r="C787" s="83">
        <v>19773.449218999998</v>
      </c>
      <c r="D787" s="165">
        <f t="shared" si="16"/>
        <v>-6.3839492570311185E-3</v>
      </c>
      <c r="E787" s="165">
        <f t="shared" si="17"/>
        <v>-6.2673022614923024E-4</v>
      </c>
    </row>
    <row r="788" spans="1:5">
      <c r="A788" s="189">
        <v>45250</v>
      </c>
      <c r="B788" s="190">
        <v>845.56646699999999</v>
      </c>
      <c r="C788" s="83">
        <v>19730.699218999998</v>
      </c>
      <c r="D788" s="165">
        <f t="shared" si="16"/>
        <v>4.7157375028961113E-4</v>
      </c>
      <c r="E788" s="165">
        <f t="shared" si="17"/>
        <v>-2.1619900264503444E-3</v>
      </c>
    </row>
    <row r="789" spans="1:5">
      <c r="A789" s="189">
        <v>45251</v>
      </c>
      <c r="B789" s="190">
        <v>841.08282499999996</v>
      </c>
      <c r="C789" s="83">
        <v>19806.400390999999</v>
      </c>
      <c r="D789" s="165">
        <f t="shared" si="16"/>
        <v>-5.3025305224172481E-3</v>
      </c>
      <c r="E789" s="165">
        <f t="shared" si="17"/>
        <v>3.8367201871438716E-3</v>
      </c>
    </row>
    <row r="790" spans="1:5">
      <c r="A790" s="189">
        <v>45252</v>
      </c>
      <c r="B790" s="190">
        <v>842.02929700000004</v>
      </c>
      <c r="C790" s="83">
        <v>19818.900390999999</v>
      </c>
      <c r="D790" s="165">
        <f t="shared" ref="D790:D853" si="18">B790/B789-1</f>
        <v>1.1253017798813492E-3</v>
      </c>
      <c r="E790" s="165">
        <f t="shared" ref="E790:E853" si="19">C790/C789-1</f>
        <v>6.3110912398189889E-4</v>
      </c>
    </row>
    <row r="791" spans="1:5">
      <c r="A791" s="189">
        <v>45253</v>
      </c>
      <c r="B791" s="190">
        <v>833.709656</v>
      </c>
      <c r="C791" s="83">
        <v>19819.400390999999</v>
      </c>
      <c r="D791" s="165">
        <f t="shared" si="18"/>
        <v>-9.8804650023953666E-3</v>
      </c>
      <c r="E791" s="165">
        <f t="shared" si="19"/>
        <v>2.5228443058633587E-5</v>
      </c>
    </row>
    <row r="792" spans="1:5">
      <c r="A792" s="189">
        <v>45254</v>
      </c>
      <c r="B792" s="190">
        <v>829.32562299999995</v>
      </c>
      <c r="C792" s="83">
        <v>19812.099609000001</v>
      </c>
      <c r="D792" s="165">
        <f t="shared" si="18"/>
        <v>-5.2584649445394094E-3</v>
      </c>
      <c r="E792" s="165">
        <f t="shared" si="19"/>
        <v>-3.683654326552821E-4</v>
      </c>
    </row>
    <row r="793" spans="1:5">
      <c r="A793" s="189">
        <v>45258</v>
      </c>
      <c r="B793" s="190">
        <v>828.32928500000003</v>
      </c>
      <c r="C793" s="83">
        <v>19938.400390999999</v>
      </c>
      <c r="D793" s="165">
        <f t="shared" si="18"/>
        <v>-1.2013833557870113E-3</v>
      </c>
      <c r="E793" s="165">
        <f t="shared" si="19"/>
        <v>6.374931708026832E-3</v>
      </c>
    </row>
    <row r="794" spans="1:5">
      <c r="A794" s="189">
        <v>45259</v>
      </c>
      <c r="B794" s="190">
        <v>831.11914100000001</v>
      </c>
      <c r="C794" s="83">
        <v>20136.199218999998</v>
      </c>
      <c r="D794" s="165">
        <f t="shared" si="18"/>
        <v>3.3680518732353004E-3</v>
      </c>
      <c r="E794" s="165">
        <f t="shared" si="19"/>
        <v>9.9204963347652164E-3</v>
      </c>
    </row>
    <row r="795" spans="1:5">
      <c r="A795" s="189">
        <v>45260</v>
      </c>
      <c r="B795" s="190">
        <v>833.61004600000001</v>
      </c>
      <c r="C795" s="83">
        <v>20201</v>
      </c>
      <c r="D795" s="165">
        <f t="shared" si="18"/>
        <v>2.9970492521720349E-3</v>
      </c>
      <c r="E795" s="165">
        <f t="shared" si="19"/>
        <v>3.2181237529105289E-3</v>
      </c>
    </row>
    <row r="796" spans="1:5">
      <c r="A796" s="189">
        <v>45261</v>
      </c>
      <c r="B796" s="190">
        <v>834.75585899999999</v>
      </c>
      <c r="C796" s="83">
        <v>20339.449218999998</v>
      </c>
      <c r="D796" s="165">
        <f t="shared" si="18"/>
        <v>1.3745191837575277E-3</v>
      </c>
      <c r="E796" s="165">
        <f t="shared" si="19"/>
        <v>6.853582446413542E-3</v>
      </c>
    </row>
    <row r="797" spans="1:5">
      <c r="A797" s="189">
        <v>45264</v>
      </c>
      <c r="B797" s="190">
        <v>836.05108600000005</v>
      </c>
      <c r="C797" s="83">
        <v>20757.949218999998</v>
      </c>
      <c r="D797" s="165">
        <f t="shared" si="18"/>
        <v>1.5516237305019942E-3</v>
      </c>
      <c r="E797" s="165">
        <f t="shared" si="19"/>
        <v>2.0575778404513523E-2</v>
      </c>
    </row>
    <row r="798" spans="1:5">
      <c r="A798" s="189">
        <v>45265</v>
      </c>
      <c r="B798" s="190">
        <v>834.45696999999996</v>
      </c>
      <c r="C798" s="83">
        <v>20949.25</v>
      </c>
      <c r="D798" s="165">
        <f t="shared" si="18"/>
        <v>-1.9067208053361595E-3</v>
      </c>
      <c r="E798" s="165">
        <f t="shared" si="19"/>
        <v>9.2157842271287649E-3</v>
      </c>
    </row>
    <row r="799" spans="1:5">
      <c r="A799" s="189">
        <v>45266</v>
      </c>
      <c r="B799" s="190">
        <v>837.29656999999997</v>
      </c>
      <c r="C799" s="83">
        <v>21074.150390999999</v>
      </c>
      <c r="D799" s="165">
        <f t="shared" si="18"/>
        <v>3.4029316095232076E-3</v>
      </c>
      <c r="E799" s="165">
        <f t="shared" si="19"/>
        <v>5.9620459443654461E-3</v>
      </c>
    </row>
    <row r="800" spans="1:5">
      <c r="A800" s="189">
        <v>45267</v>
      </c>
      <c r="B800" s="190">
        <v>864.04901099999995</v>
      </c>
      <c r="C800" s="83">
        <v>21076.349609000001</v>
      </c>
      <c r="D800" s="165">
        <f t="shared" si="18"/>
        <v>3.1950974073618799E-2</v>
      </c>
      <c r="E800" s="165">
        <f t="shared" si="19"/>
        <v>1.0435618799320423E-4</v>
      </c>
    </row>
    <row r="801" spans="1:5">
      <c r="A801" s="189">
        <v>45268</v>
      </c>
      <c r="B801" s="190">
        <v>879.49273700000003</v>
      </c>
      <c r="C801" s="83">
        <v>21107.199218999998</v>
      </c>
      <c r="D801" s="165">
        <f t="shared" si="18"/>
        <v>1.787366897408571E-2</v>
      </c>
      <c r="E801" s="165">
        <f t="shared" si="19"/>
        <v>1.4637074527756866E-3</v>
      </c>
    </row>
    <row r="802" spans="1:5">
      <c r="A802" s="189">
        <v>45271</v>
      </c>
      <c r="B802" s="190">
        <v>875.90576199999998</v>
      </c>
      <c r="C802" s="83">
        <v>21161.699218999998</v>
      </c>
      <c r="D802" s="165">
        <f t="shared" si="18"/>
        <v>-4.0784589219411416E-3</v>
      </c>
      <c r="E802" s="165">
        <f t="shared" si="19"/>
        <v>2.5820574029993271E-3</v>
      </c>
    </row>
    <row r="803" spans="1:5">
      <c r="A803" s="189">
        <v>45272</v>
      </c>
      <c r="B803" s="190">
        <v>901.01422100000002</v>
      </c>
      <c r="C803" s="83">
        <v>21058.25</v>
      </c>
      <c r="D803" s="165">
        <f t="shared" si="18"/>
        <v>2.8665708218049257E-2</v>
      </c>
      <c r="E803" s="165">
        <f t="shared" si="19"/>
        <v>-4.8885119256925069E-3</v>
      </c>
    </row>
    <row r="804" spans="1:5">
      <c r="A804" s="189">
        <v>45273</v>
      </c>
      <c r="B804" s="190">
        <v>891.39929199999995</v>
      </c>
      <c r="C804" s="83">
        <v>21099.599609000001</v>
      </c>
      <c r="D804" s="165">
        <f t="shared" si="18"/>
        <v>-1.067122890616401E-2</v>
      </c>
      <c r="E804" s="165">
        <f t="shared" si="19"/>
        <v>1.9635823964478938E-3</v>
      </c>
    </row>
    <row r="805" spans="1:5">
      <c r="A805" s="189">
        <v>45274</v>
      </c>
      <c r="B805" s="190">
        <v>909.88189699999998</v>
      </c>
      <c r="C805" s="83">
        <v>21364.300781000002</v>
      </c>
      <c r="D805" s="165">
        <f t="shared" si="18"/>
        <v>2.0734372537509316E-2</v>
      </c>
      <c r="E805" s="165">
        <f t="shared" si="19"/>
        <v>1.2545317300101333E-2</v>
      </c>
    </row>
    <row r="806" spans="1:5">
      <c r="A806" s="189">
        <v>45275</v>
      </c>
      <c r="B806" s="190">
        <v>931.80194100000006</v>
      </c>
      <c r="C806" s="83">
        <v>21595.5</v>
      </c>
      <c r="D806" s="165">
        <f t="shared" si="18"/>
        <v>2.4091087065555739E-2</v>
      </c>
      <c r="E806" s="165">
        <f t="shared" si="19"/>
        <v>1.0821754541370687E-2</v>
      </c>
    </row>
    <row r="807" spans="1:5">
      <c r="A807" s="189">
        <v>45278</v>
      </c>
      <c r="B807" s="190">
        <v>932.99761999999998</v>
      </c>
      <c r="C807" s="83">
        <v>21585.25</v>
      </c>
      <c r="D807" s="165">
        <f t="shared" si="18"/>
        <v>1.2831900722558576E-3</v>
      </c>
      <c r="E807" s="165">
        <f t="shared" si="19"/>
        <v>-4.7463591952023876E-4</v>
      </c>
    </row>
    <row r="808" spans="1:5">
      <c r="A808" s="189">
        <v>45279</v>
      </c>
      <c r="B808" s="190">
        <v>922.33648700000003</v>
      </c>
      <c r="C808" s="83">
        <v>21622.949218999998</v>
      </c>
      <c r="D808" s="165">
        <f t="shared" si="18"/>
        <v>-1.142675262129822E-2</v>
      </c>
      <c r="E808" s="165">
        <f t="shared" si="19"/>
        <v>1.746526864409681E-3</v>
      </c>
    </row>
    <row r="809" spans="1:5">
      <c r="A809" s="189">
        <v>45280</v>
      </c>
      <c r="B809" s="190">
        <v>881.63488800000005</v>
      </c>
      <c r="C809" s="83">
        <v>21267.349609000001</v>
      </c>
      <c r="D809" s="165">
        <f t="shared" si="18"/>
        <v>-4.4128796348918531E-2</v>
      </c>
      <c r="E809" s="165">
        <f t="shared" si="19"/>
        <v>-1.6445472187833321E-2</v>
      </c>
    </row>
    <row r="810" spans="1:5">
      <c r="A810" s="189">
        <v>45281</v>
      </c>
      <c r="B810" s="190">
        <v>910.97790499999996</v>
      </c>
      <c r="C810" s="83">
        <v>21402.150390999999</v>
      </c>
      <c r="D810" s="165">
        <f t="shared" si="18"/>
        <v>3.3282504355703235E-2</v>
      </c>
      <c r="E810" s="165">
        <f t="shared" si="19"/>
        <v>6.3383912183845315E-3</v>
      </c>
    </row>
    <row r="811" spans="1:5">
      <c r="A811" s="189">
        <v>45282</v>
      </c>
      <c r="B811" s="190">
        <v>913.31939699999998</v>
      </c>
      <c r="C811" s="83">
        <v>21508.849609000001</v>
      </c>
      <c r="D811" s="165">
        <f t="shared" si="18"/>
        <v>2.5703060273454259E-3</v>
      </c>
      <c r="E811" s="165">
        <f t="shared" si="19"/>
        <v>4.985443801239331E-3</v>
      </c>
    </row>
    <row r="812" spans="1:5">
      <c r="A812" s="189">
        <v>45286</v>
      </c>
      <c r="B812" s="190">
        <v>905.49786400000005</v>
      </c>
      <c r="C812" s="83">
        <v>21617.050781000002</v>
      </c>
      <c r="D812" s="165">
        <f t="shared" si="18"/>
        <v>-8.5638529365428262E-3</v>
      </c>
      <c r="E812" s="165">
        <f t="shared" si="19"/>
        <v>5.0305420311611559E-3</v>
      </c>
    </row>
    <row r="813" spans="1:5">
      <c r="A813" s="189">
        <v>45287</v>
      </c>
      <c r="B813" s="190">
        <v>899.51965299999995</v>
      </c>
      <c r="C813" s="83">
        <v>21815.449218999998</v>
      </c>
      <c r="D813" s="165">
        <f t="shared" si="18"/>
        <v>-6.6021260100952439E-3</v>
      </c>
      <c r="E813" s="165">
        <f t="shared" si="19"/>
        <v>9.1778679714429323E-3</v>
      </c>
    </row>
    <row r="814" spans="1:5">
      <c r="A814" s="189">
        <v>45288</v>
      </c>
      <c r="B814" s="190">
        <v>894.63751200000002</v>
      </c>
      <c r="C814" s="83">
        <v>21931.75</v>
      </c>
      <c r="D814" s="165">
        <f t="shared" si="18"/>
        <v>-5.4274978692432363E-3</v>
      </c>
      <c r="E814" s="165">
        <f t="shared" si="19"/>
        <v>5.3311201540011677E-3</v>
      </c>
    </row>
    <row r="815" spans="1:5">
      <c r="A815" s="189">
        <v>45289</v>
      </c>
      <c r="B815" s="190">
        <v>892.79418899999996</v>
      </c>
      <c r="C815" s="83">
        <v>21918.800781000002</v>
      </c>
      <c r="D815" s="165">
        <f t="shared" si="18"/>
        <v>-2.0604132682512377E-3</v>
      </c>
      <c r="E815" s="165">
        <f t="shared" si="19"/>
        <v>-5.904325464223259E-4</v>
      </c>
    </row>
    <row r="816" spans="1:5">
      <c r="A816" s="189">
        <v>45292</v>
      </c>
      <c r="B816" s="190">
        <v>900.36663799999997</v>
      </c>
      <c r="C816" s="83">
        <v>21918.800781000002</v>
      </c>
      <c r="D816" s="165">
        <f t="shared" si="18"/>
        <v>8.4817409133024491E-3</v>
      </c>
      <c r="E816" s="165">
        <f t="shared" si="19"/>
        <v>0</v>
      </c>
    </row>
    <row r="817" spans="1:5">
      <c r="A817" s="189">
        <v>45293</v>
      </c>
      <c r="B817" s="190">
        <v>906.19531300000006</v>
      </c>
      <c r="C817" s="83">
        <v>21865.25</v>
      </c>
      <c r="D817" s="165">
        <f t="shared" si="18"/>
        <v>6.4736683413186835E-3</v>
      </c>
      <c r="E817" s="165">
        <f t="shared" si="19"/>
        <v>-2.4431437438138248E-3</v>
      </c>
    </row>
    <row r="818" spans="1:5">
      <c r="A818" s="189">
        <v>45294</v>
      </c>
      <c r="B818" s="190">
        <v>900.46624799999995</v>
      </c>
      <c r="C818" s="83">
        <v>21771.400390999999</v>
      </c>
      <c r="D818" s="165">
        <f t="shared" si="18"/>
        <v>-6.3221083996051197E-3</v>
      </c>
      <c r="E818" s="165">
        <f t="shared" si="19"/>
        <v>-4.2921809263557487E-3</v>
      </c>
    </row>
    <row r="819" spans="1:5">
      <c r="A819" s="189">
        <v>45295</v>
      </c>
      <c r="B819" s="190">
        <v>897.42730700000004</v>
      </c>
      <c r="C819" s="83">
        <v>21934.400390999999</v>
      </c>
      <c r="D819" s="165">
        <f t="shared" si="18"/>
        <v>-3.3748527573905784E-3</v>
      </c>
      <c r="E819" s="165">
        <f t="shared" si="19"/>
        <v>7.4868863312707035E-3</v>
      </c>
    </row>
    <row r="820" spans="1:5">
      <c r="A820" s="189">
        <v>45296</v>
      </c>
      <c r="B820" s="190">
        <v>900.51605199999995</v>
      </c>
      <c r="C820" s="83">
        <v>21974.599609000001</v>
      </c>
      <c r="D820" s="165">
        <f t="shared" si="18"/>
        <v>3.4417773739527924E-3</v>
      </c>
      <c r="E820" s="165">
        <f t="shared" si="19"/>
        <v>1.8327019331922934E-3</v>
      </c>
    </row>
    <row r="821" spans="1:5">
      <c r="A821" s="189">
        <v>45299</v>
      </c>
      <c r="B821" s="190">
        <v>887.51348900000005</v>
      </c>
      <c r="C821" s="83">
        <v>21770.75</v>
      </c>
      <c r="D821" s="165">
        <f t="shared" si="18"/>
        <v>-1.4439013020502878E-2</v>
      </c>
      <c r="E821" s="165">
        <f t="shared" si="19"/>
        <v>-9.2766017414265267E-3</v>
      </c>
    </row>
    <row r="822" spans="1:5">
      <c r="A822" s="189">
        <v>45300</v>
      </c>
      <c r="B822" s="190">
        <v>891.89752199999998</v>
      </c>
      <c r="C822" s="83">
        <v>21815.150390999999</v>
      </c>
      <c r="D822" s="165">
        <f t="shared" si="18"/>
        <v>4.9396804153811757E-3</v>
      </c>
      <c r="E822" s="165">
        <f t="shared" si="19"/>
        <v>2.0394516036423838E-3</v>
      </c>
    </row>
    <row r="823" spans="1:5">
      <c r="A823" s="189">
        <v>45301</v>
      </c>
      <c r="B823" s="190">
        <v>889.40655500000003</v>
      </c>
      <c r="C823" s="83">
        <v>21885.800781000002</v>
      </c>
      <c r="D823" s="165">
        <f t="shared" si="18"/>
        <v>-2.7928847637272991E-3</v>
      </c>
      <c r="E823" s="165">
        <f t="shared" si="19"/>
        <v>3.238592846426025E-3</v>
      </c>
    </row>
    <row r="824" spans="1:5">
      <c r="A824" s="189">
        <v>45302</v>
      </c>
      <c r="B824" s="190">
        <v>886.61669900000004</v>
      </c>
      <c r="C824" s="83">
        <v>21942.150390999999</v>
      </c>
      <c r="D824" s="165">
        <f t="shared" si="18"/>
        <v>-3.1367612306387738E-3</v>
      </c>
      <c r="E824" s="165">
        <f t="shared" si="19"/>
        <v>2.5747109079470309E-3</v>
      </c>
    </row>
    <row r="825" spans="1:5">
      <c r="A825" s="189">
        <v>45303</v>
      </c>
      <c r="B825" s="190">
        <v>919.14807099999996</v>
      </c>
      <c r="C825" s="83">
        <v>22159.25</v>
      </c>
      <c r="D825" s="165">
        <f t="shared" si="18"/>
        <v>3.6691585029575258E-2</v>
      </c>
      <c r="E825" s="165">
        <f t="shared" si="19"/>
        <v>9.8941810684629594E-3</v>
      </c>
    </row>
    <row r="826" spans="1:5">
      <c r="A826" s="189">
        <v>45306</v>
      </c>
      <c r="B826" s="190">
        <v>941.86523399999999</v>
      </c>
      <c r="C826" s="83">
        <v>22338.75</v>
      </c>
      <c r="D826" s="165">
        <f t="shared" si="18"/>
        <v>2.4715455231586914E-2</v>
      </c>
      <c r="E826" s="165">
        <f t="shared" si="19"/>
        <v>8.1004546634024788E-3</v>
      </c>
    </row>
    <row r="827" spans="1:5">
      <c r="A827" s="189">
        <v>45307</v>
      </c>
      <c r="B827" s="190">
        <v>931.50305200000003</v>
      </c>
      <c r="C827" s="83">
        <v>22274.599609000001</v>
      </c>
      <c r="D827" s="165">
        <f t="shared" si="18"/>
        <v>-1.1001767159398046E-2</v>
      </c>
      <c r="E827" s="165">
        <f t="shared" si="19"/>
        <v>-2.8717090705612236E-3</v>
      </c>
    </row>
    <row r="828" spans="1:5">
      <c r="A828" s="189">
        <v>45308</v>
      </c>
      <c r="B828" s="190">
        <v>922.33648700000003</v>
      </c>
      <c r="C828" s="83">
        <v>21839.949218999998</v>
      </c>
      <c r="D828" s="165">
        <f t="shared" si="18"/>
        <v>-9.840617247918626E-3</v>
      </c>
      <c r="E828" s="165">
        <f t="shared" si="19"/>
        <v>-1.9513275103916206E-2</v>
      </c>
    </row>
    <row r="829" spans="1:5">
      <c r="A829" s="189">
        <v>45309</v>
      </c>
      <c r="B829" s="190">
        <v>880.738159</v>
      </c>
      <c r="C829" s="83">
        <v>21730.099609000001</v>
      </c>
      <c r="D829" s="165">
        <f t="shared" si="18"/>
        <v>-4.5101032634308091E-2</v>
      </c>
      <c r="E829" s="165">
        <f t="shared" si="19"/>
        <v>-5.0297557424919814E-3</v>
      </c>
    </row>
    <row r="830" spans="1:5">
      <c r="A830" s="189">
        <v>45310</v>
      </c>
      <c r="B830" s="190">
        <v>886.367615</v>
      </c>
      <c r="C830" s="83">
        <v>21916</v>
      </c>
      <c r="D830" s="165">
        <f t="shared" si="18"/>
        <v>6.3917475840853388E-3</v>
      </c>
      <c r="E830" s="165">
        <f t="shared" si="19"/>
        <v>8.5549718751867232E-3</v>
      </c>
    </row>
    <row r="831" spans="1:5">
      <c r="A831" s="189">
        <v>45314</v>
      </c>
      <c r="B831" s="190">
        <v>853.18859899999995</v>
      </c>
      <c r="C831" s="83">
        <v>21506.800781000002</v>
      </c>
      <c r="D831" s="165">
        <f t="shared" si="18"/>
        <v>-3.7432567975760334E-2</v>
      </c>
      <c r="E831" s="165">
        <f t="shared" si="19"/>
        <v>-1.8671254745391441E-2</v>
      </c>
    </row>
    <row r="832" spans="1:5">
      <c r="A832" s="189">
        <v>45315</v>
      </c>
      <c r="B832" s="190">
        <v>864.59704599999998</v>
      </c>
      <c r="C832" s="83">
        <v>21746</v>
      </c>
      <c r="D832" s="165">
        <f t="shared" si="18"/>
        <v>1.337154178263944E-2</v>
      </c>
      <c r="E832" s="165">
        <f t="shared" si="19"/>
        <v>1.1122027001399415E-2</v>
      </c>
    </row>
    <row r="833" spans="1:5">
      <c r="A833" s="189">
        <v>45316</v>
      </c>
      <c r="B833" s="190">
        <v>863.40136700000005</v>
      </c>
      <c r="C833" s="83">
        <v>21666.5</v>
      </c>
      <c r="D833" s="165">
        <f t="shared" si="18"/>
        <v>-1.3829320901935782E-3</v>
      </c>
      <c r="E833" s="165">
        <f t="shared" si="19"/>
        <v>-3.655844753058024E-3</v>
      </c>
    </row>
    <row r="834" spans="1:5">
      <c r="A834" s="189">
        <v>45320</v>
      </c>
      <c r="B834" s="190">
        <v>853.08898899999997</v>
      </c>
      <c r="C834" s="83">
        <v>22041.599609000001</v>
      </c>
      <c r="D834" s="165">
        <f t="shared" si="18"/>
        <v>-1.1943898161560496E-2</v>
      </c>
      <c r="E834" s="165">
        <f t="shared" si="19"/>
        <v>1.7312422818637208E-2</v>
      </c>
    </row>
    <row r="835" spans="1:5">
      <c r="A835" s="189">
        <v>45321</v>
      </c>
      <c r="B835" s="190">
        <v>854.28466800000001</v>
      </c>
      <c r="C835" s="83">
        <v>21846.199218999998</v>
      </c>
      <c r="D835" s="165">
        <f t="shared" si="18"/>
        <v>1.401587660159187E-3</v>
      </c>
      <c r="E835" s="165">
        <f t="shared" si="19"/>
        <v>-8.8650730194834715E-3</v>
      </c>
    </row>
    <row r="836" spans="1:5">
      <c r="A836" s="189">
        <v>45322</v>
      </c>
      <c r="B836" s="190">
        <v>872.86688200000003</v>
      </c>
      <c r="C836" s="83">
        <v>22051.550781000002</v>
      </c>
      <c r="D836" s="165">
        <f t="shared" si="18"/>
        <v>2.1751782158871746E-2</v>
      </c>
      <c r="E836" s="165">
        <f t="shared" si="19"/>
        <v>9.3998759208149263E-3</v>
      </c>
    </row>
    <row r="837" spans="1:5">
      <c r="A837" s="189">
        <v>45323</v>
      </c>
      <c r="B837" s="190">
        <v>861.05993699999999</v>
      </c>
      <c r="C837" s="83">
        <v>22039.599609000001</v>
      </c>
      <c r="D837" s="165">
        <f t="shared" si="18"/>
        <v>-1.3526627305353589E-2</v>
      </c>
      <c r="E837" s="165">
        <f t="shared" si="19"/>
        <v>-5.4196514878668278E-4</v>
      </c>
    </row>
    <row r="838" spans="1:5">
      <c r="A838" s="189">
        <v>45324</v>
      </c>
      <c r="B838" s="190">
        <v>870.72473100000002</v>
      </c>
      <c r="C838" s="83">
        <v>22199</v>
      </c>
      <c r="D838" s="165">
        <f t="shared" si="18"/>
        <v>1.1224298779563435E-2</v>
      </c>
      <c r="E838" s="165">
        <f t="shared" si="19"/>
        <v>7.2324540294692596E-3</v>
      </c>
    </row>
    <row r="839" spans="1:5">
      <c r="A839" s="189">
        <v>45327</v>
      </c>
      <c r="B839" s="190">
        <v>852.69042999999999</v>
      </c>
      <c r="C839" s="83">
        <v>22113.400390999999</v>
      </c>
      <c r="D839" s="165">
        <f t="shared" si="18"/>
        <v>-2.0711828156400491E-2</v>
      </c>
      <c r="E839" s="165">
        <f t="shared" si="19"/>
        <v>-3.856011937474646E-3</v>
      </c>
    </row>
    <row r="840" spans="1:5">
      <c r="A840" s="189">
        <v>45328</v>
      </c>
      <c r="B840" s="190">
        <v>865.94207800000004</v>
      </c>
      <c r="C840" s="83">
        <v>22299.300781000002</v>
      </c>
      <c r="D840" s="165">
        <f t="shared" si="18"/>
        <v>1.5540983613478554E-2</v>
      </c>
      <c r="E840" s="165">
        <f t="shared" si="19"/>
        <v>8.4066849382269382E-3</v>
      </c>
    </row>
    <row r="841" spans="1:5">
      <c r="A841" s="189">
        <v>45329</v>
      </c>
      <c r="B841" s="190">
        <v>859.16680899999994</v>
      </c>
      <c r="C841" s="83">
        <v>22363.699218999998</v>
      </c>
      <c r="D841" s="165">
        <f t="shared" si="18"/>
        <v>-7.8241595738693936E-3</v>
      </c>
      <c r="E841" s="165">
        <f t="shared" si="19"/>
        <v>2.8879128826706513E-3</v>
      </c>
    </row>
    <row r="842" spans="1:5">
      <c r="A842" s="189">
        <v>45330</v>
      </c>
      <c r="B842" s="190">
        <v>849.70135500000004</v>
      </c>
      <c r="C842" s="83">
        <v>22202.75</v>
      </c>
      <c r="D842" s="165">
        <f t="shared" si="18"/>
        <v>-1.1017015439664046E-2</v>
      </c>
      <c r="E842" s="165">
        <f t="shared" si="19"/>
        <v>-7.1968960691108919E-3</v>
      </c>
    </row>
    <row r="843" spans="1:5">
      <c r="A843" s="189">
        <v>45331</v>
      </c>
      <c r="B843" s="190">
        <v>838.89080799999999</v>
      </c>
      <c r="C843" s="83">
        <v>22247.550781000002</v>
      </c>
      <c r="D843" s="165">
        <f t="shared" si="18"/>
        <v>-1.2722760692784885E-2</v>
      </c>
      <c r="E843" s="165">
        <f t="shared" si="19"/>
        <v>2.0178032450934857E-3</v>
      </c>
    </row>
    <row r="844" spans="1:5">
      <c r="A844" s="189">
        <v>45334</v>
      </c>
      <c r="B844" s="190">
        <v>826.83471699999996</v>
      </c>
      <c r="C844" s="83">
        <v>22042.099609000001</v>
      </c>
      <c r="D844" s="165">
        <f t="shared" si="18"/>
        <v>-1.4371466327951499E-2</v>
      </c>
      <c r="E844" s="165">
        <f t="shared" si="19"/>
        <v>-9.2347770782688077E-3</v>
      </c>
    </row>
    <row r="845" spans="1:5">
      <c r="A845" s="189">
        <v>45335</v>
      </c>
      <c r="B845" s="190">
        <v>832.56384300000002</v>
      </c>
      <c r="C845" s="83">
        <v>22181.599609000001</v>
      </c>
      <c r="D845" s="165">
        <f t="shared" si="18"/>
        <v>6.9289857842289582E-3</v>
      </c>
      <c r="E845" s="165">
        <f t="shared" si="19"/>
        <v>6.328798185044171E-3</v>
      </c>
    </row>
    <row r="846" spans="1:5">
      <c r="A846" s="189">
        <v>45336</v>
      </c>
      <c r="B846" s="190">
        <v>824.34381099999996</v>
      </c>
      <c r="C846" s="83">
        <v>22313.400390999999</v>
      </c>
      <c r="D846" s="165">
        <f t="shared" si="18"/>
        <v>-9.873155156943425E-3</v>
      </c>
      <c r="E846" s="165">
        <f t="shared" si="19"/>
        <v>5.9418970824143269E-3</v>
      </c>
    </row>
    <row r="847" spans="1:5">
      <c r="A847" s="189">
        <v>45337</v>
      </c>
      <c r="B847" s="190">
        <v>833.36096199999997</v>
      </c>
      <c r="C847" s="83">
        <v>22405.550781000002</v>
      </c>
      <c r="D847" s="165">
        <f t="shared" si="18"/>
        <v>1.0938580334656001E-2</v>
      </c>
      <c r="E847" s="165">
        <f t="shared" si="19"/>
        <v>4.1298228143287208E-3</v>
      </c>
    </row>
    <row r="848" spans="1:5">
      <c r="A848" s="189">
        <v>45338</v>
      </c>
      <c r="B848" s="190">
        <v>833.46057099999996</v>
      </c>
      <c r="C848" s="83">
        <v>22540.900390999999</v>
      </c>
      <c r="D848" s="165">
        <f t="shared" si="18"/>
        <v>1.195268371594338E-4</v>
      </c>
      <c r="E848" s="165">
        <f t="shared" si="19"/>
        <v>6.0408963530043103E-3</v>
      </c>
    </row>
    <row r="849" spans="1:5">
      <c r="A849" s="189">
        <v>45341</v>
      </c>
      <c r="B849" s="190">
        <v>835.35369900000001</v>
      </c>
      <c r="C849" s="83">
        <v>22540.900390999999</v>
      </c>
      <c r="D849" s="165">
        <f t="shared" si="18"/>
        <v>2.271406789799979E-3</v>
      </c>
      <c r="E849" s="165">
        <f t="shared" si="19"/>
        <v>0</v>
      </c>
    </row>
    <row r="850" spans="1:5">
      <c r="A850" s="189">
        <v>45342</v>
      </c>
      <c r="B850" s="190">
        <v>831.06927499999995</v>
      </c>
      <c r="C850" s="83">
        <v>22685.650390999999</v>
      </c>
      <c r="D850" s="165">
        <f t="shared" si="18"/>
        <v>-5.1288741584899489E-3</v>
      </c>
      <c r="E850" s="165">
        <f t="shared" si="19"/>
        <v>6.4216600707660554E-3</v>
      </c>
    </row>
    <row r="851" spans="1:5">
      <c r="A851" s="189">
        <v>45343</v>
      </c>
      <c r="B851" s="190">
        <v>822.99871800000005</v>
      </c>
      <c r="C851" s="83">
        <v>22547.599609000001</v>
      </c>
      <c r="D851" s="165">
        <f t="shared" si="18"/>
        <v>-9.7110520660265154E-3</v>
      </c>
      <c r="E851" s="165">
        <f t="shared" si="19"/>
        <v>-6.085379066529506E-3</v>
      </c>
    </row>
    <row r="852" spans="1:5">
      <c r="A852" s="189">
        <v>45344</v>
      </c>
      <c r="B852" s="190">
        <v>819.51147500000002</v>
      </c>
      <c r="C852" s="83">
        <v>22725.400390999999</v>
      </c>
      <c r="D852" s="165">
        <f t="shared" si="18"/>
        <v>-4.237239893246092E-3</v>
      </c>
      <c r="E852" s="165">
        <f t="shared" si="19"/>
        <v>7.8855747433543844E-3</v>
      </c>
    </row>
    <row r="853" spans="1:5">
      <c r="A853" s="189">
        <v>45345</v>
      </c>
      <c r="B853" s="190">
        <v>845.56646699999999</v>
      </c>
      <c r="C853" s="83">
        <v>22734.300781000002</v>
      </c>
      <c r="D853" s="165">
        <f t="shared" si="18"/>
        <v>3.1793321746959036E-2</v>
      </c>
      <c r="E853" s="165">
        <f t="shared" si="19"/>
        <v>3.9164942517477819E-4</v>
      </c>
    </row>
    <row r="854" spans="1:5">
      <c r="A854" s="189">
        <v>45348</v>
      </c>
      <c r="B854" s="190">
        <v>831.71691899999996</v>
      </c>
      <c r="C854" s="83">
        <v>22667.75</v>
      </c>
      <c r="D854" s="165">
        <f t="shared" ref="D854:D917" si="20">B854/B853-1</f>
        <v>-1.6379017546825247E-2</v>
      </c>
      <c r="E854" s="165">
        <f t="shared" ref="E854:E917" si="21">C854/C853-1</f>
        <v>-2.9273291332373441E-3</v>
      </c>
    </row>
    <row r="855" spans="1:5">
      <c r="A855" s="189">
        <v>45349</v>
      </c>
      <c r="B855" s="190">
        <v>869.47924799999998</v>
      </c>
      <c r="C855" s="83">
        <v>22722.300781000002</v>
      </c>
      <c r="D855" s="165">
        <f t="shared" si="20"/>
        <v>4.5402862605467886E-2</v>
      </c>
      <c r="E855" s="165">
        <f t="shared" si="21"/>
        <v>2.4065370846246825E-3</v>
      </c>
    </row>
    <row r="856" spans="1:5">
      <c r="A856" s="189">
        <v>45350</v>
      </c>
      <c r="B856" s="190">
        <v>845.964966</v>
      </c>
      <c r="C856" s="83">
        <v>22457.650390999999</v>
      </c>
      <c r="D856" s="165">
        <f t="shared" si="20"/>
        <v>-2.7044098009340822E-2</v>
      </c>
      <c r="E856" s="165">
        <f t="shared" si="21"/>
        <v>-1.1647165159493822E-2</v>
      </c>
    </row>
    <row r="857" spans="1:5">
      <c r="A857" s="189">
        <v>45351</v>
      </c>
      <c r="B857" s="190">
        <v>843.87261999999998</v>
      </c>
      <c r="C857" s="83">
        <v>22526.300781000002</v>
      </c>
      <c r="D857" s="165">
        <f t="shared" si="20"/>
        <v>-2.4733246459286429E-3</v>
      </c>
      <c r="E857" s="165">
        <f t="shared" si="21"/>
        <v>3.0568821227849874E-3</v>
      </c>
    </row>
    <row r="858" spans="1:5">
      <c r="A858" s="189">
        <v>45352</v>
      </c>
      <c r="B858" s="190">
        <v>845.16790800000001</v>
      </c>
      <c r="C858" s="83">
        <v>22862.050781000002</v>
      </c>
      <c r="D858" s="165">
        <f t="shared" si="20"/>
        <v>1.5349330803031691E-3</v>
      </c>
      <c r="E858" s="165">
        <f t="shared" si="21"/>
        <v>1.4904799650157896E-2</v>
      </c>
    </row>
    <row r="859" spans="1:5">
      <c r="A859" s="189">
        <v>45355</v>
      </c>
      <c r="B859" s="190">
        <v>836.84826699999996</v>
      </c>
      <c r="C859" s="83">
        <v>22944.800781000002</v>
      </c>
      <c r="D859" s="165">
        <f t="shared" si="20"/>
        <v>-9.8437729606742908E-3</v>
      </c>
      <c r="E859" s="165">
        <f t="shared" si="21"/>
        <v>3.6195353073387171E-3</v>
      </c>
    </row>
    <row r="860" spans="1:5">
      <c r="A860" s="189">
        <v>45356</v>
      </c>
      <c r="B860" s="190">
        <v>824.89184599999999</v>
      </c>
      <c r="C860" s="83">
        <v>22900.650390999999</v>
      </c>
      <c r="D860" s="165">
        <f t="shared" si="20"/>
        <v>-1.4287441907315346E-2</v>
      </c>
      <c r="E860" s="165">
        <f t="shared" si="21"/>
        <v>-1.9242001890277249E-3</v>
      </c>
    </row>
    <row r="861" spans="1:5">
      <c r="A861" s="189">
        <v>45357</v>
      </c>
      <c r="B861" s="190">
        <v>821.55401600000005</v>
      </c>
      <c r="C861" s="83">
        <v>22988.349609000001</v>
      </c>
      <c r="D861" s="165">
        <f t="shared" si="20"/>
        <v>-4.0463850093627185E-3</v>
      </c>
      <c r="E861" s="165">
        <f t="shared" si="21"/>
        <v>3.8295514102284489E-3</v>
      </c>
    </row>
    <row r="862" spans="1:5">
      <c r="A862" s="189">
        <v>45358</v>
      </c>
      <c r="B862" s="190">
        <v>828.37914999999998</v>
      </c>
      <c r="C862" s="83">
        <v>23036.050781000002</v>
      </c>
      <c r="D862" s="165">
        <f t="shared" si="20"/>
        <v>8.3075900879048259E-3</v>
      </c>
      <c r="E862" s="165">
        <f t="shared" si="21"/>
        <v>2.0750150755199925E-3</v>
      </c>
    </row>
    <row r="863" spans="1:5">
      <c r="A863" s="189">
        <v>45362</v>
      </c>
      <c r="B863" s="190">
        <v>820.30853300000001</v>
      </c>
      <c r="C863" s="83">
        <v>22895.449218999998</v>
      </c>
      <c r="D863" s="165">
        <f t="shared" si="20"/>
        <v>-9.7426607127907294E-3</v>
      </c>
      <c r="E863" s="165">
        <f t="shared" si="21"/>
        <v>-6.1035445414094891E-3</v>
      </c>
    </row>
    <row r="864" spans="1:5">
      <c r="A864" s="189">
        <v>45363</v>
      </c>
      <c r="B864" s="190">
        <v>802.97180200000003</v>
      </c>
      <c r="C864" s="83">
        <v>22840.900390999999</v>
      </c>
      <c r="D864" s="165">
        <f t="shared" si="20"/>
        <v>-2.1134402852786116E-2</v>
      </c>
      <c r="E864" s="165">
        <f t="shared" si="21"/>
        <v>-2.3825183545528317E-3</v>
      </c>
    </row>
    <row r="865" spans="1:5">
      <c r="A865" s="189">
        <v>45364</v>
      </c>
      <c r="B865" s="190">
        <v>782.29718000000003</v>
      </c>
      <c r="C865" s="83">
        <v>22399</v>
      </c>
      <c r="D865" s="165">
        <f t="shared" si="20"/>
        <v>-2.5747631421806805E-2</v>
      </c>
      <c r="E865" s="165">
        <f t="shared" si="21"/>
        <v>-1.9346890159116503E-2</v>
      </c>
    </row>
    <row r="866" spans="1:5">
      <c r="A866" s="189">
        <v>45365</v>
      </c>
      <c r="B866" s="190">
        <v>798.93646200000001</v>
      </c>
      <c r="C866" s="83">
        <v>22623.699218999998</v>
      </c>
      <c r="D866" s="165">
        <f t="shared" si="20"/>
        <v>2.1269771162923057E-2</v>
      </c>
      <c r="E866" s="165">
        <f t="shared" si="21"/>
        <v>1.0031662976025535E-2</v>
      </c>
    </row>
    <row r="867" spans="1:5">
      <c r="A867" s="189">
        <v>45366</v>
      </c>
      <c r="B867" s="190">
        <v>789.72009300000002</v>
      </c>
      <c r="C867" s="83">
        <v>22494.699218999998</v>
      </c>
      <c r="D867" s="165">
        <f t="shared" si="20"/>
        <v>-1.1535797198350961E-2</v>
      </c>
      <c r="E867" s="165">
        <f t="shared" si="21"/>
        <v>-5.7019852832759232E-3</v>
      </c>
    </row>
    <row r="868" spans="1:5">
      <c r="A868" s="189">
        <v>45369</v>
      </c>
      <c r="B868" s="190">
        <v>784.28991699999995</v>
      </c>
      <c r="C868" s="83">
        <v>22541.150390999999</v>
      </c>
      <c r="D868" s="165">
        <f t="shared" si="20"/>
        <v>-6.876076787373897E-3</v>
      </c>
      <c r="E868" s="165">
        <f t="shared" si="21"/>
        <v>2.0649830232344346E-3</v>
      </c>
    </row>
    <row r="869" spans="1:5">
      <c r="A869" s="189">
        <v>45370</v>
      </c>
      <c r="B869" s="190">
        <v>780.85241699999995</v>
      </c>
      <c r="C869" s="83">
        <v>22274.650390999999</v>
      </c>
      <c r="D869" s="165">
        <f t="shared" si="20"/>
        <v>-4.3829455479280632E-3</v>
      </c>
      <c r="E869" s="165">
        <f t="shared" si="21"/>
        <v>-1.1822821611908729E-2</v>
      </c>
    </row>
    <row r="870" spans="1:5">
      <c r="A870" s="189">
        <v>45371</v>
      </c>
      <c r="B870" s="190">
        <v>772.78186000000005</v>
      </c>
      <c r="C870" s="83">
        <v>22307.75</v>
      </c>
      <c r="D870" s="165">
        <f t="shared" si="20"/>
        <v>-1.0335572797490533E-2</v>
      </c>
      <c r="E870" s="165">
        <f t="shared" si="21"/>
        <v>1.4859765885877341E-3</v>
      </c>
    </row>
    <row r="871" spans="1:5">
      <c r="A871" s="189">
        <v>45372</v>
      </c>
      <c r="B871" s="190">
        <v>776.817139</v>
      </c>
      <c r="C871" s="83">
        <v>22538.900390999999</v>
      </c>
      <c r="D871" s="165">
        <f t="shared" si="20"/>
        <v>5.2217568875128073E-3</v>
      </c>
      <c r="E871" s="165">
        <f t="shared" si="21"/>
        <v>1.0361887281326032E-2</v>
      </c>
    </row>
    <row r="872" spans="1:5">
      <c r="A872" s="189">
        <v>45373</v>
      </c>
      <c r="B872" s="190">
        <v>774.77459699999997</v>
      </c>
      <c r="C872" s="83">
        <v>22633.800781000002</v>
      </c>
      <c r="D872" s="165">
        <f t="shared" si="20"/>
        <v>-2.629372985551548E-3</v>
      </c>
      <c r="E872" s="165">
        <f t="shared" si="21"/>
        <v>4.2105155244351877E-3</v>
      </c>
    </row>
    <row r="873" spans="1:5">
      <c r="A873" s="189">
        <v>45377</v>
      </c>
      <c r="B873" s="190">
        <v>762.768372</v>
      </c>
      <c r="C873" s="83">
        <v>22601.349609000001</v>
      </c>
      <c r="D873" s="165">
        <f t="shared" si="20"/>
        <v>-1.5496410241751857E-2</v>
      </c>
      <c r="E873" s="165">
        <f t="shared" si="21"/>
        <v>-1.4337482384859657E-3</v>
      </c>
    </row>
    <row r="874" spans="1:5">
      <c r="A874" s="189">
        <v>45378</v>
      </c>
      <c r="B874" s="190">
        <v>749.26757799999996</v>
      </c>
      <c r="C874" s="83">
        <v>22698.5</v>
      </c>
      <c r="D874" s="165">
        <f t="shared" si="20"/>
        <v>-1.7699729689368948E-2</v>
      </c>
      <c r="E874" s="165">
        <f t="shared" si="21"/>
        <v>4.2984331768096684E-3</v>
      </c>
    </row>
    <row r="875" spans="1:5">
      <c r="A875" s="189">
        <v>45379</v>
      </c>
      <c r="B875" s="190">
        <v>741.69525099999998</v>
      </c>
      <c r="C875" s="83">
        <v>22920.699218999998</v>
      </c>
      <c r="D875" s="165">
        <f t="shared" si="20"/>
        <v>-1.0106305440591212E-2</v>
      </c>
      <c r="E875" s="165">
        <f t="shared" si="21"/>
        <v>9.7891587109280032E-3</v>
      </c>
    </row>
    <row r="876" spans="1:5">
      <c r="A876" s="189">
        <v>45383</v>
      </c>
      <c r="B876" s="190">
        <v>793.60589600000003</v>
      </c>
      <c r="C876" s="83">
        <v>23107.150390999999</v>
      </c>
      <c r="D876" s="165">
        <f t="shared" si="20"/>
        <v>6.9989183468561977E-2</v>
      </c>
      <c r="E876" s="165">
        <f t="shared" si="21"/>
        <v>8.1346197259744013E-3</v>
      </c>
    </row>
    <row r="877" spans="1:5">
      <c r="A877" s="189">
        <v>45384</v>
      </c>
      <c r="B877" s="190">
        <v>803.868469</v>
      </c>
      <c r="C877" s="83">
        <v>23138.550781000002</v>
      </c>
      <c r="D877" s="165">
        <f t="shared" si="20"/>
        <v>1.2931573532563467E-2</v>
      </c>
      <c r="E877" s="165">
        <f t="shared" si="21"/>
        <v>1.3589036064018956E-3</v>
      </c>
    </row>
    <row r="878" spans="1:5">
      <c r="A878" s="189">
        <v>45385</v>
      </c>
      <c r="B878" s="190">
        <v>815.47619599999996</v>
      </c>
      <c r="C878" s="83">
        <v>23136.599609000001</v>
      </c>
      <c r="D878" s="165">
        <f t="shared" si="20"/>
        <v>1.4439833688762338E-2</v>
      </c>
      <c r="E878" s="165">
        <f t="shared" si="21"/>
        <v>-8.4325592318523768E-5</v>
      </c>
    </row>
    <row r="879" spans="1:5">
      <c r="A879" s="189">
        <v>45386</v>
      </c>
      <c r="B879" s="190">
        <v>818.76415999999995</v>
      </c>
      <c r="C879" s="83">
        <v>23206</v>
      </c>
      <c r="D879" s="165">
        <f t="shared" si="20"/>
        <v>4.0319558267032374E-3</v>
      </c>
      <c r="E879" s="165">
        <f t="shared" si="21"/>
        <v>2.999593379011678E-3</v>
      </c>
    </row>
    <row r="880" spans="1:5">
      <c r="A880" s="189">
        <v>45387</v>
      </c>
      <c r="B880" s="190">
        <v>821.35467500000004</v>
      </c>
      <c r="C880" s="83">
        <v>23240.550781000002</v>
      </c>
      <c r="D880" s="165">
        <f t="shared" si="20"/>
        <v>3.1639330671240362E-3</v>
      </c>
      <c r="E880" s="165">
        <f t="shared" si="21"/>
        <v>1.488872748427239E-3</v>
      </c>
    </row>
    <row r="881" spans="1:5">
      <c r="A881" s="189">
        <v>45390</v>
      </c>
      <c r="B881" s="190">
        <v>813.68273899999997</v>
      </c>
      <c r="C881" s="83">
        <v>23380.300781000002</v>
      </c>
      <c r="D881" s="165">
        <f t="shared" si="20"/>
        <v>-9.3405884613734225E-3</v>
      </c>
      <c r="E881" s="165">
        <f t="shared" si="21"/>
        <v>6.013196559620626E-3</v>
      </c>
    </row>
    <row r="882" spans="1:5">
      <c r="A882" s="189">
        <v>45391</v>
      </c>
      <c r="B882" s="190">
        <v>818.61468500000001</v>
      </c>
      <c r="C882" s="83">
        <v>23348.900390999999</v>
      </c>
      <c r="D882" s="165">
        <f t="shared" si="20"/>
        <v>6.0612641311050819E-3</v>
      </c>
      <c r="E882" s="165">
        <f t="shared" si="21"/>
        <v>-1.3430276322843326E-3</v>
      </c>
    </row>
    <row r="883" spans="1:5">
      <c r="A883" s="189">
        <v>45392</v>
      </c>
      <c r="B883" s="190">
        <v>815.87469499999997</v>
      </c>
      <c r="C883" s="83">
        <v>23474.699218999998</v>
      </c>
      <c r="D883" s="165">
        <f t="shared" si="20"/>
        <v>-3.3471058487059002E-3</v>
      </c>
      <c r="E883" s="165">
        <f t="shared" si="21"/>
        <v>5.3877838310745219E-3</v>
      </c>
    </row>
    <row r="884" spans="1:5">
      <c r="A884" s="189">
        <v>45394</v>
      </c>
      <c r="B884" s="190">
        <v>818.96343999999999</v>
      </c>
      <c r="C884" s="83">
        <v>23254.900390999999</v>
      </c>
      <c r="D884" s="165">
        <f t="shared" si="20"/>
        <v>3.7858080645583048E-3</v>
      </c>
      <c r="E884" s="165">
        <f t="shared" si="21"/>
        <v>-9.3632223335197162E-3</v>
      </c>
    </row>
    <row r="885" spans="1:5">
      <c r="A885" s="189">
        <v>45397</v>
      </c>
      <c r="B885" s="190">
        <v>798.13934300000005</v>
      </c>
      <c r="C885" s="83">
        <v>22967.099609000001</v>
      </c>
      <c r="D885" s="165">
        <f t="shared" si="20"/>
        <v>-2.5427382936654586E-2</v>
      </c>
      <c r="E885" s="165">
        <f t="shared" si="21"/>
        <v>-1.2375919791571377E-2</v>
      </c>
    </row>
    <row r="886" spans="1:5">
      <c r="A886" s="189">
        <v>45398</v>
      </c>
      <c r="B886" s="190">
        <v>810.09576400000003</v>
      </c>
      <c r="C886" s="83">
        <v>22870.300781000002</v>
      </c>
      <c r="D886" s="165">
        <f t="shared" si="20"/>
        <v>1.4980367908013159E-2</v>
      </c>
      <c r="E886" s="165">
        <f t="shared" si="21"/>
        <v>-4.2146735829919901E-3</v>
      </c>
    </row>
    <row r="887" spans="1:5">
      <c r="A887" s="189">
        <v>45400</v>
      </c>
      <c r="B887" s="190">
        <v>805.96087599999998</v>
      </c>
      <c r="C887" s="83">
        <v>22740.199218999998</v>
      </c>
      <c r="D887" s="165">
        <f t="shared" si="20"/>
        <v>-5.1041965453358928E-3</v>
      </c>
      <c r="E887" s="165">
        <f t="shared" si="21"/>
        <v>-5.6886686032606715E-3</v>
      </c>
    </row>
    <row r="888" spans="1:5">
      <c r="A888" s="189">
        <v>45401</v>
      </c>
      <c r="B888" s="190">
        <v>809.39831500000003</v>
      </c>
      <c r="C888" s="83">
        <v>22859.800781000002</v>
      </c>
      <c r="D888" s="165">
        <f t="shared" si="20"/>
        <v>4.2650196831639509E-3</v>
      </c>
      <c r="E888" s="165">
        <f t="shared" si="21"/>
        <v>5.2594773180383303E-3</v>
      </c>
    </row>
    <row r="889" spans="1:5">
      <c r="A889" s="189">
        <v>45404</v>
      </c>
      <c r="B889" s="190">
        <v>806.40917999999999</v>
      </c>
      <c r="C889" s="83">
        <v>23078.900390999999</v>
      </c>
      <c r="D889" s="165">
        <f t="shared" si="20"/>
        <v>-3.6930333861642239E-3</v>
      </c>
      <c r="E889" s="165">
        <f t="shared" si="21"/>
        <v>9.5844934126505521E-3</v>
      </c>
    </row>
    <row r="890" spans="1:5">
      <c r="A890" s="189">
        <v>45405</v>
      </c>
      <c r="B890" s="190">
        <v>808.20269800000005</v>
      </c>
      <c r="C890" s="83">
        <v>23116</v>
      </c>
      <c r="D890" s="165">
        <f t="shared" si="20"/>
        <v>2.2240793439380901E-3</v>
      </c>
      <c r="E890" s="165">
        <f t="shared" si="21"/>
        <v>1.6075119859033649E-3</v>
      </c>
    </row>
    <row r="891" spans="1:5">
      <c r="A891" s="189">
        <v>45406</v>
      </c>
      <c r="B891" s="190">
        <v>816.07397500000002</v>
      </c>
      <c r="C891" s="83">
        <v>23167.800781000002</v>
      </c>
      <c r="D891" s="165">
        <f t="shared" si="20"/>
        <v>9.7392362330370741E-3</v>
      </c>
      <c r="E891" s="165">
        <f t="shared" si="21"/>
        <v>2.2409059093269068E-3</v>
      </c>
    </row>
    <row r="892" spans="1:5">
      <c r="A892" s="189">
        <v>45407</v>
      </c>
      <c r="B892" s="190">
        <v>816.87103300000001</v>
      </c>
      <c r="C892" s="83">
        <v>23329.800781000002</v>
      </c>
      <c r="D892" s="165">
        <f t="shared" si="20"/>
        <v>9.7669822150625585E-4</v>
      </c>
      <c r="E892" s="165">
        <f t="shared" si="21"/>
        <v>6.9924634423159659E-3</v>
      </c>
    </row>
    <row r="893" spans="1:5">
      <c r="A893" s="189">
        <v>45408</v>
      </c>
      <c r="B893" s="190">
        <v>814.47979699999996</v>
      </c>
      <c r="C893" s="83">
        <v>23232.099609000001</v>
      </c>
      <c r="D893" s="165">
        <f t="shared" si="20"/>
        <v>-2.92731153805037E-3</v>
      </c>
      <c r="E893" s="165">
        <f t="shared" si="21"/>
        <v>-4.187827102217212E-3</v>
      </c>
    </row>
    <row r="894" spans="1:5">
      <c r="A894" s="189">
        <v>45411</v>
      </c>
      <c r="B894" s="190">
        <v>811.34124799999995</v>
      </c>
      <c r="C894" s="83">
        <v>23443.800781000002</v>
      </c>
      <c r="D894" s="165">
        <f t="shared" si="20"/>
        <v>-3.8534399644537531E-3</v>
      </c>
      <c r="E894" s="165">
        <f t="shared" si="21"/>
        <v>9.1124425068318526E-3</v>
      </c>
    </row>
    <row r="895" spans="1:5">
      <c r="A895" s="189">
        <v>45412</v>
      </c>
      <c r="B895" s="190">
        <v>811.540527</v>
      </c>
      <c r="C895" s="83">
        <v>23436.5</v>
      </c>
      <c r="D895" s="165">
        <f t="shared" si="20"/>
        <v>2.4561674941492306E-4</v>
      </c>
      <c r="E895" s="165">
        <f t="shared" si="21"/>
        <v>-3.1141627026276542E-4</v>
      </c>
    </row>
    <row r="896" spans="1:5">
      <c r="A896" s="189">
        <v>45414</v>
      </c>
      <c r="B896" s="190">
        <v>808.20269800000005</v>
      </c>
      <c r="C896" s="83">
        <v>23541.300781000002</v>
      </c>
      <c r="D896" s="165">
        <f t="shared" si="20"/>
        <v>-4.1129541765939637E-3</v>
      </c>
      <c r="E896" s="165">
        <f t="shared" si="21"/>
        <v>4.4716907814734697E-3</v>
      </c>
    </row>
    <row r="897" spans="1:5">
      <c r="A897" s="189">
        <v>45415</v>
      </c>
      <c r="B897" s="190">
        <v>804.71545400000002</v>
      </c>
      <c r="C897" s="83">
        <v>23382.75</v>
      </c>
      <c r="D897" s="165">
        <f t="shared" si="20"/>
        <v>-4.314813608800927E-3</v>
      </c>
      <c r="E897" s="165">
        <f t="shared" si="21"/>
        <v>-6.7350051076178197E-3</v>
      </c>
    </row>
    <row r="898" spans="1:5">
      <c r="A898" s="189">
        <v>45418</v>
      </c>
      <c r="B898" s="190">
        <v>802.77252199999998</v>
      </c>
      <c r="C898" s="83">
        <v>23297.75</v>
      </c>
      <c r="D898" s="165">
        <f t="shared" si="20"/>
        <v>-2.4144335620029933E-3</v>
      </c>
      <c r="E898" s="165">
        <f t="shared" si="21"/>
        <v>-3.6351583966812706E-3</v>
      </c>
    </row>
    <row r="899" spans="1:5">
      <c r="A899" s="189">
        <v>45419</v>
      </c>
      <c r="B899" s="190">
        <v>818.96343999999999</v>
      </c>
      <c r="C899" s="83">
        <v>23103.75</v>
      </c>
      <c r="D899" s="165">
        <f t="shared" si="20"/>
        <v>2.0168749622449189E-2</v>
      </c>
      <c r="E899" s="165">
        <f t="shared" si="21"/>
        <v>-8.3269843654429909E-3</v>
      </c>
    </row>
    <row r="900" spans="1:5">
      <c r="A900" s="189">
        <v>45420</v>
      </c>
      <c r="B900" s="190">
        <v>819.06304899999998</v>
      </c>
      <c r="C900" s="83">
        <v>23166</v>
      </c>
      <c r="D900" s="165">
        <f t="shared" si="20"/>
        <v>1.2162814007909972E-4</v>
      </c>
      <c r="E900" s="165">
        <f t="shared" si="21"/>
        <v>2.6943677974353708E-3</v>
      </c>
    </row>
    <row r="901" spans="1:5">
      <c r="A901" s="189">
        <v>45421</v>
      </c>
      <c r="B901" s="190">
        <v>807.305969</v>
      </c>
      <c r="C901" s="83">
        <v>22790.199218999998</v>
      </c>
      <c r="D901" s="165">
        <f t="shared" si="20"/>
        <v>-1.4354303999373763E-2</v>
      </c>
      <c r="E901" s="165">
        <f t="shared" si="21"/>
        <v>-1.6222083268583321E-2</v>
      </c>
    </row>
    <row r="902" spans="1:5">
      <c r="A902" s="189">
        <v>45422</v>
      </c>
      <c r="B902" s="190">
        <v>804.96453899999995</v>
      </c>
      <c r="C902" s="83">
        <v>22909.099609000001</v>
      </c>
      <c r="D902" s="165">
        <f t="shared" si="20"/>
        <v>-2.9003006170019718E-3</v>
      </c>
      <c r="E902" s="165">
        <f t="shared" si="21"/>
        <v>5.2171720333571425E-3</v>
      </c>
    </row>
    <row r="903" spans="1:5">
      <c r="A903" s="189">
        <v>45425</v>
      </c>
      <c r="B903" s="190">
        <v>820.00964399999998</v>
      </c>
      <c r="C903" s="83">
        <v>22956.349609000001</v>
      </c>
      <c r="D903" s="165">
        <f t="shared" si="20"/>
        <v>1.869039475787404E-2</v>
      </c>
      <c r="E903" s="165">
        <f t="shared" si="21"/>
        <v>2.0624992167495027E-3</v>
      </c>
    </row>
    <row r="904" spans="1:5">
      <c r="A904" s="189">
        <v>45426</v>
      </c>
      <c r="B904" s="190">
        <v>811.29144299999996</v>
      </c>
      <c r="C904" s="83">
        <v>23118.199218999998</v>
      </c>
      <c r="D904" s="165">
        <f t="shared" si="20"/>
        <v>-1.063182739836166E-2</v>
      </c>
      <c r="E904" s="165">
        <f t="shared" si="21"/>
        <v>7.0503199662259597E-3</v>
      </c>
    </row>
    <row r="905" spans="1:5">
      <c r="A905" s="189">
        <v>45427</v>
      </c>
      <c r="B905" s="190">
        <v>806.85760500000004</v>
      </c>
      <c r="C905" s="83">
        <v>23133.849609000001</v>
      </c>
      <c r="D905" s="165">
        <f t="shared" si="20"/>
        <v>-5.4651605637604517E-3</v>
      </c>
      <c r="E905" s="165">
        <f t="shared" si="21"/>
        <v>6.7697271105537915E-4</v>
      </c>
    </row>
    <row r="906" spans="1:5">
      <c r="A906" s="189">
        <v>45428</v>
      </c>
      <c r="B906" s="190">
        <v>812.18817100000001</v>
      </c>
      <c r="C906" s="83">
        <v>23343.550781000002</v>
      </c>
      <c r="D906" s="165">
        <f t="shared" si="20"/>
        <v>6.6065758901783234E-3</v>
      </c>
      <c r="E906" s="165">
        <f t="shared" si="21"/>
        <v>9.0646898611470572E-3</v>
      </c>
    </row>
    <row r="907" spans="1:5">
      <c r="A907" s="189">
        <v>45429</v>
      </c>
      <c r="B907" s="190">
        <v>816.52233899999999</v>
      </c>
      <c r="C907" s="83">
        <v>23444.300781000002</v>
      </c>
      <c r="D907" s="165">
        <f t="shared" si="20"/>
        <v>5.3364086732063942E-3</v>
      </c>
      <c r="E907" s="165">
        <f t="shared" si="21"/>
        <v>4.3159672213193279E-3</v>
      </c>
    </row>
    <row r="908" spans="1:5">
      <c r="A908" s="189">
        <v>45433</v>
      </c>
      <c r="B908" s="190">
        <v>807.55505400000004</v>
      </c>
      <c r="C908" s="83">
        <v>23569.900390999999</v>
      </c>
      <c r="D908" s="165">
        <f t="shared" si="20"/>
        <v>-1.0982289855023697E-2</v>
      </c>
      <c r="E908" s="165">
        <f t="shared" si="21"/>
        <v>5.357362165468782E-3</v>
      </c>
    </row>
    <row r="909" spans="1:5">
      <c r="A909" s="189">
        <v>45434</v>
      </c>
      <c r="B909" s="190">
        <v>813.981628</v>
      </c>
      <c r="C909" s="83">
        <v>23633.900390999999</v>
      </c>
      <c r="D909" s="165">
        <f t="shared" si="20"/>
        <v>7.9580630053242007E-3</v>
      </c>
      <c r="E909" s="165">
        <f t="shared" si="21"/>
        <v>2.7153275549878231E-3</v>
      </c>
    </row>
    <row r="910" spans="1:5">
      <c r="A910" s="189">
        <v>45435</v>
      </c>
      <c r="B910" s="190">
        <v>812.53686500000003</v>
      </c>
      <c r="C910" s="83">
        <v>23982.349609000001</v>
      </c>
      <c r="D910" s="165">
        <f t="shared" si="20"/>
        <v>-1.7749331806785618E-3</v>
      </c>
      <c r="E910" s="165">
        <f t="shared" si="21"/>
        <v>1.4743618794834878E-2</v>
      </c>
    </row>
    <row r="911" spans="1:5">
      <c r="A911" s="189">
        <v>45436</v>
      </c>
      <c r="B911" s="190">
        <v>806.25976600000001</v>
      </c>
      <c r="C911" s="83">
        <v>23980.099609000001</v>
      </c>
      <c r="D911" s="165">
        <f t="shared" si="20"/>
        <v>-7.725309792559365E-3</v>
      </c>
      <c r="E911" s="165">
        <f t="shared" si="21"/>
        <v>-9.3818997582983954E-5</v>
      </c>
    </row>
    <row r="912" spans="1:5">
      <c r="A912" s="189">
        <v>45439</v>
      </c>
      <c r="B912" s="190">
        <v>799.73358199999996</v>
      </c>
      <c r="C912" s="83">
        <v>23959.849609000001</v>
      </c>
      <c r="D912" s="165">
        <f t="shared" si="20"/>
        <v>-8.0943937366211305E-3</v>
      </c>
      <c r="E912" s="165">
        <f t="shared" si="21"/>
        <v>-8.4445020371803903E-4</v>
      </c>
    </row>
    <row r="913" spans="1:5">
      <c r="A913" s="189">
        <v>45440</v>
      </c>
      <c r="B913" s="190">
        <v>799.13574200000005</v>
      </c>
      <c r="C913" s="83">
        <v>23873.900390999999</v>
      </c>
      <c r="D913" s="165">
        <f t="shared" si="20"/>
        <v>-7.4754895062023596E-4</v>
      </c>
      <c r="E913" s="165">
        <f t="shared" si="21"/>
        <v>-3.5872185928794709E-3</v>
      </c>
    </row>
    <row r="914" spans="1:5">
      <c r="A914" s="189">
        <v>45441</v>
      </c>
      <c r="B914" s="190">
        <v>799.33502199999998</v>
      </c>
      <c r="C914" s="83">
        <v>23687.699218999998</v>
      </c>
      <c r="D914" s="165">
        <f t="shared" si="20"/>
        <v>2.4936939937281188E-4</v>
      </c>
      <c r="E914" s="165">
        <f t="shared" si="21"/>
        <v>-7.7993611831519427E-3</v>
      </c>
    </row>
    <row r="915" spans="1:5">
      <c r="A915" s="189">
        <v>45442</v>
      </c>
      <c r="B915" s="190">
        <v>787.67755099999999</v>
      </c>
      <c r="C915" s="83">
        <v>23466.300781000002</v>
      </c>
      <c r="D915" s="165">
        <f t="shared" si="20"/>
        <v>-1.4583961266743994E-2</v>
      </c>
      <c r="E915" s="165">
        <f t="shared" si="21"/>
        <v>-9.3465572976547673E-3</v>
      </c>
    </row>
    <row r="916" spans="1:5">
      <c r="A916" s="189">
        <v>45443</v>
      </c>
      <c r="B916" s="190">
        <v>785.63500999999997</v>
      </c>
      <c r="C916" s="83">
        <v>23518.050781000002</v>
      </c>
      <c r="D916" s="165">
        <f t="shared" si="20"/>
        <v>-2.5931182085955351E-3</v>
      </c>
      <c r="E916" s="165">
        <f t="shared" si="21"/>
        <v>2.2052900660807229E-3</v>
      </c>
    </row>
    <row r="917" spans="1:5">
      <c r="A917" s="189">
        <v>45446</v>
      </c>
      <c r="B917" s="190">
        <v>782.09789999999998</v>
      </c>
      <c r="C917" s="83">
        <v>24344.199218999998</v>
      </c>
      <c r="D917" s="165">
        <f t="shared" si="20"/>
        <v>-4.5022306223343467E-3</v>
      </c>
      <c r="E917" s="165">
        <f t="shared" si="21"/>
        <v>3.5128270012386942E-2</v>
      </c>
    </row>
    <row r="918" spans="1:5">
      <c r="A918" s="189">
        <v>45447</v>
      </c>
      <c r="B918" s="190">
        <v>762.36987299999998</v>
      </c>
      <c r="C918" s="83">
        <v>22739.599609000001</v>
      </c>
      <c r="D918" s="165">
        <f t="shared" ref="D918:D926" si="22">B918/B917-1</f>
        <v>-2.5224498109507776E-2</v>
      </c>
      <c r="E918" s="165">
        <f t="shared" ref="E918:E926" si="23">C918/C917-1</f>
        <v>-6.591301671355243E-2</v>
      </c>
    </row>
    <row r="919" spans="1:5">
      <c r="A919" s="189">
        <v>45448</v>
      </c>
      <c r="B919" s="190">
        <v>784.73821999999996</v>
      </c>
      <c r="C919" s="83">
        <v>23550.75</v>
      </c>
      <c r="D919" s="165">
        <f t="shared" si="22"/>
        <v>2.9340544258364076E-2</v>
      </c>
      <c r="E919" s="165">
        <f t="shared" si="23"/>
        <v>3.5671269720991772E-2</v>
      </c>
    </row>
    <row r="920" spans="1:5">
      <c r="A920" s="189">
        <v>45449</v>
      </c>
      <c r="B920" s="190">
        <v>817.56854199999998</v>
      </c>
      <c r="C920" s="83">
        <v>23806.949218999998</v>
      </c>
      <c r="D920" s="165">
        <f t="shared" si="22"/>
        <v>4.1836017621264876E-2</v>
      </c>
      <c r="E920" s="165">
        <f t="shared" si="23"/>
        <v>1.0878601275967847E-2</v>
      </c>
    </row>
    <row r="921" spans="1:5">
      <c r="A921" s="189">
        <v>45450</v>
      </c>
      <c r="B921" s="190">
        <v>838.49218800000006</v>
      </c>
      <c r="C921" s="83">
        <v>24266.050781000002</v>
      </c>
      <c r="D921" s="165">
        <f t="shared" si="22"/>
        <v>2.5592528240892198E-2</v>
      </c>
      <c r="E921" s="165">
        <f t="shared" si="23"/>
        <v>1.9284350874894995E-2</v>
      </c>
    </row>
    <row r="922" spans="1:5">
      <c r="A922" s="189">
        <v>45453</v>
      </c>
      <c r="B922" s="190">
        <v>905.09936500000003</v>
      </c>
      <c r="C922" s="83">
        <v>24271.150390999999</v>
      </c>
      <c r="D922" s="165">
        <f t="shared" si="22"/>
        <v>7.9436848611402988E-2</v>
      </c>
      <c r="E922" s="165">
        <f t="shared" si="23"/>
        <v>2.1015409742686231E-4</v>
      </c>
    </row>
    <row r="923" spans="1:5">
      <c r="A923" s="189">
        <v>45454</v>
      </c>
      <c r="B923" s="190">
        <v>890.15386999999998</v>
      </c>
      <c r="C923" s="83">
        <v>24271.050781000002</v>
      </c>
      <c r="D923" s="165">
        <f t="shared" si="22"/>
        <v>-1.6512546111442705E-2</v>
      </c>
      <c r="E923" s="165">
        <f t="shared" si="23"/>
        <v>-4.1040493916622012E-6</v>
      </c>
    </row>
    <row r="924" spans="1:5">
      <c r="A924" s="189">
        <v>45455</v>
      </c>
      <c r="B924" s="190">
        <v>886.91564900000003</v>
      </c>
      <c r="C924" s="83">
        <v>24348.800781000002</v>
      </c>
      <c r="D924" s="165">
        <f t="shared" si="22"/>
        <v>-3.6378216274001174E-3</v>
      </c>
      <c r="E924" s="165">
        <f t="shared" si="23"/>
        <v>3.2034047763958018E-3</v>
      </c>
    </row>
    <row r="925" spans="1:5">
      <c r="A925" s="189">
        <v>45456</v>
      </c>
      <c r="B925" s="190">
        <v>891.20001200000002</v>
      </c>
      <c r="C925" s="83">
        <v>24449.5</v>
      </c>
      <c r="D925" s="165">
        <f t="shared" si="22"/>
        <v>4.8306318699311568E-3</v>
      </c>
      <c r="E925" s="165">
        <f t="shared" si="23"/>
        <v>4.1356952198885466E-3</v>
      </c>
    </row>
    <row r="926" spans="1:5">
      <c r="A926" s="189">
        <v>45457</v>
      </c>
      <c r="B926" s="190">
        <v>882</v>
      </c>
      <c r="C926" s="83">
        <v>24571.650390999999</v>
      </c>
      <c r="D926" s="165">
        <f t="shared" si="22"/>
        <v>-1.0323173110549755E-2</v>
      </c>
      <c r="E926" s="165">
        <f t="shared" si="23"/>
        <v>4.9960281805354612E-3</v>
      </c>
    </row>
  </sheetData>
  <mergeCells count="3">
    <mergeCell ref="G7:H7"/>
    <mergeCell ref="J10:L10"/>
    <mergeCell ref="J15:K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3DF-4F95-4ECD-9A50-3E881294BED8}">
  <dimension ref="B2:DP43"/>
  <sheetViews>
    <sheetView showGridLines="0" zoomScale="90" zoomScaleNormal="90" workbookViewId="0">
      <selection activeCell="S16" sqref="S16"/>
    </sheetView>
  </sheetViews>
  <sheetFormatPr defaultRowHeight="14.3"/>
  <cols>
    <col min="1" max="1" width="8.125" customWidth="1"/>
    <col min="2" max="2" width="32.875" bestFit="1" customWidth="1"/>
    <col min="3" max="3" width="14.125" bestFit="1" customWidth="1"/>
    <col min="4" max="4" width="14.25" bestFit="1" customWidth="1"/>
    <col min="5" max="6" width="11.5" customWidth="1"/>
    <col min="7" max="7" width="17.625" customWidth="1"/>
    <col min="8" max="16" width="12.5" customWidth="1"/>
    <col min="17" max="17" width="15.375" bestFit="1" customWidth="1"/>
    <col min="18" max="18" width="12.5" customWidth="1"/>
    <col min="19" max="19" width="15.375" bestFit="1" customWidth="1"/>
    <col min="20" max="26" width="12.5" customWidth="1"/>
    <col min="27" max="27" width="19.75" bestFit="1" customWidth="1"/>
    <col min="46" max="50" width="5" bestFit="1" customWidth="1"/>
  </cols>
  <sheetData>
    <row r="2" spans="2:120">
      <c r="B2" s="210" t="s">
        <v>205</v>
      </c>
      <c r="C2" s="211">
        <v>2025</v>
      </c>
      <c r="D2" s="211">
        <v>2026</v>
      </c>
      <c r="E2" s="211">
        <v>2027</v>
      </c>
      <c r="F2" s="211">
        <v>2028</v>
      </c>
      <c r="G2" s="211">
        <v>2029</v>
      </c>
      <c r="H2" s="211">
        <v>2030</v>
      </c>
      <c r="I2" s="211">
        <v>2031</v>
      </c>
      <c r="J2" s="211">
        <v>2032</v>
      </c>
      <c r="K2" s="211">
        <v>2033</v>
      </c>
      <c r="L2" s="211">
        <v>2034</v>
      </c>
      <c r="M2" s="211">
        <v>2035</v>
      </c>
      <c r="N2" s="211">
        <v>2036</v>
      </c>
      <c r="O2" s="211">
        <v>2037</v>
      </c>
      <c r="P2" s="211">
        <v>2038</v>
      </c>
      <c r="Q2" s="211">
        <v>2039</v>
      </c>
    </row>
    <row r="3" spans="2:120">
      <c r="B3" s="212" t="s">
        <v>206</v>
      </c>
      <c r="C3" s="213">
        <f>'Profit &amp; Loss Statement'!J18+'Profit &amp; Loss Statement'!J12</f>
        <v>41249.865501611712</v>
      </c>
      <c r="D3" s="213">
        <f>'Profit &amp; Loss Statement'!K18+'Profit &amp; Loss Statement'!K12</f>
        <v>55905.599206459912</v>
      </c>
      <c r="E3" s="213">
        <f>'Profit &amp; Loss Statement'!L18+'Profit &amp; Loss Statement'!L12</f>
        <v>70750.381518284325</v>
      </c>
      <c r="F3" s="213">
        <f>'Profit &amp; Loss Statement'!M18+'Profit &amp; Loss Statement'!M12</f>
        <v>92300.835838394021</v>
      </c>
      <c r="G3" s="213">
        <f>'Profit &amp; Loss Statement'!N18+'Profit &amp; Loss Statement'!N12</f>
        <v>119075.5653776393</v>
      </c>
      <c r="H3" s="213"/>
    </row>
    <row r="4" spans="2:120">
      <c r="B4" s="212"/>
      <c r="C4" s="213"/>
      <c r="D4" s="213"/>
      <c r="E4" s="213"/>
      <c r="F4" s="213"/>
      <c r="G4" s="213"/>
    </row>
    <row r="5" spans="2:120">
      <c r="B5" s="214" t="s">
        <v>207</v>
      </c>
      <c r="C5" s="215">
        <f>C3*(1-$C$16)</f>
        <v>30867.274354856043</v>
      </c>
      <c r="D5" s="215">
        <f t="shared" ref="D5:G5" si="0">D3*(1-$C$16)</f>
        <v>41834.159886193949</v>
      </c>
      <c r="E5" s="215">
        <f t="shared" si="0"/>
        <v>52942.510490132161</v>
      </c>
      <c r="F5" s="215">
        <f t="shared" si="0"/>
        <v>69068.715457870247</v>
      </c>
      <c r="G5" s="215">
        <f t="shared" si="0"/>
        <v>89104.245572087486</v>
      </c>
      <c r="H5" s="216"/>
      <c r="I5" s="216"/>
      <c r="J5" s="216"/>
      <c r="K5" s="216"/>
      <c r="L5" s="216"/>
      <c r="M5" s="216"/>
      <c r="N5" s="216"/>
      <c r="O5" s="216"/>
      <c r="P5" s="216"/>
      <c r="Q5" s="216"/>
    </row>
    <row r="6" spans="2:120">
      <c r="B6" s="212" t="s">
        <v>166</v>
      </c>
      <c r="C6" s="213">
        <f>'Profit &amp; Loss Statement'!J11</f>
        <v>6419.1049734354983</v>
      </c>
      <c r="D6" s="213">
        <f>'Profit &amp; Loss Statement'!K11</f>
        <v>7697.2464628075249</v>
      </c>
      <c r="E6" s="213">
        <f>'Profit &amp; Loss Statement'!L11</f>
        <v>9109.1413861320398</v>
      </c>
      <c r="F6" s="213">
        <f>'Profit &amp; Loss Statement'!M11</f>
        <v>11003.808847167211</v>
      </c>
      <c r="G6" s="213">
        <f>'Profit &amp; Loss Statement'!N11</f>
        <v>13106.843483438101</v>
      </c>
    </row>
    <row r="7" spans="2:120">
      <c r="B7" s="212" t="s">
        <v>167</v>
      </c>
      <c r="C7" s="213">
        <f>-Schedules_Populated!J22</f>
        <v>4973.2445165954268</v>
      </c>
      <c r="D7" s="213">
        <f>-Schedules_Populated!K22</f>
        <v>-28783.938889491968</v>
      </c>
      <c r="E7" s="213">
        <f>-Schedules_Populated!L22</f>
        <v>-27707.136042407627</v>
      </c>
      <c r="F7" s="213">
        <f>-Schedules_Populated!M22</f>
        <v>-43060.569160788524</v>
      </c>
      <c r="G7" s="213">
        <f>-Schedules_Populated!N22</f>
        <v>-41756.35510173309</v>
      </c>
    </row>
    <row r="8" spans="2:120">
      <c r="B8" s="212" t="s">
        <v>208</v>
      </c>
      <c r="C8" s="213">
        <f>-Schedules_Populated!J106</f>
        <v>-8743.5</v>
      </c>
      <c r="D8" s="213">
        <f>-Schedules_Populated!K106</f>
        <v>-9628.6574601532466</v>
      </c>
      <c r="E8" s="213">
        <f>-Schedules_Populated!L106</f>
        <v>-11545.869694211287</v>
      </c>
      <c r="F8" s="213">
        <f>-Schedules_Populated!M106</f>
        <v>-13663.71207919806</v>
      </c>
      <c r="G8" s="213">
        <f>-Schedules_Populated!N106</f>
        <v>-16505.713270750817</v>
      </c>
    </row>
    <row r="9" spans="2:120">
      <c r="B9" s="217" t="s">
        <v>209</v>
      </c>
      <c r="C9" s="218">
        <f>SUM(C5:C8)</f>
        <v>33516.12384488697</v>
      </c>
      <c r="D9" s="218">
        <f t="shared" ref="D9:G9" si="1">SUM(D5:D8)</f>
        <v>11118.809999356259</v>
      </c>
      <c r="E9" s="218">
        <f t="shared" si="1"/>
        <v>22798.646139645287</v>
      </c>
      <c r="F9" s="218">
        <f t="shared" si="1"/>
        <v>23348.243065050872</v>
      </c>
      <c r="G9" s="218">
        <f t="shared" si="1"/>
        <v>43949.020683041686</v>
      </c>
      <c r="H9" s="219">
        <f>G9*(1+H10)</f>
        <v>58107.590243423329</v>
      </c>
      <c r="I9" s="219">
        <f t="shared" ref="I9:Q9" si="2">H9*(1+I10)</f>
        <v>75275.996790814199</v>
      </c>
      <c r="J9" s="219">
        <f t="shared" si="2"/>
        <v>95507.093284448769</v>
      </c>
      <c r="K9" s="219">
        <f t="shared" si="2"/>
        <v>118625.438271761</v>
      </c>
      <c r="L9" s="219">
        <f t="shared" si="2"/>
        <v>144172.4859516588</v>
      </c>
      <c r="M9" s="219">
        <f t="shared" si="2"/>
        <v>171371.91315765481</v>
      </c>
      <c r="N9" s="219">
        <f t="shared" si="2"/>
        <v>199127.12516674824</v>
      </c>
      <c r="O9" s="219">
        <f t="shared" si="2"/>
        <v>226060.84742496055</v>
      </c>
      <c r="P9" s="219">
        <f t="shared" si="2"/>
        <v>250601.77156110082</v>
      </c>
      <c r="Q9" s="219">
        <f t="shared" si="2"/>
        <v>271115.76490810531</v>
      </c>
    </row>
    <row r="10" spans="2:120">
      <c r="B10" s="217" t="s">
        <v>210</v>
      </c>
      <c r="C10" s="220"/>
      <c r="D10" s="220">
        <f>D9/C9-1</f>
        <v>-0.66825489573871222</v>
      </c>
      <c r="E10" s="220">
        <f t="shared" ref="E10:G10" si="3">E9/D9-1</f>
        <v>1.0504573907608141</v>
      </c>
      <c r="F10" s="221">
        <f t="shared" si="3"/>
        <v>2.4106559750926237E-2</v>
      </c>
      <c r="G10" s="220">
        <f t="shared" si="3"/>
        <v>0.88232667274341359</v>
      </c>
      <c r="H10" s="222">
        <f>AVERAGE(D10:G10)</f>
        <v>0.32215893187911043</v>
      </c>
      <c r="I10" s="222">
        <f>H10-$I$11</f>
        <v>0.29545893187911043</v>
      </c>
      <c r="J10" s="222">
        <f t="shared" ref="J10:Q10" si="4">I10-$I$11</f>
        <v>0.26875893187911043</v>
      </c>
      <c r="K10" s="222">
        <f t="shared" si="4"/>
        <v>0.24205893187911043</v>
      </c>
      <c r="L10" s="222">
        <f t="shared" si="4"/>
        <v>0.21535893187911043</v>
      </c>
      <c r="M10" s="222">
        <f t="shared" si="4"/>
        <v>0.18865893187911043</v>
      </c>
      <c r="N10" s="222">
        <f t="shared" si="4"/>
        <v>0.16195893187911042</v>
      </c>
      <c r="O10" s="222">
        <f t="shared" si="4"/>
        <v>0.13525893187911042</v>
      </c>
      <c r="P10" s="222">
        <f t="shared" si="4"/>
        <v>0.10855893187911042</v>
      </c>
      <c r="Q10" s="222">
        <f t="shared" si="4"/>
        <v>8.1858931879110419E-2</v>
      </c>
      <c r="R10" s="371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4"/>
      <c r="BI10" s="164"/>
      <c r="BJ10" s="164"/>
      <c r="BK10" s="164"/>
      <c r="BL10" s="164"/>
      <c r="BM10" s="164"/>
      <c r="BN10" s="164"/>
      <c r="BO10" s="164"/>
      <c r="BP10" s="164"/>
      <c r="BQ10" s="164"/>
      <c r="BR10" s="164"/>
      <c r="BS10" s="164"/>
      <c r="BT10" s="164"/>
      <c r="BU10" s="164"/>
      <c r="BV10" s="164"/>
      <c r="BW10" s="164"/>
      <c r="BX10" s="164"/>
      <c r="BY10" s="164"/>
      <c r="BZ10" s="164"/>
      <c r="CA10" s="164"/>
      <c r="CB10" s="164"/>
      <c r="CC10" s="164"/>
      <c r="CD10" s="164"/>
      <c r="CE10" s="164"/>
      <c r="CF10" s="164"/>
      <c r="CG10" s="164"/>
      <c r="CH10" s="164"/>
      <c r="CI10" s="164"/>
      <c r="CJ10" s="164"/>
      <c r="CK10" s="164"/>
      <c r="CL10" s="164"/>
      <c r="CM10" s="164"/>
      <c r="CN10" s="164"/>
      <c r="CO10" s="164"/>
      <c r="CP10" s="164"/>
      <c r="CQ10" s="164"/>
      <c r="CR10" s="164"/>
      <c r="CS10" s="164"/>
      <c r="CT10" s="164"/>
      <c r="CU10" s="164"/>
      <c r="CV10" s="164"/>
      <c r="CW10" s="164"/>
      <c r="CX10" s="164"/>
      <c r="CY10" s="164"/>
      <c r="CZ10" s="164"/>
      <c r="DA10" s="164"/>
      <c r="DB10" s="164"/>
      <c r="DC10" s="164"/>
      <c r="DD10" s="164"/>
      <c r="DE10" s="164"/>
      <c r="DF10" s="164"/>
      <c r="DG10" s="164"/>
      <c r="DH10" s="164"/>
      <c r="DI10" s="164"/>
      <c r="DJ10" s="164"/>
      <c r="DK10" s="164"/>
      <c r="DL10" s="164"/>
      <c r="DM10" s="164"/>
      <c r="DN10" s="164"/>
      <c r="DO10" s="164"/>
      <c r="DP10" s="164"/>
    </row>
    <row r="11" spans="2:120">
      <c r="G11" s="161"/>
      <c r="H11" s="168"/>
      <c r="I11" s="223">
        <v>2.6700000000000002E-2</v>
      </c>
      <c r="R11" s="164"/>
    </row>
    <row r="13" spans="2:120">
      <c r="B13" s="433" t="s">
        <v>211</v>
      </c>
      <c r="C13" s="433"/>
      <c r="D13" s="212"/>
      <c r="E13" s="224"/>
      <c r="F13" s="224"/>
      <c r="G13" s="224"/>
      <c r="H13" s="212"/>
      <c r="I13" s="212"/>
      <c r="J13" s="212"/>
      <c r="K13" s="225"/>
    </row>
    <row r="14" spans="2:120">
      <c r="B14" s="217" t="s">
        <v>212</v>
      </c>
      <c r="C14" s="226">
        <v>45522</v>
      </c>
      <c r="D14" s="212"/>
      <c r="E14" s="224"/>
      <c r="F14" s="224"/>
      <c r="G14" s="224"/>
      <c r="H14" s="212"/>
      <c r="I14" s="212"/>
      <c r="J14" s="212"/>
      <c r="K14" s="212"/>
    </row>
    <row r="15" spans="2:120">
      <c r="B15" s="217" t="s">
        <v>213</v>
      </c>
      <c r="C15" s="226">
        <v>45747</v>
      </c>
      <c r="D15" s="227"/>
      <c r="E15" s="224"/>
      <c r="F15" s="224"/>
      <c r="G15" s="224"/>
      <c r="H15" s="228"/>
      <c r="I15" s="229"/>
      <c r="J15" s="224"/>
      <c r="K15" s="213"/>
    </row>
    <row r="16" spans="2:120">
      <c r="B16" s="217" t="s">
        <v>214</v>
      </c>
      <c r="C16" s="220">
        <f>WACC!H20</f>
        <v>0.25169999999999998</v>
      </c>
      <c r="D16" s="213"/>
      <c r="E16" s="213"/>
      <c r="F16" s="213"/>
      <c r="G16" s="213"/>
      <c r="H16" s="213"/>
      <c r="I16" s="213"/>
      <c r="J16" s="213"/>
      <c r="K16" s="213"/>
      <c r="M16" t="s">
        <v>301</v>
      </c>
      <c r="S16" s="239">
        <f>Q22*(1+C18)/(C17-C18)</f>
        <v>3995968.902892991</v>
      </c>
    </row>
    <row r="17" spans="2:22">
      <c r="B17" s="217" t="s">
        <v>187</v>
      </c>
      <c r="C17" s="230">
        <f>WACC!H21</f>
        <v>0.12657891838722116</v>
      </c>
      <c r="D17" s="213"/>
      <c r="E17" s="224"/>
      <c r="F17" s="231"/>
      <c r="G17" s="213"/>
      <c r="H17" s="213"/>
      <c r="I17" s="213"/>
      <c r="J17" s="213"/>
      <c r="K17" s="213"/>
      <c r="M17" t="s">
        <v>302</v>
      </c>
      <c r="S17" s="239">
        <f>S16/(1+C17)^Q21</f>
        <v>699925.10517336871</v>
      </c>
    </row>
    <row r="18" spans="2:22">
      <c r="B18" s="217" t="s">
        <v>204</v>
      </c>
      <c r="C18" s="220">
        <f>WACC!L15</f>
        <v>5.5E-2</v>
      </c>
      <c r="D18" s="231"/>
      <c r="E18" s="213"/>
      <c r="F18" s="231"/>
      <c r="G18" s="212"/>
      <c r="H18" s="212"/>
      <c r="I18" s="212"/>
      <c r="J18" s="212"/>
      <c r="K18" s="212"/>
      <c r="M18" s="232"/>
    </row>
    <row r="19" spans="2:22">
      <c r="B19" s="224"/>
      <c r="C19" s="224"/>
      <c r="D19" s="224"/>
      <c r="E19" s="231"/>
      <c r="F19" s="227"/>
      <c r="G19" s="212"/>
      <c r="H19" s="212"/>
      <c r="I19" s="212"/>
      <c r="J19" s="212"/>
      <c r="K19" s="212"/>
    </row>
    <row r="20" spans="2:22">
      <c r="B20" s="210" t="s">
        <v>215</v>
      </c>
      <c r="C20" s="211">
        <f t="shared" ref="C20:Q20" si="5">C2</f>
        <v>2025</v>
      </c>
      <c r="D20" s="211">
        <f t="shared" si="5"/>
        <v>2026</v>
      </c>
      <c r="E20" s="211">
        <f t="shared" si="5"/>
        <v>2027</v>
      </c>
      <c r="F20" s="211">
        <f t="shared" si="5"/>
        <v>2028</v>
      </c>
      <c r="G20" s="211">
        <f t="shared" si="5"/>
        <v>2029</v>
      </c>
      <c r="H20" s="211">
        <f t="shared" si="5"/>
        <v>2030</v>
      </c>
      <c r="I20" s="211">
        <f t="shared" si="5"/>
        <v>2031</v>
      </c>
      <c r="J20" s="211">
        <f t="shared" si="5"/>
        <v>2032</v>
      </c>
      <c r="K20" s="211">
        <f t="shared" si="5"/>
        <v>2033</v>
      </c>
      <c r="L20" s="211">
        <f t="shared" si="5"/>
        <v>2034</v>
      </c>
      <c r="M20" s="211">
        <f t="shared" si="5"/>
        <v>2035</v>
      </c>
      <c r="N20" s="211">
        <f t="shared" si="5"/>
        <v>2036</v>
      </c>
      <c r="O20" s="211">
        <f t="shared" si="5"/>
        <v>2037</v>
      </c>
      <c r="P20" s="211">
        <f t="shared" si="5"/>
        <v>2038</v>
      </c>
      <c r="Q20" s="211">
        <f t="shared" si="5"/>
        <v>2039</v>
      </c>
    </row>
    <row r="21" spans="2:22">
      <c r="B21" s="212" t="s">
        <v>216</v>
      </c>
      <c r="C21" s="270">
        <f>(C15-C14)/365</f>
        <v>0.61643835616438358</v>
      </c>
      <c r="D21" s="270">
        <f>C21+1</f>
        <v>1.6164383561643836</v>
      </c>
      <c r="E21" s="270">
        <f t="shared" ref="E21:Q21" si="6">D21+1</f>
        <v>2.6164383561643838</v>
      </c>
      <c r="F21" s="270">
        <f t="shared" si="6"/>
        <v>3.6164383561643838</v>
      </c>
      <c r="G21" s="270">
        <f t="shared" si="6"/>
        <v>4.6164383561643838</v>
      </c>
      <c r="H21" s="270">
        <f t="shared" si="6"/>
        <v>5.6164383561643838</v>
      </c>
      <c r="I21" s="270">
        <f t="shared" si="6"/>
        <v>6.6164383561643838</v>
      </c>
      <c r="J21" s="270">
        <f t="shared" si="6"/>
        <v>7.6164383561643838</v>
      </c>
      <c r="K21" s="270">
        <f t="shared" si="6"/>
        <v>8.6164383561643838</v>
      </c>
      <c r="L21" s="270">
        <f t="shared" si="6"/>
        <v>9.6164383561643838</v>
      </c>
      <c r="M21" s="270">
        <f t="shared" si="6"/>
        <v>10.616438356164384</v>
      </c>
      <c r="N21" s="270">
        <f t="shared" si="6"/>
        <v>11.616438356164384</v>
      </c>
      <c r="O21" s="270">
        <f t="shared" si="6"/>
        <v>12.616438356164384</v>
      </c>
      <c r="P21" s="270">
        <f t="shared" si="6"/>
        <v>13.616438356164384</v>
      </c>
      <c r="Q21" s="270">
        <f t="shared" si="6"/>
        <v>14.616438356164384</v>
      </c>
    </row>
    <row r="22" spans="2:22">
      <c r="B22" s="212" t="s">
        <v>209</v>
      </c>
      <c r="C22" s="213">
        <f>C9</f>
        <v>33516.12384488697</v>
      </c>
      <c r="D22" s="213">
        <f t="shared" ref="D22:Q22" si="7">D9</f>
        <v>11118.809999356259</v>
      </c>
      <c r="E22" s="213">
        <f t="shared" si="7"/>
        <v>22798.646139645287</v>
      </c>
      <c r="F22" s="213">
        <f t="shared" si="7"/>
        <v>23348.243065050872</v>
      </c>
      <c r="G22" s="213">
        <f t="shared" si="7"/>
        <v>43949.020683041686</v>
      </c>
      <c r="H22" s="213">
        <f t="shared" si="7"/>
        <v>58107.590243423329</v>
      </c>
      <c r="I22" s="213">
        <f t="shared" si="7"/>
        <v>75275.996790814199</v>
      </c>
      <c r="J22" s="213">
        <f t="shared" si="7"/>
        <v>95507.093284448769</v>
      </c>
      <c r="K22" s="213">
        <f t="shared" si="7"/>
        <v>118625.438271761</v>
      </c>
      <c r="L22" s="213">
        <f t="shared" si="7"/>
        <v>144172.4859516588</v>
      </c>
      <c r="M22" s="213">
        <f t="shared" si="7"/>
        <v>171371.91315765481</v>
      </c>
      <c r="N22" s="213">
        <f t="shared" si="7"/>
        <v>199127.12516674824</v>
      </c>
      <c r="O22" s="213">
        <f t="shared" si="7"/>
        <v>226060.84742496055</v>
      </c>
      <c r="P22" s="213">
        <f t="shared" si="7"/>
        <v>250601.77156110082</v>
      </c>
      <c r="Q22" s="213">
        <f t="shared" si="7"/>
        <v>271115.76490810531</v>
      </c>
      <c r="R22" s="213"/>
      <c r="S22" s="213"/>
      <c r="T22" s="213"/>
      <c r="U22" s="213"/>
      <c r="V22" s="213"/>
    </row>
    <row r="23" spans="2:22">
      <c r="B23" s="212" t="s">
        <v>217</v>
      </c>
      <c r="C23" s="213">
        <f>C22/(1+$C$17)^C21</f>
        <v>31141.959712555512</v>
      </c>
      <c r="D23" s="213">
        <f t="shared" ref="D23:Q23" si="8">D22/(1+$C$17)^D21</f>
        <v>9170.4118576374531</v>
      </c>
      <c r="E23" s="213">
        <f t="shared" si="8"/>
        <v>16690.831385991089</v>
      </c>
      <c r="F23" s="213">
        <f t="shared" si="8"/>
        <v>15172.652027396582</v>
      </c>
      <c r="G23" s="213">
        <f t="shared" si="8"/>
        <v>25350.987082474923</v>
      </c>
      <c r="H23" s="213">
        <f t="shared" si="8"/>
        <v>29752.051503883671</v>
      </c>
      <c r="I23" s="213">
        <f t="shared" si="8"/>
        <v>34212.038085720502</v>
      </c>
      <c r="J23" s="213">
        <f t="shared" si="8"/>
        <v>38529.772029807005</v>
      </c>
      <c r="K23" s="213">
        <f t="shared" si="8"/>
        <v>42479.267729772</v>
      </c>
      <c r="L23" s="213">
        <f t="shared" si="8"/>
        <v>45826.844983901356</v>
      </c>
      <c r="M23" s="213">
        <f t="shared" si="8"/>
        <v>48352.128484647175</v>
      </c>
      <c r="N23" s="213">
        <f t="shared" si="8"/>
        <v>49870.618605692012</v>
      </c>
      <c r="O23" s="213">
        <f t="shared" si="8"/>
        <v>50254.859456715545</v>
      </c>
      <c r="P23" s="213">
        <f t="shared" si="8"/>
        <v>49451.017067517067</v>
      </c>
      <c r="Q23" s="213">
        <f t="shared" si="8"/>
        <v>47488.03979182156</v>
      </c>
      <c r="R23" s="213"/>
      <c r="S23" s="213"/>
      <c r="T23" s="213"/>
      <c r="U23" s="213"/>
      <c r="V23" s="213"/>
    </row>
    <row r="24" spans="2:22">
      <c r="B24" s="233"/>
      <c r="C24" s="213"/>
      <c r="D24" s="233"/>
      <c r="E24" s="233"/>
      <c r="F24" s="233"/>
      <c r="G24" s="233"/>
    </row>
    <row r="25" spans="2:22">
      <c r="B25" s="234" t="s">
        <v>227</v>
      </c>
      <c r="C25" s="235">
        <f>Q22*(1+C18)/(C17-C18)</f>
        <v>3995968.902892991</v>
      </c>
      <c r="D25" s="236"/>
      <c r="E25" s="233"/>
      <c r="F25" s="233"/>
      <c r="G25" s="233"/>
      <c r="H25" s="233"/>
      <c r="I25" s="233"/>
      <c r="J25" s="233"/>
      <c r="K25" s="233"/>
      <c r="Q25" s="239"/>
    </row>
    <row r="26" spans="2:22">
      <c r="B26" s="237" t="s">
        <v>218</v>
      </c>
      <c r="C26" s="235">
        <f>SUM(C23:Q23)</f>
        <v>533743.47980553354</v>
      </c>
      <c r="D26" s="238"/>
      <c r="E26" s="213"/>
      <c r="F26" s="213"/>
      <c r="G26" s="224"/>
      <c r="H26" s="213"/>
      <c r="I26" s="213"/>
      <c r="J26" s="213"/>
      <c r="K26" s="213"/>
    </row>
    <row r="27" spans="2:22" ht="14.95" thickBot="1">
      <c r="B27" s="237" t="s">
        <v>219</v>
      </c>
      <c r="C27" s="235">
        <f>C25/(1+C17)^Q21</f>
        <v>699925.10517336871</v>
      </c>
      <c r="D27" s="272"/>
      <c r="E27" s="213"/>
      <c r="F27" s="213"/>
      <c r="G27" s="224"/>
      <c r="H27" s="213"/>
      <c r="I27" s="213"/>
      <c r="J27" s="240"/>
      <c r="K27" s="240"/>
      <c r="L27" s="241"/>
      <c r="M27" s="241"/>
      <c r="N27" s="241"/>
      <c r="O27" s="241"/>
    </row>
    <row r="28" spans="2:22" ht="14.95" thickBot="1">
      <c r="B28" s="237" t="s">
        <v>220</v>
      </c>
      <c r="C28" s="235">
        <f>C27+C26</f>
        <v>1233668.5849789022</v>
      </c>
      <c r="D28" s="236"/>
      <c r="E28" s="213"/>
      <c r="F28" s="213"/>
      <c r="G28" s="224"/>
      <c r="H28" s="213"/>
      <c r="I28" s="213"/>
      <c r="J28" s="242">
        <f>C34</f>
        <v>821.48264998308935</v>
      </c>
      <c r="K28" s="243">
        <f>L28-0.5%</f>
        <v>0.11657891838722115</v>
      </c>
      <c r="L28" s="243">
        <f>M28-0.5%</f>
        <v>0.12157891838722115</v>
      </c>
      <c r="M28" s="244">
        <v>0.12657891838722116</v>
      </c>
      <c r="N28" s="243">
        <f>M28+0.5%</f>
        <v>0.13157891838722116</v>
      </c>
      <c r="O28" s="245">
        <f>N28+0.5%</f>
        <v>0.13657891838722117</v>
      </c>
      <c r="Q28" s="165"/>
      <c r="R28" s="165"/>
    </row>
    <row r="29" spans="2:22">
      <c r="B29" s="237" t="s">
        <v>221</v>
      </c>
      <c r="C29" s="235">
        <f>-WACC!H15</f>
        <v>-53779.95</v>
      </c>
      <c r="D29" s="213"/>
      <c r="E29" s="213"/>
      <c r="F29" s="213"/>
      <c r="G29" s="224"/>
      <c r="H29" s="213"/>
      <c r="I29" s="213"/>
      <c r="J29" s="246">
        <f>J30-0.5%</f>
        <v>4.5000000000000005E-2</v>
      </c>
      <c r="K29" s="247">
        <f t="dataTable" ref="K29:O33" dt2D="1" dtr="1" r1="C17" r2="C18"/>
        <v>912.52227901170716</v>
      </c>
      <c r="L29" s="248">
        <v>830.69422809816956</v>
      </c>
      <c r="M29" s="248">
        <v>759.76988780019531</v>
      </c>
      <c r="N29" s="248">
        <v>697.81931357101212</v>
      </c>
      <c r="O29" s="249">
        <v>643.33621752396868</v>
      </c>
      <c r="P29" s="190"/>
      <c r="Q29" s="190"/>
      <c r="R29" s="190"/>
    </row>
    <row r="30" spans="2:22">
      <c r="B30" s="237" t="s">
        <v>222</v>
      </c>
      <c r="C30" s="235">
        <f>CFS!B20</f>
        <v>39679.865809019815</v>
      </c>
      <c r="D30" s="213"/>
      <c r="E30" s="224"/>
      <c r="F30" s="224"/>
      <c r="G30" s="224"/>
      <c r="H30" s="250"/>
      <c r="I30" s="213"/>
      <c r="J30" s="246">
        <f>J31-0.5%</f>
        <v>0.05</v>
      </c>
      <c r="K30" s="251">
        <v>955.21085988454524</v>
      </c>
      <c r="L30" s="252">
        <v>865.61772328757331</v>
      </c>
      <c r="M30" s="252">
        <v>788.61159032596845</v>
      </c>
      <c r="N30" s="252">
        <v>721.83696029831913</v>
      </c>
      <c r="O30" s="253">
        <v>663.48462987655148</v>
      </c>
      <c r="P30" s="190"/>
      <c r="Q30" s="190"/>
      <c r="R30" s="190"/>
    </row>
    <row r="31" spans="2:22">
      <c r="B31" s="237" t="s">
        <v>223</v>
      </c>
      <c r="C31" s="254">
        <f>WACC!K3</f>
        <v>1484.5943500000001</v>
      </c>
      <c r="D31" s="255"/>
      <c r="E31" s="224"/>
      <c r="F31" s="224"/>
      <c r="G31" s="224"/>
      <c r="H31" s="213"/>
      <c r="I31" s="213"/>
      <c r="J31" s="246">
        <v>5.5E-2</v>
      </c>
      <c r="K31" s="251">
        <v>1004.8317776659991</v>
      </c>
      <c r="L31" s="252">
        <v>905.78664691519339</v>
      </c>
      <c r="M31" s="256">
        <v>821.48264998308935</v>
      </c>
      <c r="N31" s="252">
        <v>748.99093321475573</v>
      </c>
      <c r="O31" s="253">
        <v>686.10284849169648</v>
      </c>
      <c r="P31" s="190"/>
      <c r="Q31" s="190"/>
      <c r="R31" s="190"/>
    </row>
    <row r="32" spans="2:22">
      <c r="B32" s="237" t="s">
        <v>224</v>
      </c>
      <c r="C32" s="235">
        <f>SUM(C28:C30)</f>
        <v>1219568.5007879222</v>
      </c>
      <c r="D32" s="213"/>
      <c r="E32" s="213"/>
      <c r="F32" s="213"/>
      <c r="G32" s="213"/>
      <c r="H32" s="213"/>
      <c r="I32" s="213"/>
      <c r="J32" s="246">
        <f>J31+0.5%</f>
        <v>0.06</v>
      </c>
      <c r="K32" s="251">
        <v>1063.222908663947</v>
      </c>
      <c r="L32" s="252">
        <v>952.47873215065977</v>
      </c>
      <c r="M32" s="252">
        <v>859.2908669947268</v>
      </c>
      <c r="N32" s="252">
        <v>779.93847741282912</v>
      </c>
      <c r="O32" s="253">
        <v>711.67465003690836</v>
      </c>
      <c r="P32" s="190"/>
      <c r="Q32" s="190"/>
      <c r="R32" s="190"/>
    </row>
    <row r="33" spans="2:18" ht="14.95" thickBot="1">
      <c r="B33" s="184" t="s">
        <v>185</v>
      </c>
      <c r="C33" s="213">
        <v>765</v>
      </c>
      <c r="D33" s="257"/>
      <c r="E33" s="224"/>
      <c r="F33" s="212"/>
      <c r="G33" s="212"/>
      <c r="H33" s="212"/>
      <c r="I33" s="212"/>
      <c r="J33" s="258">
        <f>J32+0.5%</f>
        <v>6.5000000000000002E-2</v>
      </c>
      <c r="K33" s="259">
        <v>1132.9347755019885</v>
      </c>
      <c r="L33" s="260">
        <v>1007.4233762130571</v>
      </c>
      <c r="M33" s="260">
        <v>903.23888282093435</v>
      </c>
      <c r="N33" s="260">
        <v>815.53427137940753</v>
      </c>
      <c r="O33" s="261">
        <v>740.81898412681085</v>
      </c>
      <c r="P33" s="190"/>
      <c r="Q33" s="190"/>
      <c r="R33" s="190"/>
    </row>
    <row r="34" spans="2:18">
      <c r="B34" s="262" t="s">
        <v>225</v>
      </c>
      <c r="C34" s="263">
        <f>C32/C31</f>
        <v>821.48264998308935</v>
      </c>
      <c r="D34" s="213"/>
      <c r="E34" s="224"/>
      <c r="F34" s="224"/>
      <c r="G34" s="224"/>
      <c r="H34" s="224"/>
      <c r="I34" s="224"/>
      <c r="K34" s="264"/>
      <c r="L34" s="190"/>
      <c r="M34" s="190"/>
      <c r="N34" s="190"/>
      <c r="O34" s="190"/>
      <c r="P34" s="190"/>
      <c r="Q34" s="190"/>
      <c r="R34" s="190"/>
    </row>
    <row r="35" spans="2:18">
      <c r="B35" s="265" t="s">
        <v>226</v>
      </c>
      <c r="C35" s="266">
        <f>C34/C33-1</f>
        <v>7.3833529389659258E-2</v>
      </c>
      <c r="D35" s="267"/>
      <c r="E35" s="268"/>
      <c r="F35" s="213"/>
      <c r="G35" s="213"/>
      <c r="H35" s="213"/>
      <c r="I35" s="213"/>
      <c r="J35" s="269"/>
      <c r="K35" s="264"/>
      <c r="L35" s="190"/>
      <c r="M35" s="190"/>
      <c r="N35" s="190"/>
      <c r="O35" s="190"/>
      <c r="P35" s="190"/>
      <c r="Q35" s="190"/>
      <c r="R35" s="190"/>
    </row>
    <row r="36" spans="2:18">
      <c r="B36" s="213"/>
      <c r="C36" s="213"/>
      <c r="D36" s="213"/>
      <c r="E36" s="213"/>
      <c r="F36" s="213"/>
      <c r="G36" s="213"/>
      <c r="H36" s="213"/>
      <c r="I36" s="213"/>
      <c r="J36" s="269"/>
      <c r="K36" s="267"/>
      <c r="L36" s="190"/>
      <c r="M36" s="190"/>
      <c r="N36" s="190"/>
      <c r="O36" s="190"/>
      <c r="P36" s="190"/>
      <c r="Q36" s="190"/>
      <c r="R36" s="190"/>
    </row>
    <row r="37" spans="2:18">
      <c r="K37" s="159"/>
    </row>
    <row r="40" spans="2:18">
      <c r="D40" t="s">
        <v>303</v>
      </c>
    </row>
    <row r="41" spans="2:18">
      <c r="D41" t="s">
        <v>304</v>
      </c>
      <c r="J41" s="164"/>
    </row>
    <row r="43" spans="2:18">
      <c r="D43" t="s">
        <v>305</v>
      </c>
    </row>
  </sheetData>
  <mergeCells count="1">
    <mergeCell ref="B13:C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FFA6-CD22-46A2-B0EF-94D3DCC0AF64}">
  <dimension ref="C1:P22"/>
  <sheetViews>
    <sheetView showGridLines="0" workbookViewId="0">
      <selection activeCell="I9" sqref="I9"/>
    </sheetView>
  </sheetViews>
  <sheetFormatPr defaultRowHeight="14.3"/>
  <cols>
    <col min="3" max="3" width="25.25" bestFit="1" customWidth="1"/>
    <col min="4" max="4" width="20.625" customWidth="1"/>
    <col min="5" max="5" width="18.125" bestFit="1" customWidth="1"/>
    <col min="9" max="9" width="20.25" bestFit="1" customWidth="1"/>
    <col min="10" max="10" width="6" bestFit="1" customWidth="1"/>
    <col min="16" max="16" width="11.375" bestFit="1" customWidth="1"/>
  </cols>
  <sheetData>
    <row r="1" spans="3:16">
      <c r="I1" s="25"/>
      <c r="J1" s="25"/>
    </row>
    <row r="2" spans="3:16" ht="14.95" thickBot="1"/>
    <row r="3" spans="3:16" ht="14.95" thickBot="1">
      <c r="C3" s="434" t="s">
        <v>229</v>
      </c>
      <c r="D3" s="435"/>
    </row>
    <row r="4" spans="3:16" ht="14.95" thickBot="1">
      <c r="C4" s="273" t="s">
        <v>230</v>
      </c>
      <c r="D4" s="274" t="s">
        <v>228</v>
      </c>
      <c r="K4" s="25" t="s">
        <v>314</v>
      </c>
    </row>
    <row r="5" spans="3:16">
      <c r="C5" s="426" t="s">
        <v>231</v>
      </c>
      <c r="D5" s="427">
        <v>28.53</v>
      </c>
      <c r="E5" s="161">
        <v>0.25</v>
      </c>
      <c r="K5" t="s">
        <v>306</v>
      </c>
    </row>
    <row r="6" spans="3:16">
      <c r="C6" s="426" t="s">
        <v>232</v>
      </c>
      <c r="D6" s="427">
        <v>53.05</v>
      </c>
      <c r="E6" s="161">
        <v>0.25</v>
      </c>
      <c r="K6" t="s">
        <v>307</v>
      </c>
    </row>
    <row r="7" spans="3:16" ht="14.95" thickBot="1">
      <c r="C7" s="424" t="s">
        <v>233</v>
      </c>
      <c r="D7" s="425">
        <v>36.6</v>
      </c>
      <c r="E7" s="161">
        <v>0.5</v>
      </c>
      <c r="K7" t="s">
        <v>308</v>
      </c>
    </row>
    <row r="8" spans="3:16">
      <c r="C8" s="275"/>
      <c r="D8" s="276"/>
      <c r="I8" s="25"/>
      <c r="J8" s="25"/>
      <c r="K8" s="25"/>
      <c r="L8" s="25"/>
      <c r="M8" s="25" t="s">
        <v>311</v>
      </c>
      <c r="P8" s="239">
        <f>'Profit &amp; Loss Statement'!K29</f>
        <v>30850.770738009986</v>
      </c>
    </row>
    <row r="9" spans="3:16">
      <c r="C9" s="277" t="s">
        <v>234</v>
      </c>
      <c r="D9" s="278">
        <f>SUMPRODUCT(D5:D7,E5:E7)</f>
        <v>38.695</v>
      </c>
      <c r="M9" s="25" t="s">
        <v>312</v>
      </c>
      <c r="P9" s="83">
        <f>WACC!K3</f>
        <v>1484.5943500000001</v>
      </c>
    </row>
    <row r="10" spans="3:16">
      <c r="C10" s="436" t="s">
        <v>235</v>
      </c>
      <c r="D10" s="437"/>
      <c r="M10" t="s">
        <v>313</v>
      </c>
      <c r="P10" s="239">
        <f>P8/P9</f>
        <v>20.780606323882335</v>
      </c>
    </row>
    <row r="11" spans="3:16">
      <c r="C11" s="279" t="s">
        <v>309</v>
      </c>
      <c r="D11" s="280">
        <f>P10</f>
        <v>20.780606323882335</v>
      </c>
    </row>
    <row r="12" spans="3:16">
      <c r="C12" s="438" t="s">
        <v>236</v>
      </c>
      <c r="D12" s="439"/>
      <c r="P12" s="159"/>
    </row>
    <row r="13" spans="3:16" ht="14.95" thickBot="1">
      <c r="C13" s="57" t="s">
        <v>237</v>
      </c>
      <c r="D13" s="58">
        <f>D11*D9</f>
        <v>804.10556170262691</v>
      </c>
      <c r="P13" s="159"/>
    </row>
    <row r="14" spans="3:16" ht="14.95" thickBot="1"/>
    <row r="15" spans="3:16">
      <c r="C15" s="281" t="s">
        <v>238</v>
      </c>
      <c r="D15" s="282" t="s">
        <v>239</v>
      </c>
      <c r="E15" s="283" t="s">
        <v>240</v>
      </c>
    </row>
    <row r="16" spans="3:16">
      <c r="C16" s="7" t="s">
        <v>241</v>
      </c>
      <c r="D16" s="284">
        <f>FCFF!C34</f>
        <v>821.48264998308935</v>
      </c>
      <c r="E16" s="285">
        <v>0.5</v>
      </c>
      <c r="F16" s="239"/>
      <c r="P16" s="286"/>
    </row>
    <row r="17" spans="3:6" ht="14.95" thickBot="1">
      <c r="C17" s="287" t="s">
        <v>242</v>
      </c>
      <c r="D17" s="288">
        <f>D13</f>
        <v>804.10556170262691</v>
      </c>
      <c r="E17" s="289">
        <v>0.5</v>
      </c>
      <c r="F17" s="239"/>
    </row>
    <row r="18" spans="3:6" ht="14.95" thickBot="1">
      <c r="C18" s="290" t="s">
        <v>243</v>
      </c>
      <c r="D18" s="440">
        <f>SUMPRODUCT(D16:D17,E16:E17)</f>
        <v>812.79410584285813</v>
      </c>
      <c r="E18" s="441"/>
    </row>
    <row r="22" spans="3:6">
      <c r="E22" s="159"/>
    </row>
  </sheetData>
  <mergeCells count="4">
    <mergeCell ref="C3:D3"/>
    <mergeCell ref="C10:D10"/>
    <mergeCell ref="C12:D12"/>
    <mergeCell ref="D18:E1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Balance Sheet</vt:lpstr>
      <vt:lpstr>CFS</vt:lpstr>
      <vt:lpstr>Schedules_Populated</vt:lpstr>
      <vt:lpstr>Profit &amp; Loss Statement</vt:lpstr>
      <vt:lpstr>Revenue Model</vt:lpstr>
      <vt:lpstr>Assumptions</vt:lpstr>
      <vt:lpstr>WACC</vt:lpstr>
      <vt:lpstr>FCFF</vt:lpstr>
      <vt:lpstr>Relative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hpw</dc:creator>
  <cp:lastModifiedBy>vinay kumar</cp:lastModifiedBy>
  <dcterms:created xsi:type="dcterms:W3CDTF">2022-07-20T22:22:11Z</dcterms:created>
  <dcterms:modified xsi:type="dcterms:W3CDTF">2024-10-23T10:42:01Z</dcterms:modified>
</cp:coreProperties>
</file>