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"/>
    </mc:Choice>
  </mc:AlternateContent>
  <xr:revisionPtr revIDLastSave="31" documentId="8_{378C885F-DF30-4AB1-9A7E-F145323B630B}" xr6:coauthVersionLast="47" xr6:coauthVersionMax="47" xr10:uidLastSave="{7F7F5DD8-808A-4DA4-B391-7C4A56BD4BBA}"/>
  <bookViews>
    <workbookView xWindow="-110" yWindow="-110" windowWidth="19420" windowHeight="10560" xr2:uid="{00000000-000D-0000-FFFF-FFFF00000000}"/>
  </bookViews>
  <sheets>
    <sheet name="Site Codes" sheetId="1" r:id="rId1"/>
    <sheet name="Special PC Codes" sheetId="2" r:id="rId2"/>
    <sheet name="Sheet3" sheetId="3" state="hidden" r:id="rId3"/>
    <sheet name="D%$&amp;01_DevSheet" sheetId="4" state="veryHidden" r:id="rId4"/>
  </sheets>
  <definedNames>
    <definedName name="_xlnm._FilterDatabase" localSheetId="0" hidden="1">'Site Codes'!$D$1:$J$636</definedName>
    <definedName name="Z_0DE46E9D_13D3_462E_9D25_4A04E933D976_.wvu.Cols" localSheetId="0" hidden="1">'Site Codes'!$A:$B</definedName>
    <definedName name="Z_0FC46733_3239_44AE_822B_F1CD70B7B4CA_.wvu.Cols" localSheetId="0" hidden="1">'Site Codes'!$A:$B</definedName>
    <definedName name="Z_49C43F13_C013_47A7_B886_744437B4D757_.wvu.Cols" localSheetId="0" hidden="1">'Site Codes'!$A:$B</definedName>
    <definedName name="Z_4EABCCA6_BB2C_4A99_8C05_21F324DFA8F1_.wvu.Cols" localSheetId="0" hidden="1">'Site Codes'!$A:$B</definedName>
    <definedName name="Z_56021863_D344_4FC6_A93B_6D42ADCA54E1_.wvu.Cols" localSheetId="0" hidden="1">'Site Codes'!$A:$B</definedName>
    <definedName name="Z_66D5434F_97F5_4D22_9C23_700B42C56302_.wvu.Cols" localSheetId="0" hidden="1">'Site Codes'!$A:$B</definedName>
    <definedName name="Z_73D4A972_8423_463D_92ED_00F3151FD702_.wvu.Cols" localSheetId="0" hidden="1">'Site Codes'!$A:$C</definedName>
    <definedName name="Z_BA97DA7A_4F70_46D4_9B40_F82B93762FD3_.wvu.Cols" localSheetId="0" hidden="1">'Site Codes'!$A:$B</definedName>
    <definedName name="Z_DA704CF3_EF6D_4765_BF90_F1C6A10CEF63_.wvu.Cols" localSheetId="0" hidden="1">'Site Codes'!$A:$B</definedName>
    <definedName name="Z_E076845E_C727_4760_AC04_71547E2FD1F7_.wvu.Cols" localSheetId="0" hidden="1">'Site Codes'!$A:$B</definedName>
  </definedNames>
  <calcPr calcId="191028"/>
  <customWorkbookViews>
    <customWorkbookView name="Matthew S. Fouts - Personal View" guid="{66D5434F-97F5-4D22-9C23-700B42C56302}" mergeInterval="0" personalView="1" maximized="1" xWindow="1432" yWindow="-8" windowWidth="1456" windowHeight="916" activeSheetId="1"/>
    <customWorkbookView name="Phil P. Burnsworth - Personal View" guid="{0FC46733-3239-44AE-822B-F1CD70B7B4CA}" mergeInterval="0" personalView="1" maximized="1" windowWidth="1362" windowHeight="543" activeSheetId="1"/>
    <customWorkbookView name="m101973 - Personal View" guid="{E076845E-C727-4760-AC04-71547E2FD1F7}" mergeInterval="0" personalView="1" maximized="1" windowWidth="1436" windowHeight="754" activeSheetId="1"/>
    <customWorkbookView name="msfouts - Personal View" guid="{56021863-D344-4FC6-A93B-6D42ADCA54E1}" mergeInterval="0" personalView="1" maximized="1" windowWidth="1276" windowHeight="912" activeSheetId="1"/>
    <customWorkbookView name="jlcottre - Personal View" guid="{0DE46E9D-13D3-462E-9D25-4A04E933D976}" mergeInterval="0" personalView="1" maximized="1" windowWidth="1276" windowHeight="836" activeSheetId="1"/>
    <customWorkbookView name="Dave Hilling - Personal View" guid="{4EABCCA6-BB2C-4A99-8C05-21F324DFA8F1}" mergeInterval="0" personalView="1" maximized="1" xWindow="1" yWindow="1" windowWidth="1280" windowHeight="897" activeSheetId="1"/>
    <customWorkbookView name="drhillin - Personal View" guid="{DA704CF3-EF6D-4765-BF90-F1C6A10CEF63}" mergeInterval="0" personalView="1" maximized="1" xWindow="1" yWindow="1" windowWidth="1276" windowHeight="580" activeSheetId="1"/>
    <customWorkbookView name="Dave R. Hilling - Personal View" guid="{49C43F13-C013-47A7-B886-744437B4D757}" mergeInterval="0" personalView="1" xWindow="146" yWindow="40" windowWidth="993" windowHeight="793" activeSheetId="1"/>
    <customWorkbookView name="Andrew D. Westendorff - Personal View" guid="{BA97DA7A-4F70-46D4-9B40-F82B93762FD3}" mergeInterval="0" personalView="1" maximized="1" xWindow="2872" yWindow="-8" windowWidth="1456" windowHeight="916" activeSheetId="1"/>
    <customWorkbookView name="Frank Ferguson - Personal View" guid="{73D4A972-8423-463D-92ED-00F3151FD702}" mergeInterval="0" personalView="1" maximized="1" xWindow="-11" yWindow="-11" windowWidth="2582" windowHeight="140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8" i="1"/>
  <c r="EA3" i="4" s="1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K3" i="4"/>
  <c r="CL3" i="4"/>
  <c r="CM3" i="4"/>
  <c r="CN3" i="4"/>
  <c r="CO3" i="4"/>
  <c r="CP3" i="4"/>
  <c r="CQ3" i="4"/>
  <c r="CS3" i="4"/>
  <c r="CT3" i="4"/>
  <c r="CU3" i="4"/>
  <c r="CV3" i="4"/>
  <c r="CW3" i="4"/>
  <c r="CX3" i="4"/>
  <c r="CY3" i="4"/>
  <c r="DA3" i="4"/>
  <c r="DB3" i="4"/>
  <c r="DC3" i="4"/>
  <c r="DD3" i="4"/>
  <c r="DE3" i="4"/>
  <c r="DF3" i="4"/>
  <c r="DG3" i="4"/>
  <c r="DI3" i="4"/>
  <c r="DJ3" i="4"/>
  <c r="DK3" i="4"/>
  <c r="DL3" i="4"/>
  <c r="DM3" i="4"/>
  <c r="DN3" i="4"/>
  <c r="DO3" i="4"/>
  <c r="DP3" i="4"/>
  <c r="DQ3" i="4"/>
  <c r="DR3" i="4"/>
  <c r="DT3" i="4"/>
  <c r="DU3" i="4"/>
  <c r="DV3" i="4"/>
  <c r="DW3" i="4"/>
  <c r="DX3" i="4"/>
  <c r="DY3" i="4"/>
  <c r="DZ3" i="4"/>
  <c r="EB3" i="4"/>
  <c r="EC3" i="4"/>
  <c r="ED3" i="4"/>
  <c r="EE3" i="4"/>
  <c r="EF3" i="4"/>
  <c r="EG3" i="4"/>
  <c r="EH3" i="4"/>
  <c r="EJ3" i="4"/>
  <c r="EK3" i="4"/>
  <c r="EL3" i="4"/>
  <c r="EM3" i="4"/>
  <c r="EN3" i="4"/>
  <c r="EO3" i="4"/>
  <c r="EP3" i="4"/>
  <c r="ER3" i="4"/>
  <c r="ES3" i="4"/>
  <c r="ET3" i="4"/>
  <c r="EU3" i="4"/>
  <c r="EV3" i="4"/>
  <c r="EW3" i="4"/>
  <c r="EX3" i="4"/>
  <c r="EZ3" i="4"/>
  <c r="FA3" i="4"/>
  <c r="FB3" i="4"/>
  <c r="FC3" i="4"/>
  <c r="FD3" i="4"/>
  <c r="FE3" i="4"/>
  <c r="FF3" i="4"/>
  <c r="FH3" i="4"/>
  <c r="FI3" i="4"/>
  <c r="FJ3" i="4"/>
  <c r="FK3" i="4"/>
  <c r="FL3" i="4"/>
  <c r="FM3" i="4"/>
  <c r="FN3" i="4"/>
  <c r="FP3" i="4"/>
  <c r="FQ3" i="4"/>
  <c r="FR3" i="4"/>
  <c r="FS3" i="4"/>
  <c r="FT3" i="4"/>
  <c r="FU3" i="4"/>
  <c r="FW3" i="4"/>
  <c r="FX3" i="4"/>
  <c r="FY3" i="4"/>
  <c r="FZ3" i="4"/>
  <c r="GA3" i="4"/>
  <c r="GB3" i="4"/>
  <c r="GD3" i="4"/>
  <c r="GE3" i="4"/>
  <c r="GF3" i="4"/>
  <c r="GG3" i="4"/>
  <c r="GH3" i="4"/>
  <c r="GJ3" i="4"/>
  <c r="GK3" i="4"/>
  <c r="GM3" i="4"/>
  <c r="GN3" i="4"/>
  <c r="GP3" i="4"/>
  <c r="GQ3" i="4"/>
  <c r="GR3" i="4"/>
  <c r="GS3" i="4"/>
  <c r="GT3" i="4"/>
  <c r="GV3" i="4"/>
  <c r="GW3" i="4"/>
  <c r="GX3" i="4"/>
  <c r="GY3" i="4"/>
  <c r="GZ3" i="4"/>
  <c r="HA3" i="4"/>
  <c r="HB3" i="4"/>
  <c r="HC3" i="4"/>
  <c r="HD3" i="4"/>
  <c r="HF3" i="4"/>
  <c r="HG3" i="4"/>
  <c r="HH3" i="4"/>
  <c r="HI3" i="4"/>
  <c r="HJ3" i="4"/>
  <c r="HK3" i="4"/>
  <c r="HM3" i="4"/>
  <c r="HN3" i="4"/>
  <c r="HP3" i="4"/>
  <c r="HQ3" i="4"/>
  <c r="HS3" i="4"/>
  <c r="HT3" i="4"/>
  <c r="HU3" i="4"/>
  <c r="HV3" i="4"/>
  <c r="HW3" i="4"/>
  <c r="HX3" i="4"/>
  <c r="HY3" i="4"/>
  <c r="IA3" i="4"/>
  <c r="IB3" i="4"/>
  <c r="IC3" i="4"/>
  <c r="ID3" i="4"/>
  <c r="IE3" i="4"/>
  <c r="IF3" i="4"/>
  <c r="IG3" i="4"/>
  <c r="II3" i="4"/>
  <c r="IJ3" i="4"/>
  <c r="IK3" i="4"/>
  <c r="IL3" i="4"/>
  <c r="IM3" i="4"/>
  <c r="IN3" i="4"/>
  <c r="IO3" i="4"/>
  <c r="IQ3" i="4"/>
  <c r="IR3" i="4"/>
  <c r="IS3" i="4"/>
  <c r="IT3" i="4"/>
  <c r="IU3" i="4"/>
  <c r="IV3" i="4"/>
  <c r="F4" i="4"/>
  <c r="H4" i="4"/>
  <c r="I4" i="4"/>
  <c r="J4" i="4"/>
  <c r="K4" i="4"/>
  <c r="L4" i="4"/>
  <c r="M4" i="4"/>
  <c r="N4" i="4"/>
  <c r="P4" i="4"/>
  <c r="Q4" i="4"/>
  <c r="R4" i="4"/>
  <c r="S4" i="4"/>
  <c r="T4" i="4"/>
  <c r="U4" i="4"/>
  <c r="V4" i="4"/>
  <c r="X4" i="4"/>
  <c r="Y4" i="4"/>
  <c r="Z4" i="4"/>
  <c r="AA4" i="4"/>
  <c r="AB4" i="4"/>
  <c r="AC4" i="4"/>
  <c r="AD4" i="4"/>
  <c r="AF4" i="4"/>
  <c r="AG4" i="4"/>
  <c r="AH4" i="4"/>
  <c r="AI4" i="4"/>
  <c r="AJ4" i="4"/>
  <c r="AK4" i="4"/>
  <c r="AL4" i="4"/>
  <c r="AN4" i="4"/>
  <c r="AO4" i="4"/>
  <c r="AP4" i="4"/>
  <c r="AQ4" i="4"/>
  <c r="AR4" i="4"/>
  <c r="AS4" i="4"/>
  <c r="AU4" i="4"/>
  <c r="AV4" i="4"/>
  <c r="AW4" i="4"/>
  <c r="AX4" i="4"/>
  <c r="AY4" i="4"/>
  <c r="AZ4" i="4"/>
  <c r="BB4" i="4"/>
  <c r="BC4" i="4"/>
  <c r="BD4" i="4"/>
  <c r="BE4" i="4"/>
  <c r="BF4" i="4"/>
  <c r="BG4" i="4"/>
  <c r="BI4" i="4"/>
  <c r="BJ4" i="4"/>
  <c r="BL4" i="4"/>
  <c r="BM4" i="4"/>
  <c r="BN4" i="4"/>
  <c r="BP4" i="4"/>
  <c r="BQ4" i="4"/>
  <c r="BR4" i="4"/>
  <c r="BS4" i="4"/>
  <c r="BT4" i="4"/>
  <c r="BU4" i="4"/>
  <c r="BV4" i="4"/>
  <c r="BX4" i="4"/>
  <c r="BY4" i="4"/>
  <c r="BZ4" i="4"/>
  <c r="CA4" i="4"/>
  <c r="CB4" i="4"/>
  <c r="CC4" i="4"/>
  <c r="CD4" i="4"/>
  <c r="CF4" i="4"/>
  <c r="CG4" i="4"/>
  <c r="CH4" i="4"/>
  <c r="CI4" i="4"/>
  <c r="CJ4" i="4"/>
  <c r="CK4" i="4"/>
  <c r="CM4" i="4"/>
  <c r="CN4" i="4"/>
  <c r="CO4" i="4"/>
  <c r="CP4" i="4"/>
  <c r="CR4" i="4"/>
  <c r="CS4" i="4"/>
  <c r="CU4" i="4"/>
  <c r="CV4" i="4"/>
  <c r="CX4" i="4"/>
  <c r="CY4" i="4"/>
  <c r="CZ4" i="4"/>
  <c r="DA4" i="4"/>
  <c r="DB4" i="4"/>
  <c r="DC4" i="4"/>
  <c r="DE4" i="4"/>
  <c r="DF4" i="4"/>
  <c r="DG4" i="4"/>
  <c r="DH4" i="4"/>
  <c r="DI4" i="4"/>
  <c r="DJ4" i="4"/>
  <c r="DL4" i="4"/>
  <c r="DM4" i="4"/>
  <c r="DN4" i="4"/>
  <c r="DO4" i="4"/>
  <c r="DP4" i="4"/>
  <c r="DQ4" i="4"/>
  <c r="DS4" i="4"/>
  <c r="DT4" i="4"/>
  <c r="DU4" i="4"/>
  <c r="DV4" i="4"/>
  <c r="DW4" i="4"/>
  <c r="DX4" i="4"/>
  <c r="DZ4" i="4"/>
  <c r="EA4" i="4"/>
  <c r="EB4" i="4"/>
  <c r="EC4" i="4"/>
  <c r="ED4" i="4"/>
  <c r="EE4" i="4"/>
  <c r="EG4" i="4"/>
  <c r="EH4" i="4"/>
  <c r="EI4" i="4"/>
  <c r="EJ4" i="4"/>
  <c r="EK4" i="4"/>
  <c r="EL4" i="4"/>
  <c r="EN4" i="4"/>
  <c r="EO4" i="4"/>
  <c r="EQ4" i="4"/>
  <c r="ER4" i="4"/>
  <c r="ET4" i="4"/>
  <c r="EU4" i="4"/>
  <c r="EW4" i="4"/>
  <c r="EX4" i="4"/>
  <c r="EZ4" i="4"/>
  <c r="FA4" i="4"/>
  <c r="FC4" i="4"/>
  <c r="FD4" i="4"/>
  <c r="FF4" i="4"/>
  <c r="FG4" i="4"/>
  <c r="FH4" i="4"/>
  <c r="FI4" i="4"/>
  <c r="FJ4" i="4"/>
  <c r="FL4" i="4"/>
  <c r="FM4" i="4"/>
  <c r="FN4" i="4"/>
  <c r="FO4" i="4"/>
  <c r="FP4" i="4"/>
  <c r="FR4" i="4"/>
  <c r="FS4" i="4"/>
  <c r="FU4" i="4"/>
  <c r="FV4" i="4"/>
  <c r="FX4" i="4"/>
  <c r="FY4" i="4"/>
  <c r="GA4" i="4"/>
  <c r="GB4" i="4"/>
  <c r="GC4" i="4"/>
  <c r="GD4" i="4"/>
  <c r="GE4" i="4"/>
  <c r="GG4" i="4"/>
  <c r="GH4" i="4"/>
  <c r="GJ4" i="4"/>
  <c r="GK4" i="4"/>
  <c r="GM4" i="4"/>
  <c r="GN4" i="4"/>
  <c r="GP4" i="4"/>
  <c r="GQ4" i="4"/>
  <c r="GS4" i="4"/>
  <c r="GT4" i="4"/>
  <c r="GV4" i="4"/>
  <c r="GW4" i="4"/>
  <c r="GY4" i="4"/>
  <c r="GZ4" i="4"/>
  <c r="HB4" i="4"/>
  <c r="HC4" i="4"/>
  <c r="HE4" i="4"/>
  <c r="HF4" i="4"/>
  <c r="HH4" i="4"/>
  <c r="HI4" i="4"/>
  <c r="HK4" i="4"/>
  <c r="HL4" i="4"/>
  <c r="HM4" i="4"/>
  <c r="HN4" i="4"/>
  <c r="HO4" i="4"/>
  <c r="HP4" i="4"/>
  <c r="HQ4" i="4"/>
  <c r="HS4" i="4"/>
  <c r="HT4" i="4"/>
  <c r="HV4" i="4"/>
  <c r="HW4" i="4"/>
  <c r="HX4" i="4"/>
  <c r="HY4" i="4"/>
  <c r="HZ4" i="4"/>
  <c r="IA4" i="4"/>
  <c r="IC4" i="4"/>
  <c r="ID4" i="4"/>
  <c r="IE4" i="4"/>
  <c r="IF4" i="4"/>
  <c r="IG4" i="4"/>
  <c r="IH4" i="4"/>
  <c r="IJ4" i="4"/>
  <c r="IK4" i="4"/>
  <c r="IL4" i="4"/>
  <c r="IM4" i="4"/>
  <c r="IN4" i="4"/>
  <c r="IO4" i="4"/>
  <c r="IQ4" i="4"/>
  <c r="IR4" i="4"/>
  <c r="IS4" i="4"/>
  <c r="IT4" i="4"/>
  <c r="IU4" i="4"/>
  <c r="F5" i="4"/>
  <c r="G5" i="4"/>
  <c r="H5" i="4"/>
  <c r="I5" i="4"/>
  <c r="J5" i="4"/>
  <c r="L5" i="4"/>
  <c r="M5" i="4"/>
  <c r="N5" i="4"/>
  <c r="O5" i="4"/>
  <c r="P5" i="4"/>
  <c r="R5" i="4"/>
  <c r="S5" i="4"/>
  <c r="T5" i="4"/>
  <c r="U5" i="4"/>
  <c r="V5" i="4"/>
  <c r="X5" i="4"/>
  <c r="Y5" i="4"/>
  <c r="Z5" i="4"/>
  <c r="AB5" i="4"/>
  <c r="AC5" i="4"/>
  <c r="AE5" i="4"/>
  <c r="AF5" i="4"/>
  <c r="AG5" i="4"/>
  <c r="AH5" i="4"/>
  <c r="AI5" i="4"/>
  <c r="AJ5" i="4"/>
  <c r="AK5" i="4"/>
  <c r="AM5" i="4"/>
  <c r="AN5" i="4"/>
  <c r="AO5" i="4"/>
  <c r="AP5" i="4"/>
  <c r="AQ5" i="4"/>
  <c r="AR5" i="4"/>
  <c r="AT5" i="4"/>
  <c r="AU5" i="4"/>
  <c r="AW5" i="4"/>
  <c r="AX5" i="4"/>
  <c r="AZ5" i="4"/>
  <c r="BA5" i="4"/>
  <c r="BC5" i="4"/>
  <c r="BD5" i="4"/>
  <c r="BE5" i="4"/>
  <c r="BF5" i="4"/>
  <c r="BG5" i="4"/>
  <c r="BH5" i="4"/>
  <c r="BJ5" i="4"/>
  <c r="BK5" i="4"/>
  <c r="BL5" i="4"/>
  <c r="BM5" i="4"/>
  <c r="BN5" i="4"/>
  <c r="BO5" i="4"/>
  <c r="BQ5" i="4"/>
  <c r="BR5" i="4"/>
  <c r="BS5" i="4"/>
  <c r="BT5" i="4"/>
  <c r="BU5" i="4"/>
  <c r="BV5" i="4"/>
  <c r="BW5" i="4"/>
  <c r="BX5" i="4"/>
  <c r="BY5" i="4"/>
  <c r="BZ5" i="4"/>
  <c r="CB5" i="4"/>
  <c r="CC5" i="4"/>
  <c r="CD5" i="4"/>
  <c r="CE5" i="4"/>
  <c r="CF5" i="4"/>
  <c r="CG5" i="4"/>
  <c r="CI5" i="4"/>
  <c r="CJ5" i="4"/>
  <c r="CK5" i="4"/>
  <c r="CL5" i="4"/>
  <c r="CM5" i="4"/>
  <c r="CN5" i="4"/>
  <c r="CP5" i="4"/>
  <c r="CQ5" i="4"/>
  <c r="CR5" i="4"/>
  <c r="CS5" i="4"/>
  <c r="CT5" i="4"/>
  <c r="CU5" i="4"/>
  <c r="CW5" i="4"/>
  <c r="CX5" i="4"/>
  <c r="CY5" i="4"/>
  <c r="CZ5" i="4"/>
  <c r="DB5" i="4"/>
  <c r="DC5" i="4"/>
  <c r="DD5" i="4"/>
  <c r="DE5" i="4"/>
  <c r="DF5" i="4"/>
  <c r="DG5" i="4"/>
  <c r="DH5" i="4"/>
  <c r="DI5" i="4"/>
  <c r="DJ5" i="4"/>
  <c r="DL5" i="4"/>
  <c r="DM5" i="4"/>
  <c r="DO5" i="4"/>
  <c r="DP5" i="4"/>
  <c r="DQ5" i="4"/>
  <c r="DR5" i="4"/>
  <c r="DS5" i="4"/>
  <c r="DT5" i="4"/>
  <c r="DU5" i="4"/>
  <c r="DW5" i="4"/>
  <c r="DX5" i="4"/>
  <c r="DY5" i="4"/>
  <c r="DZ5" i="4"/>
  <c r="EA5" i="4"/>
  <c r="EC5" i="4"/>
  <c r="ED5" i="4"/>
  <c r="EE5" i="4"/>
  <c r="EF5" i="4"/>
  <c r="EG5" i="4"/>
  <c r="EH5" i="4"/>
  <c r="EI5" i="4"/>
  <c r="EK5" i="4"/>
  <c r="EL5" i="4"/>
  <c r="EM5" i="4"/>
  <c r="EN5" i="4"/>
  <c r="EP5" i="4"/>
  <c r="EQ5" i="4"/>
  <c r="ES5" i="4"/>
  <c r="ET5" i="4"/>
  <c r="EV5" i="4"/>
  <c r="EW5" i="4"/>
  <c r="EY5" i="4"/>
  <c r="EZ5" i="4"/>
  <c r="FA5" i="4"/>
  <c r="FB5" i="4"/>
  <c r="FC5" i="4"/>
  <c r="FE5" i="4"/>
  <c r="FF5" i="4"/>
  <c r="FG5" i="4"/>
  <c r="FH5" i="4"/>
  <c r="FI5" i="4"/>
  <c r="FJ5" i="4"/>
  <c r="FK5" i="4"/>
  <c r="FM5" i="4"/>
  <c r="FN5" i="4"/>
  <c r="FO5" i="4"/>
  <c r="FP5" i="4"/>
  <c r="FQ5" i="4"/>
  <c r="FR5" i="4"/>
  <c r="FS5" i="4"/>
  <c r="FT5" i="4"/>
  <c r="FV5" i="4"/>
  <c r="FW5" i="4"/>
  <c r="FX5" i="4"/>
  <c r="FZ5" i="4"/>
  <c r="GA5" i="4"/>
  <c r="GB5" i="4"/>
  <c r="GD5" i="4"/>
  <c r="GE5" i="4"/>
  <c r="GF5" i="4"/>
  <c r="GG5" i="4"/>
  <c r="GH5" i="4"/>
  <c r="GI5" i="4"/>
  <c r="GJ5" i="4"/>
  <c r="GK5" i="4"/>
  <c r="GM5" i="4"/>
  <c r="GN5" i="4"/>
  <c r="GP5" i="4"/>
  <c r="GQ5" i="4"/>
  <c r="GS5" i="4"/>
  <c r="GT5" i="4"/>
  <c r="GU5" i="4"/>
  <c r="GV5" i="4"/>
  <c r="GW5" i="4"/>
  <c r="GX5" i="4"/>
  <c r="GZ5" i="4"/>
  <c r="HA5" i="4"/>
  <c r="HB5" i="4"/>
  <c r="HC5" i="4"/>
  <c r="HD5" i="4"/>
  <c r="HF5" i="4"/>
  <c r="HG5" i="4"/>
  <c r="HH5" i="4"/>
  <c r="HI5" i="4"/>
  <c r="HJ5" i="4"/>
  <c r="HL5" i="4"/>
  <c r="HM5" i="4"/>
  <c r="HO5" i="4"/>
  <c r="HP5" i="4"/>
  <c r="HR5" i="4"/>
  <c r="HS5" i="4"/>
  <c r="HT5" i="4"/>
  <c r="HU5" i="4"/>
  <c r="HW5" i="4"/>
  <c r="HX5" i="4"/>
  <c r="HY5" i="4"/>
  <c r="HZ5" i="4"/>
  <c r="IB5" i="4"/>
  <c r="IC5" i="4"/>
  <c r="ID5" i="4"/>
  <c r="IE5" i="4"/>
  <c r="IF5" i="4"/>
  <c r="IH5" i="4"/>
  <c r="II5" i="4"/>
  <c r="IJ5" i="4"/>
  <c r="IK5" i="4"/>
  <c r="IM5" i="4"/>
  <c r="IN5" i="4"/>
  <c r="IP5" i="4"/>
  <c r="IQ5" i="4"/>
  <c r="IS5" i="4"/>
  <c r="IT5" i="4"/>
  <c r="IV5" i="4"/>
  <c r="F6" i="4"/>
  <c r="G6" i="4"/>
  <c r="H6" i="4"/>
  <c r="I6" i="4"/>
  <c r="K6" i="4"/>
  <c r="L6" i="4"/>
  <c r="M6" i="4"/>
  <c r="N6" i="4"/>
  <c r="O6" i="4"/>
  <c r="P6" i="4"/>
  <c r="Q6" i="4"/>
  <c r="S6" i="4"/>
  <c r="T6" i="4"/>
  <c r="V6" i="4"/>
  <c r="W6" i="4"/>
  <c r="Y6" i="4"/>
  <c r="Z6" i="4"/>
  <c r="AB6" i="4"/>
  <c r="AC6" i="4"/>
  <c r="AD6" i="4"/>
  <c r="AE6" i="4"/>
  <c r="AF6" i="4"/>
  <c r="AG6" i="4"/>
  <c r="AH6" i="4"/>
  <c r="AI6" i="4"/>
  <c r="AJ6" i="4"/>
  <c r="AK6" i="4"/>
  <c r="AL6" i="4"/>
  <c r="AM6" i="4"/>
  <c r="AO6" i="4"/>
  <c r="AP6" i="4"/>
  <c r="AQ6" i="4"/>
  <c r="AR6" i="4"/>
  <c r="AS6" i="4"/>
  <c r="AT6" i="4"/>
  <c r="AV6" i="4"/>
  <c r="AW6" i="4"/>
  <c r="AX6" i="4"/>
  <c r="AY6" i="4"/>
  <c r="AZ6" i="4"/>
  <c r="BB6" i="4"/>
  <c r="BC6" i="4"/>
  <c r="BD6" i="4"/>
  <c r="BE6" i="4"/>
  <c r="BF6" i="4"/>
  <c r="BH6" i="4"/>
  <c r="BI6" i="4"/>
  <c r="BJ6" i="4"/>
  <c r="BK6" i="4"/>
  <c r="BL6" i="4"/>
  <c r="BN6" i="4"/>
  <c r="BO6" i="4"/>
  <c r="BP6" i="4"/>
  <c r="BQ6" i="4"/>
  <c r="BR6" i="4"/>
  <c r="BT6" i="4"/>
  <c r="BU6" i="4"/>
  <c r="BV6" i="4"/>
  <c r="BW6" i="4"/>
  <c r="BX6" i="4"/>
  <c r="BZ6" i="4"/>
  <c r="CA6" i="4"/>
  <c r="CB6" i="4"/>
  <c r="CC6" i="4"/>
  <c r="CD6" i="4"/>
  <c r="CF6" i="4"/>
  <c r="CG6" i="4"/>
  <c r="CH6" i="4"/>
  <c r="CI6" i="4"/>
  <c r="CJ6" i="4"/>
  <c r="CK6" i="4"/>
  <c r="CM6" i="4"/>
  <c r="CN6" i="4"/>
  <c r="CO6" i="4"/>
  <c r="CP6" i="4"/>
  <c r="CQ6" i="4"/>
  <c r="CS6" i="4"/>
  <c r="CT6" i="4"/>
  <c r="CU6" i="4"/>
  <c r="CV6" i="4"/>
  <c r="CW6" i="4"/>
  <c r="CY6" i="4"/>
  <c r="CZ6" i="4"/>
  <c r="DA6" i="4"/>
  <c r="DB6" i="4"/>
  <c r="DC6" i="4"/>
  <c r="DE6" i="4"/>
  <c r="DF6" i="4"/>
  <c r="DG6" i="4"/>
  <c r="DH6" i="4"/>
  <c r="DI6" i="4"/>
  <c r="DK6" i="4"/>
  <c r="DL6" i="4"/>
  <c r="DM6" i="4"/>
  <c r="DN6" i="4"/>
  <c r="DO6" i="4"/>
  <c r="DQ6" i="4"/>
  <c r="DR6" i="4"/>
  <c r="DS6" i="4"/>
  <c r="DT6" i="4"/>
  <c r="DU6" i="4"/>
  <c r="DW6" i="4"/>
  <c r="DX6" i="4"/>
  <c r="DZ6" i="4"/>
  <c r="EA6" i="4"/>
  <c r="EC6" i="4"/>
  <c r="ED6" i="4"/>
  <c r="EF6" i="4"/>
  <c r="EG6" i="4"/>
  <c r="EI6" i="4"/>
  <c r="EJ6" i="4"/>
  <c r="EL6" i="4"/>
  <c r="EM6" i="4"/>
  <c r="EO6" i="4"/>
  <c r="EP6" i="4"/>
  <c r="ER6" i="4"/>
  <c r="ES6" i="4"/>
  <c r="EU6" i="4"/>
  <c r="EV6" i="4"/>
  <c r="EX6" i="4"/>
  <c r="EY6" i="4"/>
  <c r="EZ6" i="4"/>
  <c r="FA6" i="4"/>
  <c r="FB6" i="4"/>
  <c r="FD6" i="4"/>
  <c r="FE6" i="4"/>
  <c r="FG6" i="4"/>
  <c r="FH6" i="4"/>
  <c r="FJ6" i="4"/>
  <c r="FK6" i="4"/>
  <c r="FM6" i="4"/>
  <c r="FN6" i="4"/>
  <c r="FP6" i="4"/>
  <c r="FQ6" i="4"/>
  <c r="FR6" i="4"/>
  <c r="FS6" i="4"/>
  <c r="FT6" i="4"/>
  <c r="FV6" i="4"/>
  <c r="FW6" i="4"/>
  <c r="FY6" i="4"/>
  <c r="FZ6" i="4"/>
  <c r="GB6" i="4"/>
  <c r="GC6" i="4"/>
  <c r="GE6" i="4"/>
  <c r="GF6" i="4"/>
  <c r="GH6" i="4"/>
  <c r="GI6" i="4"/>
  <c r="GJ6" i="4"/>
  <c r="GK6" i="4"/>
  <c r="GL6" i="4"/>
  <c r="GN6" i="4"/>
  <c r="GO6" i="4"/>
  <c r="GQ6" i="4"/>
  <c r="GR6" i="4"/>
  <c r="GS6" i="4"/>
  <c r="GT6" i="4"/>
  <c r="GV6" i="4"/>
  <c r="GW6" i="4"/>
  <c r="GX6" i="4"/>
  <c r="GZ6" i="4"/>
  <c r="HA6" i="4"/>
  <c r="HC6" i="4"/>
  <c r="HD6" i="4"/>
  <c r="HF6" i="4"/>
  <c r="HG6" i="4"/>
  <c r="HH6" i="4"/>
  <c r="HI6" i="4"/>
  <c r="HJ6" i="4"/>
  <c r="HK6" i="4"/>
  <c r="HM6" i="4"/>
  <c r="HN6" i="4"/>
  <c r="HP6" i="4"/>
  <c r="HQ6" i="4"/>
  <c r="HS6" i="4"/>
  <c r="HT6" i="4"/>
  <c r="HV6" i="4"/>
  <c r="HW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D2" i="1"/>
  <c r="CJ3" i="4" s="1"/>
  <c r="D3" i="1"/>
  <c r="CR3" i="4" s="1"/>
  <c r="D4" i="1"/>
  <c r="CZ3" i="4" s="1"/>
  <c r="D5" i="1"/>
  <c r="DH3" i="4" s="1"/>
  <c r="D7" i="1"/>
  <c r="DS3" i="4" s="1"/>
  <c r="D9" i="1"/>
  <c r="EI3" i="4" s="1"/>
  <c r="D10" i="1"/>
  <c r="EQ3" i="4" s="1"/>
  <c r="D11" i="1"/>
  <c r="EY3" i="4" s="1"/>
  <c r="D12" i="1"/>
  <c r="FG3" i="4" s="1"/>
  <c r="D13" i="1"/>
  <c r="FO3" i="4" s="1"/>
  <c r="D14" i="1"/>
  <c r="FV3" i="4" s="1"/>
  <c r="D15" i="1"/>
  <c r="GC3" i="4" s="1"/>
  <c r="D16" i="1"/>
  <c r="GI3" i="4" s="1"/>
  <c r="D17" i="1"/>
  <c r="GL3" i="4" s="1"/>
  <c r="D18" i="1"/>
  <c r="GO3" i="4" s="1"/>
  <c r="D19" i="1"/>
  <c r="GU3" i="4" s="1"/>
  <c r="D20" i="1"/>
  <c r="HE3" i="4" s="1"/>
  <c r="D21" i="1"/>
  <c r="HL3" i="4" s="1"/>
  <c r="D22" i="1"/>
  <c r="HO3" i="4" s="1"/>
  <c r="D23" i="1"/>
  <c r="HR3" i="4" s="1"/>
  <c r="D24" i="1"/>
  <c r="HZ3" i="4" s="1"/>
  <c r="D25" i="1"/>
  <c r="IH3" i="4" s="1"/>
  <c r="D26" i="1"/>
  <c r="IP3" i="4" s="1"/>
  <c r="D27" i="1"/>
  <c r="G4" i="4" s="1"/>
  <c r="D28" i="1"/>
  <c r="O4" i="4" s="1"/>
  <c r="D29" i="1"/>
  <c r="W4" i="4" s="1"/>
  <c r="D30" i="1"/>
  <c r="AE4" i="4" s="1"/>
  <c r="D31" i="1"/>
  <c r="AM4" i="4" s="1"/>
  <c r="D32" i="1"/>
  <c r="AT4" i="4" s="1"/>
  <c r="BA4" i="4"/>
  <c r="D34" i="1"/>
  <c r="BH4" i="4" s="1"/>
  <c r="D35" i="1"/>
  <c r="BK4" i="4" s="1"/>
  <c r="D36" i="1"/>
  <c r="BO4" i="4" s="1"/>
  <c r="D37" i="1"/>
  <c r="BW4" i="4" s="1"/>
  <c r="D38" i="1"/>
  <c r="CE4" i="4" s="1"/>
  <c r="D39" i="1"/>
  <c r="CL4" i="4" s="1"/>
  <c r="D40" i="1"/>
  <c r="CQ4" i="4" s="1"/>
  <c r="D41" i="1"/>
  <c r="CT4" i="4" s="1"/>
  <c r="D42" i="1"/>
  <c r="CW4" i="4" s="1"/>
  <c r="D43" i="1"/>
  <c r="DD4" i="4" s="1"/>
  <c r="D44" i="1"/>
  <c r="DK4" i="4" s="1"/>
  <c r="D45" i="1"/>
  <c r="DR4" i="4" s="1"/>
  <c r="D46" i="1"/>
  <c r="DY4" i="4" s="1"/>
  <c r="D47" i="1"/>
  <c r="EF4" i="4" s="1"/>
  <c r="D48" i="1"/>
  <c r="EM4" i="4" s="1"/>
  <c r="D49" i="1"/>
  <c r="EP4" i="4" s="1"/>
  <c r="D50" i="1"/>
  <c r="ES4" i="4" s="1"/>
  <c r="D51" i="1"/>
  <c r="EV4" i="4" s="1"/>
  <c r="D52" i="1"/>
  <c r="EY4" i="4" s="1"/>
  <c r="D53" i="1"/>
  <c r="FB4" i="4" s="1"/>
  <c r="D54" i="1"/>
  <c r="FE4" i="4" s="1"/>
  <c r="D55" i="1"/>
  <c r="FK4" i="4" s="1"/>
  <c r="D56" i="1"/>
  <c r="FQ4" i="4" s="1"/>
  <c r="D57" i="1"/>
  <c r="FT4" i="4" s="1"/>
  <c r="D58" i="1"/>
  <c r="FW4" i="4" s="1"/>
  <c r="D59" i="1"/>
  <c r="FZ4" i="4" s="1"/>
  <c r="D60" i="1"/>
  <c r="GF4" i="4" s="1"/>
  <c r="D61" i="1"/>
  <c r="GI4" i="4" s="1"/>
  <c r="D62" i="1"/>
  <c r="GL4" i="4" s="1"/>
  <c r="D63" i="1"/>
  <c r="GO4" i="4" s="1"/>
  <c r="D64" i="1"/>
  <c r="GR4" i="4" s="1"/>
  <c r="D65" i="1"/>
  <c r="GU4" i="4" s="1"/>
  <c r="D66" i="1"/>
  <c r="GX4" i="4" s="1"/>
  <c r="D67" i="1"/>
  <c r="HA4" i="4" s="1"/>
  <c r="D68" i="1"/>
  <c r="HD4" i="4" s="1"/>
  <c r="D69" i="1"/>
  <c r="HG4" i="4" s="1"/>
  <c r="D70" i="1"/>
  <c r="HJ4" i="4" s="1"/>
  <c r="D71" i="1"/>
  <c r="HR4" i="4" s="1"/>
  <c r="D72" i="1"/>
  <c r="HU4" i="4" s="1"/>
  <c r="D73" i="1"/>
  <c r="IB4" i="4" s="1"/>
  <c r="D74" i="1"/>
  <c r="II4" i="4" s="1"/>
  <c r="D75" i="1"/>
  <c r="IP4" i="4" s="1"/>
  <c r="D76" i="1"/>
  <c r="IV4" i="4" s="1"/>
  <c r="D77" i="1"/>
  <c r="K5" i="4" s="1"/>
  <c r="D78" i="1"/>
  <c r="Q5" i="4" s="1"/>
  <c r="D79" i="1"/>
  <c r="W5" i="4" s="1"/>
  <c r="D80" i="1"/>
  <c r="AA5" i="4" s="1"/>
  <c r="D81" i="1"/>
  <c r="AD5" i="4" s="1"/>
  <c r="D82" i="1"/>
  <c r="AL5" i="4" s="1"/>
  <c r="D83" i="1"/>
  <c r="AS5" i="4" s="1"/>
  <c r="D84" i="1"/>
  <c r="AV5" i="4" s="1"/>
  <c r="D85" i="1"/>
  <c r="AY5" i="4" s="1"/>
  <c r="D86" i="1"/>
  <c r="BB5" i="4" s="1"/>
  <c r="D87" i="1"/>
  <c r="BI5" i="4" s="1"/>
  <c r="D88" i="1"/>
  <c r="BP5" i="4" s="1"/>
  <c r="D89" i="1"/>
  <c r="CA5" i="4" s="1"/>
  <c r="D90" i="1"/>
  <c r="CH5" i="4" s="1"/>
  <c r="D91" i="1"/>
  <c r="CO5" i="4" s="1"/>
  <c r="D92" i="1"/>
  <c r="CV5" i="4" s="1"/>
  <c r="D93" i="1"/>
  <c r="DA5" i="4" s="1"/>
  <c r="D94" i="1"/>
  <c r="DK5" i="4" s="1"/>
  <c r="D95" i="1"/>
  <c r="DN5" i="4" s="1"/>
  <c r="D96" i="1"/>
  <c r="DV5" i="4" s="1"/>
  <c r="D97" i="1"/>
  <c r="EB5" i="4" s="1"/>
  <c r="D98" i="1"/>
  <c r="EJ5" i="4" s="1"/>
  <c r="D99" i="1"/>
  <c r="EO5" i="4" s="1"/>
  <c r="D100" i="1"/>
  <c r="ER5" i="4" s="1"/>
  <c r="D101" i="1"/>
  <c r="EU5" i="4" s="1"/>
  <c r="D102" i="1"/>
  <c r="EX5" i="4" s="1"/>
  <c r="D103" i="1"/>
  <c r="FD5" i="4" s="1"/>
  <c r="D104" i="1"/>
  <c r="FL5" i="4" s="1"/>
  <c r="D105" i="1"/>
  <c r="FU5" i="4" s="1"/>
  <c r="D106" i="1"/>
  <c r="FY5" i="4" s="1"/>
  <c r="D107" i="1"/>
  <c r="GC5" i="4" s="1"/>
  <c r="D108" i="1"/>
  <c r="GL5" i="4" s="1"/>
  <c r="D109" i="1"/>
  <c r="GO5" i="4" s="1"/>
  <c r="D110" i="1"/>
  <c r="GR5" i="4" s="1"/>
  <c r="D111" i="1"/>
  <c r="GY5" i="4" s="1"/>
  <c r="D112" i="1"/>
  <c r="HE5" i="4" s="1"/>
  <c r="D113" i="1"/>
  <c r="HK5" i="4" s="1"/>
  <c r="D114" i="1"/>
  <c r="HN5" i="4" s="1"/>
  <c r="D115" i="1"/>
  <c r="HQ5" i="4" s="1"/>
  <c r="D116" i="1"/>
  <c r="HV5" i="4" s="1"/>
  <c r="D117" i="1"/>
  <c r="IA5" i="4" s="1"/>
  <c r="D118" i="1"/>
  <c r="IG5" i="4" s="1"/>
  <c r="D119" i="1"/>
  <c r="IL5" i="4" s="1"/>
  <c r="D120" i="1"/>
  <c r="IO5" i="4" s="1"/>
  <c r="D121" i="1"/>
  <c r="IR5" i="4" s="1"/>
  <c r="D122" i="1"/>
  <c r="IU5" i="4" s="1"/>
  <c r="D123" i="1"/>
  <c r="J6" i="4" s="1"/>
  <c r="D124" i="1"/>
  <c r="R6" i="4" s="1"/>
  <c r="D125" i="1"/>
  <c r="U6" i="4" s="1"/>
  <c r="D126" i="1"/>
  <c r="X6" i="4" s="1"/>
  <c r="D127" i="1"/>
  <c r="AA6" i="4" s="1"/>
  <c r="D128" i="1"/>
  <c r="AN6" i="4" s="1"/>
  <c r="D129" i="1"/>
  <c r="AU6" i="4" s="1"/>
  <c r="D130" i="1"/>
  <c r="BA6" i="4" s="1"/>
  <c r="D131" i="1"/>
  <c r="BG6" i="4" s="1"/>
  <c r="D132" i="1"/>
  <c r="BM6" i="4" s="1"/>
  <c r="D133" i="1"/>
  <c r="BS6" i="4" s="1"/>
  <c r="D134" i="1"/>
  <c r="BY6" i="4" s="1"/>
  <c r="D135" i="1"/>
  <c r="CE6" i="4" s="1"/>
  <c r="D136" i="1"/>
  <c r="CL6" i="4" s="1"/>
  <c r="D137" i="1"/>
  <c r="CR6" i="4" s="1"/>
  <c r="D138" i="1"/>
  <c r="CX6" i="4" s="1"/>
  <c r="D139" i="1"/>
  <c r="DD6" i="4" s="1"/>
  <c r="D140" i="1"/>
  <c r="DJ6" i="4" s="1"/>
  <c r="D141" i="1"/>
  <c r="DP6" i="4" s="1"/>
  <c r="D142" i="1"/>
  <c r="DV6" i="4" s="1"/>
  <c r="D143" i="1"/>
  <c r="DY6" i="4" s="1"/>
  <c r="D144" i="1"/>
  <c r="EB6" i="4" s="1"/>
  <c r="D145" i="1"/>
  <c r="EE6" i="4" s="1"/>
  <c r="D146" i="1"/>
  <c r="EH6" i="4" s="1"/>
  <c r="D147" i="1"/>
  <c r="EK6" i="4" s="1"/>
  <c r="D148" i="1"/>
  <c r="EN6" i="4" s="1"/>
  <c r="D149" i="1"/>
  <c r="EQ6" i="4" s="1"/>
  <c r="D150" i="1"/>
  <c r="ET6" i="4" s="1"/>
  <c r="D151" i="1"/>
  <c r="EW6" i="4" s="1"/>
  <c r="D152" i="1"/>
  <c r="FC6" i="4" s="1"/>
  <c r="D153" i="1"/>
  <c r="FF6" i="4" s="1"/>
  <c r="D154" i="1"/>
  <c r="FI6" i="4" s="1"/>
  <c r="D155" i="1"/>
  <c r="FL6" i="4" s="1"/>
  <c r="D156" i="1"/>
  <c r="FO6" i="4" s="1"/>
  <c r="D157" i="1"/>
  <c r="FU6" i="4" s="1"/>
  <c r="D158" i="1"/>
  <c r="FX6" i="4" s="1"/>
  <c r="D159" i="1"/>
  <c r="GA6" i="4" s="1"/>
  <c r="D160" i="1"/>
  <c r="GD6" i="4" s="1"/>
  <c r="D161" i="1"/>
  <c r="GG6" i="4" s="1"/>
  <c r="D162" i="1"/>
  <c r="GM6" i="4" s="1"/>
  <c r="D163" i="1"/>
  <c r="GP6" i="4" s="1"/>
  <c r="D164" i="1"/>
  <c r="GU6" i="4" s="1"/>
  <c r="D165" i="1"/>
  <c r="GY6" i="4" s="1"/>
  <c r="D166" i="1"/>
  <c r="HB6" i="4" s="1"/>
  <c r="D167" i="1"/>
  <c r="HE6" i="4" s="1"/>
  <c r="D168" i="1"/>
  <c r="HL6" i="4" s="1"/>
  <c r="D169" i="1"/>
  <c r="HO6" i="4" s="1"/>
  <c r="D170" i="1"/>
  <c r="HR6" i="4" s="1"/>
  <c r="D171" i="1"/>
  <c r="HU6" i="4" s="1"/>
  <c r="D172" i="1"/>
  <c r="HX6" i="4" s="1"/>
</calcChain>
</file>

<file path=xl/sharedStrings.xml><?xml version="1.0" encoding="utf-8"?>
<sst xmlns="http://schemas.openxmlformats.org/spreadsheetml/2006/main" count="2570" uniqueCount="1449">
  <si>
    <t>Code</t>
  </si>
  <si>
    <t>Country</t>
  </si>
  <si>
    <t>City</t>
  </si>
  <si>
    <t>Site</t>
  </si>
  <si>
    <t>Street Address</t>
  </si>
  <si>
    <t>Zip Code</t>
  </si>
  <si>
    <t>0</t>
  </si>
  <si>
    <t>Global Code</t>
  </si>
  <si>
    <t>1</t>
  </si>
  <si>
    <t>Virtual Code</t>
  </si>
  <si>
    <t>2</t>
  </si>
  <si>
    <t xml:space="preserve">USA </t>
  </si>
  <si>
    <t>Morgantown</t>
  </si>
  <si>
    <t>6000 Hampton Center</t>
  </si>
  <si>
    <t>Stewartstown Road</t>
  </si>
  <si>
    <t>3</t>
  </si>
  <si>
    <t>USA</t>
  </si>
  <si>
    <t>Green Bag Road</t>
  </si>
  <si>
    <t>4</t>
  </si>
  <si>
    <t>04</t>
  </si>
  <si>
    <t>Metro Warehouse</t>
  </si>
  <si>
    <t>201 North Metro Drive Morgantown WV 26501</t>
  </si>
  <si>
    <t>5</t>
  </si>
  <si>
    <t>Suburban Court</t>
  </si>
  <si>
    <t>781 Chestnut Ridge Rd.</t>
  </si>
  <si>
    <t>6</t>
  </si>
  <si>
    <t>Hart Field</t>
  </si>
  <si>
    <t>200 Hart Field</t>
  </si>
  <si>
    <t>7</t>
  </si>
  <si>
    <t>Collins Ferry</t>
  </si>
  <si>
    <t>3711 Collins Ferry Rd.</t>
  </si>
  <si>
    <t>8</t>
  </si>
  <si>
    <t>East Office Building</t>
  </si>
  <si>
    <t>9</t>
  </si>
  <si>
    <t>Chestnut Ridge</t>
  </si>
  <si>
    <t>A</t>
  </si>
  <si>
    <t>North Expansion</t>
  </si>
  <si>
    <t>B</t>
  </si>
  <si>
    <t>Global Data Center</t>
  </si>
  <si>
    <t>21721 Filigree Court, Ashburn, VA</t>
  </si>
  <si>
    <t>C</t>
  </si>
  <si>
    <t>New York City</t>
  </si>
  <si>
    <t>Chrysler Building</t>
  </si>
  <si>
    <t>405 Lexington Ave., 52nd Floor, New York, NY</t>
  </si>
  <si>
    <t>D</t>
  </si>
  <si>
    <t>Chester</t>
  </si>
  <si>
    <t>Chester Office</t>
  </si>
  <si>
    <t>E</t>
  </si>
  <si>
    <t>New York</t>
  </si>
  <si>
    <t>New York-Office-Hudson Yard</t>
  </si>
  <si>
    <t>507 W 33rd St, New York</t>
  </si>
  <si>
    <t>F</t>
  </si>
  <si>
    <t>Bridgewater</t>
  </si>
  <si>
    <t>New Jersey Office</t>
  </si>
  <si>
    <t>Bridgewater Crossings 400 Crossing Blvd. 6th Floor Bridgewater NJ</t>
  </si>
  <si>
    <t>08807</t>
  </si>
  <si>
    <t>G</t>
  </si>
  <si>
    <t>Houston</t>
  </si>
  <si>
    <t>Sugarland Warehouse</t>
  </si>
  <si>
    <t>H</t>
  </si>
  <si>
    <t>Sugarland</t>
  </si>
  <si>
    <t>12720 Dairy Ashford Rd, Sugar Land,Texas</t>
  </si>
  <si>
    <t>77478-2844</t>
  </si>
  <si>
    <t>J</t>
  </si>
  <si>
    <t>Bernards Township</t>
  </si>
  <si>
    <t>Dey, L.P.</t>
  </si>
  <si>
    <t>K</t>
  </si>
  <si>
    <t>Hallandale Beach</t>
  </si>
  <si>
    <t>Hallandale Beach-Office-S</t>
  </si>
  <si>
    <t xml:space="preserve">1010 S Federal Hwy, Hallandale Beach, FL </t>
  </si>
  <si>
    <t>L</t>
  </si>
  <si>
    <t>M</t>
  </si>
  <si>
    <t>Washington DC</t>
  </si>
  <si>
    <t>Washington</t>
  </si>
  <si>
    <t>660 North Capitol Street NW Suite 600 Washington, DC</t>
  </si>
  <si>
    <t>N</t>
  </si>
  <si>
    <t>Vermont</t>
  </si>
  <si>
    <t>St Albans</t>
  </si>
  <si>
    <t>110 Lake St.</t>
  </si>
  <si>
    <t>05478</t>
  </si>
  <si>
    <t>O</t>
  </si>
  <si>
    <t>Swanton</t>
  </si>
  <si>
    <t>25 Jonergin Dr.</t>
  </si>
  <si>
    <t>05488</t>
  </si>
  <si>
    <t>P</t>
  </si>
  <si>
    <t>Puerto Rico</t>
  </si>
  <si>
    <t>Caguas</t>
  </si>
  <si>
    <t>Lot 24, Caguas W Industrial Park, Rt 156</t>
  </si>
  <si>
    <t>00725</t>
  </si>
  <si>
    <t>Q</t>
  </si>
  <si>
    <t>Cidra</t>
  </si>
  <si>
    <t>Road#172, Room 134 El Jibaro Industrial Park Cidra Puerto Rico 00739</t>
  </si>
  <si>
    <t>00739</t>
  </si>
  <si>
    <t>R</t>
  </si>
  <si>
    <t>Canonsburg</t>
  </si>
  <si>
    <t>SouthPointe</t>
  </si>
  <si>
    <t>1000 Mylan Blvd. Canonsburg, PA</t>
  </si>
  <si>
    <t>15317</t>
  </si>
  <si>
    <t>S</t>
  </si>
  <si>
    <t>Greensboro</t>
  </si>
  <si>
    <t>2898 Manfacturers Rd.</t>
  </si>
  <si>
    <t>27406</t>
  </si>
  <si>
    <t>T</t>
  </si>
  <si>
    <t>Rockford</t>
  </si>
  <si>
    <t>Hiawatha Drive</t>
  </si>
  <si>
    <t>4951 Hiawatha Dr,</t>
  </si>
  <si>
    <t>61103</t>
  </si>
  <si>
    <t>U</t>
  </si>
  <si>
    <t>Northrock Court</t>
  </si>
  <si>
    <t>1718 Northrock Ct.</t>
  </si>
  <si>
    <t>V</t>
  </si>
  <si>
    <t>Moon Township</t>
  </si>
  <si>
    <t>MPAIR Pittsburgh PA</t>
  </si>
  <si>
    <t>300 Horizon Drive Moon Township, PA 15108</t>
  </si>
  <si>
    <t>W</t>
  </si>
  <si>
    <t>St Albans, Industrial Park</t>
  </si>
  <si>
    <t>700 Industrial Park Drive St Albans VT 05478</t>
  </si>
  <si>
    <t>X</t>
  </si>
  <si>
    <t>Y</t>
  </si>
  <si>
    <t>San Carlos</t>
  </si>
  <si>
    <t>150 Industrial Rd, San Carlos, California 94070</t>
  </si>
  <si>
    <t>Z</t>
  </si>
  <si>
    <t>Napa Valley</t>
  </si>
  <si>
    <t>2751 Napa Valley Corporate Drive</t>
  </si>
  <si>
    <t>Allen TX</t>
  </si>
  <si>
    <t>07004-2105</t>
  </si>
  <si>
    <t>Dey Sales Force</t>
  </si>
  <si>
    <t>Virtual Server Farm</t>
  </si>
  <si>
    <t>Virtual Machines</t>
  </si>
  <si>
    <t>France</t>
  </si>
  <si>
    <t xml:space="preserve">France </t>
  </si>
  <si>
    <t>Power 5 LPAR  Farm</t>
  </si>
  <si>
    <t>LPAR</t>
  </si>
  <si>
    <t>Power Blade Farm</t>
  </si>
  <si>
    <t xml:space="preserve">Morgantown </t>
  </si>
  <si>
    <t>Power 6 Farm</t>
  </si>
  <si>
    <t xml:space="preserve">Chicago </t>
  </si>
  <si>
    <t xml:space="preserve">Bioniche </t>
  </si>
  <si>
    <t>Texas</t>
  </si>
  <si>
    <t>DPT Labs HQ</t>
  </si>
  <si>
    <t>318 McCullough Avenue San Antonio, TX 78215</t>
  </si>
  <si>
    <t>DPT Josephine Plant</t>
  </si>
  <si>
    <t>307 E. Josephine Street San Antonio, TX 78215</t>
  </si>
  <si>
    <t>DPT Science Building</t>
  </si>
  <si>
    <t>200 E. Josephine Street San Antonio, TX 78215</t>
  </si>
  <si>
    <t>DPT Aerosol Plant</t>
  </si>
  <si>
    <t>5303 Distribution San Antonio, TX 78218</t>
  </si>
  <si>
    <t>DPT Brooks (DC and R&amp;D)</t>
  </si>
  <si>
    <t>3300 Research Plaza Brooks City-Base, TX 78235</t>
  </si>
  <si>
    <t>Canada</t>
  </si>
  <si>
    <t>Quebec</t>
  </si>
  <si>
    <t>Mylan ConFab</t>
  </si>
  <si>
    <t>Laboratoires Confab Inc. 4355 Sir Wilfrid Laurier St-Hubert, Quebec, Canada J3Y3X3</t>
  </si>
  <si>
    <t>Austria</t>
  </si>
  <si>
    <t>Vienna</t>
  </si>
  <si>
    <t xml:space="preserve">Arcana Arzneimittel GmbH </t>
  </si>
  <si>
    <t>Zimbagasse 5, 1147 Wien</t>
  </si>
  <si>
    <t>Australia</t>
  </si>
  <si>
    <t>Sydney</t>
  </si>
  <si>
    <t>Alphapharm Pty Limited</t>
  </si>
  <si>
    <t>Level 1, 30 the Bond, 30 Hickson Road, Millers Point NSW 2000</t>
  </si>
  <si>
    <t>Brisbane</t>
  </si>
  <si>
    <t>15 Garnet Street, Carole Park, QLD 4300</t>
  </si>
  <si>
    <t>Singapore</t>
  </si>
  <si>
    <t>Taiwan</t>
  </si>
  <si>
    <t>Belgium</t>
  </si>
  <si>
    <t>Hoeilaart</t>
  </si>
  <si>
    <t>Mylan bvba/sprl</t>
  </si>
  <si>
    <t xml:space="preserve">Park Rozendal, Terhulpsesteeweg 6A, B-1560 Hoeilaart </t>
  </si>
  <si>
    <t>Heverlee</t>
  </si>
  <si>
    <t>Docpharma</t>
  </si>
  <si>
    <t>Interleuvenlaan 66 3001 Heverlee</t>
  </si>
  <si>
    <t>Ontario</t>
  </si>
  <si>
    <t>Genpharm</t>
  </si>
  <si>
    <t>85 Advance Road Etobicoke Ontario M8Z 2S9</t>
  </si>
  <si>
    <t>Brazil</t>
  </si>
  <si>
    <t>Campos</t>
  </si>
  <si>
    <t>Mylan Agila</t>
  </si>
  <si>
    <t>Estrada Lourival Martins Beda, 1118; Donana – Campos dos Goytacazes - RJ; CEP: 28110-000 - Brasil</t>
  </si>
  <si>
    <t>Rio de Janeiro</t>
  </si>
  <si>
    <t>Av. Luís Carlos Prestes, 230, salas 301, 302 e 304 ; Barra da Tijuca – Rio de Janeiro - RJ - Brasil</t>
  </si>
  <si>
    <t>22775-055</t>
  </si>
  <si>
    <t>Serra</t>
  </si>
  <si>
    <t>Agila Marketing e Distribuição de Produtos Hospitalares Ltda. ; Av Talma Rodriguês Ribeiro, Nº 147– Galpão 3A – Unilogística ; Portal de Jacaraípe – Serra – ES.   CEP: 29173 – 795</t>
  </si>
  <si>
    <t>Denmark</t>
  </si>
  <si>
    <t>Copenhagen</t>
  </si>
  <si>
    <t>Home Office - Dey Field Office</t>
  </si>
  <si>
    <t>St. Priest</t>
  </si>
  <si>
    <t>Mylan S.A.S.</t>
  </si>
  <si>
    <t>117 allée des Parcs, 69792 St Priest Cedex</t>
  </si>
  <si>
    <t>Rhone Alps</t>
  </si>
  <si>
    <t>Venissieux</t>
  </si>
  <si>
    <t>Meyzieu</t>
  </si>
  <si>
    <t>360 avenue Henri, 69330 Meyzieu</t>
  </si>
  <si>
    <t>Osiatis (Temp Name)</t>
  </si>
  <si>
    <t>Germany</t>
  </si>
  <si>
    <t>Darmstadt</t>
  </si>
  <si>
    <t>Darmstadt Merck</t>
  </si>
  <si>
    <t>Mylan dura GmbH</t>
  </si>
  <si>
    <t>Wittichstrasse 6, 64295 Darmstadt</t>
  </si>
  <si>
    <t>Ehningen</t>
  </si>
  <si>
    <t>EMEA Datacenter (IBM Deutschland GmbH)</t>
  </si>
  <si>
    <t>Am Keltenwald 1, 71139 Ehningen</t>
  </si>
  <si>
    <t>Systems may also be designated as GR2Z due to IBM RFC complaints</t>
  </si>
  <si>
    <t>Greece</t>
  </si>
  <si>
    <t>Argyroupoli</t>
  </si>
  <si>
    <t>Generics Pharma Hellas Ltd.</t>
  </si>
  <si>
    <t>577A Vouliagmenis Avenue, Argyroupoli 16451</t>
  </si>
  <si>
    <t>India</t>
  </si>
  <si>
    <t>Panvel</t>
  </si>
  <si>
    <t>MIPL</t>
  </si>
  <si>
    <t>Plot 1 A / 2 MIDC Industrial Estate Panvel 410208</t>
  </si>
  <si>
    <t xml:space="preserve">India </t>
  </si>
  <si>
    <t>Mumbai</t>
  </si>
  <si>
    <t>Taloja</t>
  </si>
  <si>
    <t>Ireland</t>
  </si>
  <si>
    <t>Bioniche  Inverin</t>
  </si>
  <si>
    <t>Gerard Laboratories</t>
  </si>
  <si>
    <t>35/36 Baldoyle Industrial Estate, Grange Road Dublin 13  Ireland</t>
  </si>
  <si>
    <t>B2524</t>
  </si>
  <si>
    <t>Italy</t>
  </si>
  <si>
    <t>Milano</t>
  </si>
  <si>
    <t>Mylan S.p.A.</t>
  </si>
  <si>
    <t>Via Aquileia 35 Cinisello Balsamo 20092 Milano</t>
  </si>
  <si>
    <t>Japan</t>
  </si>
  <si>
    <t>Tokyo</t>
  </si>
  <si>
    <t>Tokyo HQ Mylan Seiyaku/EPD/Viatris Seiyaku</t>
  </si>
  <si>
    <t>Holland Hills Mori Tower 3F, 5-11-2 Toranomon, Minato-ku Tokyo, Japan</t>
  </si>
  <si>
    <t>105-0001</t>
  </si>
  <si>
    <t>Tokyo DC</t>
  </si>
  <si>
    <t>AtTokyo Data Center. T6C301, 6-2-15 Toyosu, Koto-ku, Tokyo, Japan</t>
  </si>
  <si>
    <t>135-0061</t>
  </si>
  <si>
    <t xml:space="preserve">Saitama </t>
  </si>
  <si>
    <t>Saitama Office</t>
  </si>
  <si>
    <t>OZ Building 3F, 1-124-2 Nakacho, Omiya-ku, Saitama-shi, Saitama 330-0845,  JAPAN</t>
  </si>
  <si>
    <t>330-0845</t>
  </si>
  <si>
    <t>Tokyo HQ office</t>
  </si>
  <si>
    <t xml:space="preserve">106-0041 Azabudai Hills Mori JP Tower 11F 1-3-1 Azabudai, Minato-ku, Tokyo, Japan </t>
  </si>
  <si>
    <t>Algeria</t>
  </si>
  <si>
    <t>UAE</t>
  </si>
  <si>
    <t>Dubai</t>
  </si>
  <si>
    <t>Mylan FZ-LLC</t>
  </si>
  <si>
    <t>DuBiotech Nucleotide Lab Complex, Second Floor, Unit 203, Dubai/UAE</t>
  </si>
  <si>
    <t>Northern Cross</t>
  </si>
  <si>
    <t>Malahide Road, Dublin 17, Ireland</t>
  </si>
  <si>
    <t>Norway</t>
  </si>
  <si>
    <t>Oslo</t>
  </si>
  <si>
    <t>Mylan FarmaPlus AS</t>
  </si>
  <si>
    <t>Mylan FarmaPlus AS; Sorkedalsveien 10B, N-0369 Oslo, Norway</t>
  </si>
  <si>
    <t>Netherlands</t>
  </si>
  <si>
    <t>Bunschoten</t>
  </si>
  <si>
    <t>Mylan B.V.</t>
  </si>
  <si>
    <t>Dieselweg 25 3752LB Bunschoten</t>
  </si>
  <si>
    <t>New Zealand</t>
  </si>
  <si>
    <t>Auckland</t>
  </si>
  <si>
    <t>76 Leonard Road, Ellerslie 1006 Mount Wellington Auckland</t>
  </si>
  <si>
    <t>Portugal</t>
  </si>
  <si>
    <t>Algés</t>
  </si>
  <si>
    <t>Edificio Arquiparque - 1 R/C Miraflores</t>
  </si>
  <si>
    <t>1499-016</t>
  </si>
  <si>
    <t>Porto</t>
  </si>
  <si>
    <t>Sales office</t>
  </si>
  <si>
    <t>Poland</t>
  </si>
  <si>
    <t>Warsaw</t>
  </si>
  <si>
    <t>Agila Specialties Polska Sp.z o.o. 
ul. Daniszewska 10, Warszawa 03-210
Poland</t>
  </si>
  <si>
    <t>5A</t>
  </si>
  <si>
    <t>Mylan Sp. Z.o.o.</t>
  </si>
  <si>
    <t>02-777 Warsaw, AL. KEN 95,  Poland</t>
  </si>
  <si>
    <t>5B</t>
  </si>
  <si>
    <t>Czech Republic</t>
  </si>
  <si>
    <t>Prague</t>
  </si>
  <si>
    <t>Mylan Pharmaceuticals s.r.o.</t>
  </si>
  <si>
    <t>Prubezna 77/1108, 100 00 Praha 10, Czech Republic</t>
  </si>
  <si>
    <t>5C</t>
  </si>
  <si>
    <t>Hungary</t>
  </si>
  <si>
    <t>Budapest</t>
  </si>
  <si>
    <t>Mylan Kft</t>
  </si>
  <si>
    <t>Regus Offices, Arpad fejedelem utja 26-28, Budapest</t>
  </si>
  <si>
    <t>5D</t>
  </si>
  <si>
    <t>Komarom</t>
  </si>
  <si>
    <t>5E</t>
  </si>
  <si>
    <t>GBS Budapest - VCO</t>
  </si>
  <si>
    <t>District / Kerulet 13, Váci út 150, VÁCI CORNER OFFICES</t>
  </si>
  <si>
    <t>5F</t>
  </si>
  <si>
    <t>5G</t>
  </si>
  <si>
    <t>South Africa</t>
  </si>
  <si>
    <t>Johannesburg</t>
  </si>
  <si>
    <t>Ascendis Pharma</t>
  </si>
  <si>
    <t>4 Brewery Street, Isando Kempton Park, South Africa</t>
  </si>
  <si>
    <t>5H</t>
  </si>
  <si>
    <t>Modderfontein</t>
  </si>
  <si>
    <t>Mylan</t>
  </si>
  <si>
    <t>Building 6, Greenstone Hill Office Park, Emerald Boulevard</t>
  </si>
  <si>
    <t>5J</t>
  </si>
  <si>
    <t>Zambia</t>
  </si>
  <si>
    <t>Lusaka</t>
  </si>
  <si>
    <t>Mylan FDF UNIT-7</t>
  </si>
  <si>
    <t>PLOT P1/6 OF F10723, LUSAKA SOUTH - MULTI FACILITY ECONOMIC ZONE, CHIFWEMA ROAD, LUSAKA 10101, ZAMBIA  </t>
  </si>
  <si>
    <t>5K</t>
  </si>
  <si>
    <t>5L</t>
  </si>
  <si>
    <t>5M</t>
  </si>
  <si>
    <t>Russia</t>
  </si>
  <si>
    <t>Moscow</t>
  </si>
  <si>
    <t>Mylan, LLC.</t>
  </si>
  <si>
    <t>113/1 Leninsky Prospekt, 117198 Moscow, Russia</t>
  </si>
  <si>
    <t>5N</t>
  </si>
  <si>
    <t>5P</t>
  </si>
  <si>
    <t>5Q</t>
  </si>
  <si>
    <t>5R</t>
  </si>
  <si>
    <t>Spain</t>
  </si>
  <si>
    <t>Barcelona</t>
  </si>
  <si>
    <t>Plom 2-4, 5ª</t>
  </si>
  <si>
    <t>08038</t>
  </si>
  <si>
    <t>5S</t>
  </si>
  <si>
    <t xml:space="preserve">Spain </t>
  </si>
  <si>
    <t>Llica</t>
  </si>
  <si>
    <t>CLM</t>
  </si>
  <si>
    <t>5T</t>
  </si>
  <si>
    <t>Santa Perpètua, Barcelona</t>
  </si>
  <si>
    <t>Picking Farma</t>
  </si>
  <si>
    <t>Poligono Can Bernades-Subirá Ripollés 7-9 08130 Santa Perpetua de Mogoda  Spain</t>
  </si>
  <si>
    <t>5U</t>
  </si>
  <si>
    <t>5V</t>
  </si>
  <si>
    <t>Slovenia</t>
  </si>
  <si>
    <t>Ljubljana</t>
  </si>
  <si>
    <t>Mylan d.o.o</t>
  </si>
  <si>
    <t>Dunajska cesta 119 1000 Ljubljana</t>
  </si>
  <si>
    <t>5W</t>
  </si>
  <si>
    <t>Slovakia</t>
  </si>
  <si>
    <t>Bratislava</t>
  </si>
  <si>
    <t>Mylan s.r.o.</t>
  </si>
  <si>
    <t>Roznavska 24, Bratislava, Slovakia</t>
  </si>
  <si>
    <t>5X</t>
  </si>
  <si>
    <t>5Y</t>
  </si>
  <si>
    <t>5Z</t>
  </si>
  <si>
    <t>Sweden</t>
  </si>
  <si>
    <t>Stockholm</t>
  </si>
  <si>
    <t>Viatris / Mylan Sweden</t>
  </si>
  <si>
    <t>Slåttervägen 20, 170 67 Solna, Sweden</t>
  </si>
  <si>
    <t>Switzerland</t>
  </si>
  <si>
    <t>Zurich</t>
  </si>
  <si>
    <t>Mylan GmbH</t>
  </si>
  <si>
    <t>Thurgauerstrasse 40, 8050 Zuerich, Switzerland</t>
  </si>
  <si>
    <t>Rolle</t>
  </si>
  <si>
    <t>Mylan Switzerland SARL</t>
  </si>
  <si>
    <t>Route de la Vallee 7, 1180 Rolle, Switzerland</t>
  </si>
  <si>
    <t>UK</t>
  </si>
  <si>
    <t>Cambridge</t>
  </si>
  <si>
    <t>Mylan UK Cambridge (Global Device Development)</t>
  </si>
  <si>
    <t>Science Village, Chesterford Research Park, Cambridge, CB10 1XL</t>
  </si>
  <si>
    <t>Sandwich</t>
  </si>
  <si>
    <t>Mylan UK Sandwich</t>
  </si>
  <si>
    <t>Discovery Park House Floor 3, Discovery Park, Ramsgate Road, Sandwich, Kent, CT13 9ND</t>
  </si>
  <si>
    <t>Trident Place</t>
  </si>
  <si>
    <t>Tident Place (Potters Bar)</t>
  </si>
  <si>
    <t>Building 4, Trident Place, Mosquito Way Hatfield, Hertfordshire AL10 9UL</t>
  </si>
  <si>
    <t>USA (Matrix)</t>
  </si>
  <si>
    <t>South Orange NJ</t>
  </si>
  <si>
    <t xml:space="preserve">Matrix </t>
  </si>
  <si>
    <t>Andhra Pradesh</t>
  </si>
  <si>
    <t>Unit9</t>
  </si>
  <si>
    <t>Plot No:5, Road No:12, Jawahar Lal Nehru Pharma City, Tadi Village, Parawada, Visakhapatnam, AP, India.</t>
  </si>
  <si>
    <t>Vijananagaram</t>
  </si>
  <si>
    <t>Unit8 or Vijananagaram</t>
  </si>
  <si>
    <t>G Chodavaram Village, Poosapatirega Mandal, Vizianagaram District, Pin: 535 204, AP, India</t>
  </si>
  <si>
    <t>6A</t>
  </si>
  <si>
    <t>SplendidTowers</t>
  </si>
  <si>
    <t>6B</t>
  </si>
  <si>
    <t>Nasik</t>
  </si>
  <si>
    <t>FDF Unit 1</t>
  </si>
  <si>
    <t>F-4 &amp; F-12, Malegaon MIDC, Sinnar, Nashik Dist. 422 113.</t>
  </si>
  <si>
    <t>6C</t>
  </si>
  <si>
    <t>AS Rao Nagar</t>
  </si>
  <si>
    <t>ASR Clinical Research Center</t>
  </si>
  <si>
    <t>Clinical Research Centre,Saradhi Chambers, A-4,Rukminipuri,Near Poulomi Hospital,Main Road, Dr. A.S. Rao Nagar, Hyderabad-500062</t>
  </si>
  <si>
    <t>6D</t>
  </si>
  <si>
    <t>Pashamylaram</t>
  </si>
  <si>
    <t>API Unit 7</t>
  </si>
  <si>
    <t>Plot No. 14,99&amp;100, Chemical Zone, Patancheru Mandal, Medak Dist - 502307</t>
  </si>
  <si>
    <t>6E</t>
  </si>
  <si>
    <t>Hyderabad</t>
  </si>
  <si>
    <t>Jubilee Hills - Corporate Office</t>
  </si>
  <si>
    <t>Mylan Laboratories Ltd; Plot # 564-A-22, Road No. 92; Jubilee Hills, Hyderabad 500034</t>
  </si>
  <si>
    <t>6F</t>
  </si>
  <si>
    <t>Jeedimetla</t>
  </si>
  <si>
    <t>API Unit 3</t>
  </si>
  <si>
    <t>Plot No.38,36,38 to 40 &amp; 49 to 51, Phase-IV, IDA Jeedimetla, Hyderabad-500 055</t>
  </si>
  <si>
    <t>6G</t>
  </si>
  <si>
    <t>Kazipally</t>
  </si>
  <si>
    <t>API Unit 2</t>
  </si>
  <si>
    <t>Survey No.10 &amp; 42, Gaddapotharam Village, Kazipally Indl. Area, Jinnaram Mdl., Medak Dist. PIN- 502 319</t>
  </si>
  <si>
    <t>6H</t>
  </si>
  <si>
    <t>Bollaram</t>
  </si>
  <si>
    <t>R &amp; D - (API &amp; FDF)</t>
  </si>
  <si>
    <t>Plot No.34-A, ANRICH Industrial Estate, Bollaram, Jinnaram Mandal, Medak Dist.</t>
  </si>
  <si>
    <t>6J</t>
  </si>
  <si>
    <t xml:space="preserve">Aurangabad </t>
  </si>
  <si>
    <t>FDF Unit 2</t>
  </si>
  <si>
    <t>Plot No. H-12, MIDC Waluj Industrial Area, Aurangabad - 431136, Maharashtra</t>
  </si>
  <si>
    <t>6K</t>
  </si>
  <si>
    <t>China</t>
  </si>
  <si>
    <t>Xiamen</t>
  </si>
  <si>
    <t>XiaMen Mchem Pharma (Group) Ltd</t>
  </si>
  <si>
    <t xml:space="preserve">ADD:20/F ,everbright bank bldg,81 south hubin road,Xiamen,China .   PS:361004 </t>
  </si>
  <si>
    <t>6L</t>
  </si>
  <si>
    <t>Dafeng City</t>
  </si>
  <si>
    <t xml:space="preserve"> DAFENG MCHEM PHARM CHEMICAL CO.,LTD</t>
  </si>
  <si>
    <t xml:space="preserve"> Add:WEST WANGGANGGATE DAFENG CTIY,JIANGSU PROVINCE,CHINA.    </t>
  </si>
  <si>
    <t>6M</t>
  </si>
  <si>
    <t>Shanghai</t>
  </si>
  <si>
    <t xml:space="preserve">Shanghai Representative Office </t>
  </si>
  <si>
    <t>Units [2212-13], Floor [22], One ICC, Shanghai International Commerce Centre, No. 999 Middle Huai Hai Road, Xuhui, Shanghai Municipality</t>
  </si>
  <si>
    <t>6N</t>
  </si>
  <si>
    <t>Camberley</t>
  </si>
  <si>
    <t>MEDICAL COLLABORATION CENTRE (MCC)</t>
  </si>
  <si>
    <t>200 Frimley Business Park Frimley/Camberley Surrey GU16 7SR UNITED KINGDOM</t>
  </si>
  <si>
    <t>6O</t>
  </si>
  <si>
    <t>Bangalore</t>
  </si>
  <si>
    <t>Control-S DC</t>
  </si>
  <si>
    <t xml:space="preserve">Control-S Data center Limited, No. 15/A, 2nd Main road, SBR Law college Lane, Veerasandra Road
Electronic City Phase-1, Bangalore
</t>
  </si>
  <si>
    <t>6P</t>
  </si>
  <si>
    <t>Vishag</t>
  </si>
  <si>
    <t>Unit 10</t>
  </si>
  <si>
    <t>Unit-10, SEZ, Mylan Laboratories Ltd; Parawada (Mandal),Visakhapatnam (Dist) 530 019.</t>
  </si>
  <si>
    <t>6Q</t>
  </si>
  <si>
    <t>Visakhapatnam</t>
  </si>
  <si>
    <t>Injectables - 1</t>
  </si>
  <si>
    <t>Injectables - 1, P No.28, Sy No.1,3,9 &amp; 26, Jawaharlal Nehru Pharma City, Thanam (V), Parawada (M), Visakhapatnam</t>
  </si>
  <si>
    <t>6R</t>
  </si>
  <si>
    <t>Hyderabad - Shameerpet</t>
  </si>
  <si>
    <t>Biologics R&amp;D Center</t>
  </si>
  <si>
    <t>Mylan Pharmaceuticals Pvt. Ltd., 2nd Floor, Building - 450, Alexandria Knowledge Park, Genome Valley, Shameerpet, Thurkapally, R.R.Dist, Hyderrabad - 78.</t>
  </si>
  <si>
    <t>6S</t>
  </si>
  <si>
    <t>Jaggaiahpet</t>
  </si>
  <si>
    <t>OSD 6</t>
  </si>
  <si>
    <t>Sy No : 47/A, 161, 162, &amp; 48, Mukteshwarapurum, Jaggaiahpet ( M )</t>
  </si>
  <si>
    <t>6T</t>
  </si>
  <si>
    <t>Indore</t>
  </si>
  <si>
    <t>FDF3</t>
  </si>
  <si>
    <t>Plot No. 11,12 &amp; 13, Indore Special Economic Zone, Pharma Zone, Phase – II Sector – III, Pithampur – 454775, Dist – Dhar (M.P.) India.</t>
  </si>
  <si>
    <t>6U</t>
  </si>
  <si>
    <t>Jadcherla</t>
  </si>
  <si>
    <t>FDF4</t>
  </si>
  <si>
    <t>Sy. No. S 16 &amp; S 17, Green Industrial Park, Polepally village, Jadcherla Mandal, Mehboobnagar District, Andhra Pradesh</t>
  </si>
  <si>
    <t>6V</t>
  </si>
  <si>
    <t>Agila - CO - Bangalore - Star Office
Injectables Complex - 1</t>
  </si>
  <si>
    <t>Complex 1 (Injectibles) - BLD, SPD and Cepha, Agila Specialties Pvt. Ltd., (Beta-lactam Division), No.152/6 &amp; 154/16, Doresanipalya, Bilekahalli , Opp – IIM-B, Bannerghatta Road, Bengaluru – 560 076</t>
  </si>
  <si>
    <t>6W</t>
  </si>
  <si>
    <t>Bommasandra</t>
  </si>
  <si>
    <t>Agila - Bommasandra
Injectables Complex - 2</t>
  </si>
  <si>
    <t>Complex 2 (Injectibles) - OTL and SFF, #284-B/1, Bommasandra Jigani Link Road, Industrial Area industrial Area, Jigani Hobli, Anekal Tq, Bengaluru - 560105</t>
  </si>
  <si>
    <t>6X</t>
  </si>
  <si>
    <t>Hosur</t>
  </si>
  <si>
    <t>Injectables Complex - 3</t>
  </si>
  <si>
    <t>Agila Specialties Pvt.Ltd., Plot No.13 A &amp; 14, SIPCOT Phase II, Krishnagiri Main Road, Hosur – 635 109, Krishnagiri District. Tamil Nadu.</t>
  </si>
  <si>
    <t>6Y</t>
  </si>
  <si>
    <t>GBS Hyderabad</t>
  </si>
  <si>
    <t>Mylan Laboratories Ltd, Survey No. 35/part, Gachibowli, Serilingampally Mandal Ranga Reddy District, Telangana 500081, India</t>
  </si>
  <si>
    <t>6Z</t>
  </si>
  <si>
    <t>Global Center Bangalore</t>
  </si>
  <si>
    <t>Mylan laboratories Limited, 7th Floor to 12th Floor, Prestige Platina, located at Block 3, No. 32/1, 32/2, 34/1, 34/2, 34/3, 34/4, Kadubeesanahalli Village, Varthur Hobli, Outer Ring Road, Bangalore East Taluk, Bangalore 560 087</t>
  </si>
  <si>
    <t>70</t>
  </si>
  <si>
    <t>Albania</t>
  </si>
  <si>
    <t>Tirana</t>
  </si>
  <si>
    <t>EPD Tirana</t>
  </si>
  <si>
    <t>Rruga Deshmoret e 4 Shkurtit, Tirana, Albania</t>
  </si>
  <si>
    <t>71</t>
  </si>
  <si>
    <t>Doncaster</t>
  </si>
  <si>
    <t>EPD Doncaster</t>
  </si>
  <si>
    <t>72</t>
  </si>
  <si>
    <t>MacQuarie Park</t>
  </si>
  <si>
    <t>EPD Sydney</t>
  </si>
  <si>
    <t xml:space="preserve">299 Lane Cove Road, New South Wales, Australia
</t>
  </si>
  <si>
    <t>73</t>
  </si>
  <si>
    <t>EPD Vienna</t>
  </si>
  <si>
    <t>Perfektastrasse 84-A, Vienna, Austria</t>
  </si>
  <si>
    <t>74</t>
  </si>
  <si>
    <t>Diegem</t>
  </si>
  <si>
    <t>EPD Brussles</t>
  </si>
  <si>
    <t>Park Lane Culliganlaan 2B, Diegem, Belgium</t>
  </si>
  <si>
    <t>75</t>
  </si>
  <si>
    <t>Wavre</t>
  </si>
  <si>
    <t>EPD Wavre</t>
  </si>
  <si>
    <t>Avenue Einstein 12, Wavre, Braban-Wallon, Belgium</t>
  </si>
  <si>
    <t>76</t>
  </si>
  <si>
    <t>Bosnia and Herzegovina</t>
  </si>
  <si>
    <t>Sarajevo</t>
  </si>
  <si>
    <t>EPD Sarajevo</t>
  </si>
  <si>
    <t xml:space="preserve"> Kolodvorska 12, Sarajevo, Bosnia</t>
  </si>
  <si>
    <t>77</t>
  </si>
  <si>
    <t>Bulgaria</t>
  </si>
  <si>
    <t>Sofia</t>
  </si>
  <si>
    <t>EPD Sofia</t>
  </si>
  <si>
    <t>48 Sitnyakovo Blvd.,Sofia, Bulgaria</t>
  </si>
  <si>
    <t>78</t>
  </si>
  <si>
    <t>St. Laurent</t>
  </si>
  <si>
    <t>EPD Montreal</t>
  </si>
  <si>
    <t xml:space="preserve">8401 Trans Canada Highway,St. Laurent,Quebec,Canada
</t>
  </si>
  <si>
    <t>79</t>
  </si>
  <si>
    <t>Croatia</t>
  </si>
  <si>
    <t>Slavonski Brod</t>
  </si>
  <si>
    <t>EPD Slavonski Brod</t>
  </si>
  <si>
    <t>Preradoviceva 2, Slavonski Brod, Croatia</t>
  </si>
  <si>
    <t>7A</t>
  </si>
  <si>
    <t>Split</t>
  </si>
  <si>
    <t>EPD Split</t>
  </si>
  <si>
    <t>Put Supavla 1, Split, Croatia</t>
  </si>
  <si>
    <t>7B</t>
  </si>
  <si>
    <t>Zagreb</t>
  </si>
  <si>
    <t>EPD Zagreb</t>
  </si>
  <si>
    <t xml:space="preserve">Koranska 2,Zagreb,Croatia
</t>
  </si>
  <si>
    <t>7C</t>
  </si>
  <si>
    <t>EPD Prague</t>
  </si>
  <si>
    <t>Evropska 2591/33d,Prague,Czech Republic</t>
  </si>
  <si>
    <t>7D</t>
  </si>
  <si>
    <t>Viatris / Mylan Denmark</t>
  </si>
  <si>
    <t>Borupvang 1, 2750 Ballerup, Denmark</t>
  </si>
  <si>
    <t>7E</t>
  </si>
  <si>
    <t>Estonia</t>
  </si>
  <si>
    <t>Tallinn</t>
  </si>
  <si>
    <t>EPD Tallinn</t>
  </si>
  <si>
    <t>Liivalaia 13/15,Tallinn, Estonia</t>
  </si>
  <si>
    <t>7F</t>
  </si>
  <si>
    <t>Finland</t>
  </si>
  <si>
    <t>Espoo</t>
  </si>
  <si>
    <t>EPD Helsinki</t>
  </si>
  <si>
    <t>Bertel Jungin aukio 5, Espoo, Finland</t>
  </si>
  <si>
    <t>7G</t>
  </si>
  <si>
    <t>Châtillon-sur-Chalaronne</t>
  </si>
  <si>
    <t>EPD Châtillon</t>
  </si>
  <si>
    <t>Route de Belleville BP25,Chatillon-Sur-Chalaronne,France</t>
  </si>
  <si>
    <t>7H</t>
  </si>
  <si>
    <t>La Madeleine de Nonancourt</t>
  </si>
  <si>
    <t>EPD La Madeleine de Nonancourt</t>
  </si>
  <si>
    <t>7J</t>
  </si>
  <si>
    <t>Rungis</t>
  </si>
  <si>
    <t>EPD Rungis</t>
  </si>
  <si>
    <t>3 Place Gustave Eiffel, Rungis, France</t>
  </si>
  <si>
    <t>7K</t>
  </si>
  <si>
    <t>Suresnes</t>
  </si>
  <si>
    <t>EPD Suresnes</t>
  </si>
  <si>
    <t>42 Rue Rouget de Lisle,Suresnes, Ile-de-France,France</t>
  </si>
  <si>
    <t>7L</t>
  </si>
  <si>
    <t>Hannover</t>
  </si>
  <si>
    <t>EPD Hannover</t>
  </si>
  <si>
    <t xml:space="preserve">Freundallee 9A, Hannover, Lower Saxony, Germany
</t>
  </si>
  <si>
    <t>7M</t>
  </si>
  <si>
    <t>Ludwigshafen</t>
  </si>
  <si>
    <t>EPD Mannheim</t>
  </si>
  <si>
    <t>Besselstraβe 25, Mannhiem, Germany</t>
  </si>
  <si>
    <t>7N</t>
  </si>
  <si>
    <t>Wetzlar</t>
  </si>
  <si>
    <t>EPD Wetzlar</t>
  </si>
  <si>
    <t>7P</t>
  </si>
  <si>
    <t>Wiesbaden-Delkenheim</t>
  </si>
  <si>
    <t>EPD Wiesbaden-Delkenheim</t>
  </si>
  <si>
    <t>Max Planck Ring 2, Wiesbaden-Delkenheim, Germany</t>
  </si>
  <si>
    <t>7Q</t>
  </si>
  <si>
    <t>Alimos</t>
  </si>
  <si>
    <t>EPD Alimos</t>
  </si>
  <si>
    <t>63 Agious Dimitriou street, Attica, Greece</t>
  </si>
  <si>
    <t>7R</t>
  </si>
  <si>
    <t>Koropion</t>
  </si>
  <si>
    <t>EPD Koropion</t>
  </si>
  <si>
    <t>35A Ifestou Street, Koropion,Greece</t>
  </si>
  <si>
    <t>7S</t>
  </si>
  <si>
    <t>Thessaloniki</t>
  </si>
  <si>
    <t>EPD Thessaloniki</t>
  </si>
  <si>
    <t>12 Khm New National Road, Thessaloniki, Greece</t>
  </si>
  <si>
    <t>7T</t>
  </si>
  <si>
    <t>City West</t>
  </si>
  <si>
    <t>EPD Dublin</t>
  </si>
  <si>
    <t>4051 Kingswood Drive,Dublin,Ireland</t>
  </si>
  <si>
    <t>7U</t>
  </si>
  <si>
    <t>Westport</t>
  </si>
  <si>
    <t>EPD Westport</t>
  </si>
  <si>
    <t>7V</t>
  </si>
  <si>
    <t>Rome</t>
  </si>
  <si>
    <t>EPD Rome Commercial office</t>
  </si>
  <si>
    <t>5th Floor, Viale Giorgio Ribotta 9/A, 00144 Rome, Italy</t>
  </si>
  <si>
    <t>7W</t>
  </si>
  <si>
    <t>Latvia</t>
  </si>
  <si>
    <t>Riga</t>
  </si>
  <si>
    <t>EPD Riga</t>
  </si>
  <si>
    <t xml:space="preserve">Mukusalas Street 101, Riga,Latvia
</t>
  </si>
  <si>
    <t>7X</t>
  </si>
  <si>
    <t>Lithuania</t>
  </si>
  <si>
    <t>Vilnius</t>
  </si>
  <si>
    <t>EPD Vilnius</t>
  </si>
  <si>
    <t xml:space="preserve">Zalgirio gatve 92, Vilnius, Lithuania
</t>
  </si>
  <si>
    <t>7Y</t>
  </si>
  <si>
    <t>Hoofddorp (Weesp2, Amsterdam)</t>
  </si>
  <si>
    <t>EPD</t>
  </si>
  <si>
    <t>Van Houten Industriepark 11, Weesp, Netherlands</t>
  </si>
  <si>
    <t>7Z</t>
  </si>
  <si>
    <t>Weesp (Amsterdam)</t>
  </si>
  <si>
    <t>CJ Van Houtenlaan 36,Weesp,Netherlands</t>
  </si>
  <si>
    <t>80</t>
  </si>
  <si>
    <t>Zwolle</t>
  </si>
  <si>
    <t>EPD Zwolle</t>
  </si>
  <si>
    <t xml:space="preserve"> Meeuwenlaan 4,Zwolle,Netherlands</t>
  </si>
  <si>
    <t>81</t>
  </si>
  <si>
    <t>Christchurch</t>
  </si>
  <si>
    <t>EPD Christchurch</t>
  </si>
  <si>
    <t>202 Wooldridge Road Bishopdale, Christchurch, New Zealand</t>
  </si>
  <si>
    <t>82</t>
  </si>
  <si>
    <t>EPD Oslo</t>
  </si>
  <si>
    <t>Mylan Hospital AS Sørkedalsveien 10B , Oslo, Norway</t>
  </si>
  <si>
    <t>83</t>
  </si>
  <si>
    <t>Blonie</t>
  </si>
  <si>
    <t>EPD Blonie</t>
  </si>
  <si>
    <t xml:space="preserve">Pass ul.Stefana Batorego 4,Blonie, Warsaw, Poland
</t>
  </si>
  <si>
    <t>84</t>
  </si>
  <si>
    <t>EPD Warsaw</t>
  </si>
  <si>
    <t xml:space="preserve">21 Postepu Street, Warsaw, Masovian, Poland
</t>
  </si>
  <si>
    <t>85</t>
  </si>
  <si>
    <t>Amadora</t>
  </si>
  <si>
    <t>EPD Amadora</t>
  </si>
  <si>
    <t>Estrada de Alfragide 67,Amadora,Lisboa,Portugal</t>
  </si>
  <si>
    <t>86</t>
  </si>
  <si>
    <t>Romania</t>
  </si>
  <si>
    <t>Bucharest</t>
  </si>
  <si>
    <t>EPD Bucharest</t>
  </si>
  <si>
    <t xml:space="preserve">Calea Floreasca 169A, Bucharest,Romania
</t>
  </si>
  <si>
    <t>87</t>
  </si>
  <si>
    <t>Serbia</t>
  </si>
  <si>
    <t>Novi Beograd</t>
  </si>
  <si>
    <t>EPD Novi Beograd</t>
  </si>
  <si>
    <t>Bulevar Mihajla Pupina 115, Novi Beograd,Serbia</t>
  </si>
  <si>
    <t>88</t>
  </si>
  <si>
    <t>EPD Bratislava</t>
  </si>
  <si>
    <t xml:space="preserve">Karadzicova 10, Bratislava, Slovakia
</t>
  </si>
  <si>
    <t>89</t>
  </si>
  <si>
    <t>Nesvady</t>
  </si>
  <si>
    <t>EPD Nesvady</t>
  </si>
  <si>
    <t>Lipova 13, Nesvady, Slovakia</t>
  </si>
  <si>
    <t>8A</t>
  </si>
  <si>
    <t>EPD Ljubljana</t>
  </si>
  <si>
    <t>Dolenjska cesta 242c, Slovenia</t>
  </si>
  <si>
    <t>8B</t>
  </si>
  <si>
    <t>Madrid</t>
  </si>
  <si>
    <t>EPD Spain</t>
  </si>
  <si>
    <t>Avda. De Burgos 91,Madrid, Spain</t>
  </si>
  <si>
    <t>8C</t>
  </si>
  <si>
    <t>Solna (Stockholm)</t>
  </si>
  <si>
    <t>EPD Sweden</t>
  </si>
  <si>
    <t>Hemvarnsgatan 9,Solna,Sweden  moved to legacy Mylan</t>
  </si>
  <si>
    <t>8D</t>
  </si>
  <si>
    <t>Baar (Zurich)</t>
  </si>
  <si>
    <t>EPD Switzerland</t>
  </si>
  <si>
    <t>Neuhofstrasse 23, Baar,Switzerland</t>
  </si>
  <si>
    <t>8E</t>
  </si>
  <si>
    <t>Basel</t>
  </si>
  <si>
    <t>Hegenheimermattweg 127,Basel,Switzerland</t>
  </si>
  <si>
    <t>8F</t>
  </si>
  <si>
    <t>United Kingdom</t>
  </si>
  <si>
    <t>Maidenhead (London)</t>
  </si>
  <si>
    <t>EPD UK</t>
  </si>
  <si>
    <t>Quantum House, Norden Road, Maidenhead, Berkshire, SL6 4AY</t>
  </si>
  <si>
    <t>8G</t>
  </si>
  <si>
    <t>Fukuoka</t>
  </si>
  <si>
    <t>Fukuoka Office</t>
  </si>
  <si>
    <t>Ocean Hakata Building 4F, 5-32 Reisen-machi,Hakata-ku, Fukuoka-shi, Fukuoka,Japan</t>
    <phoneticPr fontId="1"/>
  </si>
  <si>
    <t>812-0039</t>
  </si>
  <si>
    <t>8H</t>
  </si>
  <si>
    <t>Hiroshima</t>
  </si>
  <si>
    <t>Hiroshima Office</t>
    <phoneticPr fontId="1"/>
  </si>
  <si>
    <t>Ehime Building Hiroshima 2F, 2-10 Mikawa-chom Naka-ku, Hiroshima-shi, Hiroshima, Japan</t>
    <phoneticPr fontId="1"/>
  </si>
  <si>
    <t>730-0029</t>
  </si>
  <si>
    <t>8J</t>
  </si>
  <si>
    <t>Katsuyama (Fukui)
(Manufacturing)</t>
  </si>
  <si>
    <t>Katsuyama Manufaturing Plant</t>
  </si>
  <si>
    <t xml:space="preserve">37-1-1 Inokuchi Katsuyama, Fukui, Japan
</t>
  </si>
  <si>
    <t>911-0813</t>
  </si>
  <si>
    <t>8K</t>
  </si>
  <si>
    <t>Kyoto</t>
  </si>
  <si>
    <t>EPD Japan</t>
  </si>
  <si>
    <t xml:space="preserve">227 Hashi Benkei-cho,Kyoto,Kyoto,Japan
</t>
  </si>
  <si>
    <t>8L</t>
  </si>
  <si>
    <t>Mita (Tokyo)</t>
  </si>
  <si>
    <t>3-5-27 Mita, Tokyo, Japan</t>
  </si>
  <si>
    <t>8M</t>
  </si>
  <si>
    <t>Nagoya (Aichi)</t>
  </si>
  <si>
    <t>Nagoya Office</t>
    <phoneticPr fontId="1"/>
  </si>
  <si>
    <t xml:space="preserve">MANHYO Daiichi Building 8F, 2-12-14 Nishiki, Naka-ku, Nagoya-shi, Aichi, Japan </t>
    <phoneticPr fontId="1"/>
  </si>
  <si>
    <t>460-0003</t>
  </si>
  <si>
    <t>8N</t>
  </si>
  <si>
    <t>Osaka</t>
  </si>
  <si>
    <t>Osaka Office</t>
    <phoneticPr fontId="1"/>
  </si>
  <si>
    <t>Senba Central Building 4F, 2-6-8 Honmachi, Chuo-ku, Osaka-shi, Osaka, Japan</t>
    <phoneticPr fontId="1"/>
  </si>
  <si>
    <t>541-0053</t>
  </si>
  <si>
    <t>8P</t>
  </si>
  <si>
    <t>Sapporo (Hokkaido)</t>
  </si>
  <si>
    <t>Sapporo Office</t>
    <phoneticPr fontId="1"/>
  </si>
  <si>
    <t>Oak Sapporo Building 2F, 2-9 Kita1jyonishi, Chuo-ku, Sapporo,Hokkaido,Japan</t>
    <phoneticPr fontId="1"/>
  </si>
  <si>
    <t>060-0003</t>
  </si>
  <si>
    <t>8Q</t>
  </si>
  <si>
    <t>Sendai (Miyagi)</t>
  </si>
  <si>
    <t>Sendai Office</t>
    <phoneticPr fontId="1"/>
  </si>
  <si>
    <t>Sendai MT Building 12F, 4-2-3 Tutsujigaoka, Miyagino-ku,  Sendai-shi, Miyagi, Japan</t>
    <phoneticPr fontId="1"/>
  </si>
  <si>
    <t>983-0852</t>
  </si>
  <si>
    <t>8R</t>
  </si>
  <si>
    <t>Remote offices</t>
  </si>
  <si>
    <t>EPD Japan Remote</t>
  </si>
  <si>
    <t>N/A</t>
  </si>
  <si>
    <t>8S</t>
  </si>
  <si>
    <t>Nakano</t>
  </si>
  <si>
    <t>Sun Bright Twin - 8F</t>
  </si>
  <si>
    <t>2-46-1 Honmachi, Nakano-ku, Tokyo</t>
  </si>
  <si>
    <t>164-0012</t>
  </si>
  <si>
    <t>8T</t>
  </si>
  <si>
    <t>Kawagoe</t>
  </si>
  <si>
    <t>Kawagoe Manufacturing</t>
  </si>
  <si>
    <t xml:space="preserve">685-1 Onohara, Shimo Akasaka, Kawagoe-shi, Saitama  </t>
  </si>
  <si>
    <t>350-1155</t>
  </si>
  <si>
    <t>8U</t>
  </si>
  <si>
    <t>Osaka DC</t>
  </si>
  <si>
    <t>11-26-1 Sinmachi, Nishiku, Osaka-shi, Osaka</t>
  </si>
  <si>
    <t>8V</t>
  </si>
  <si>
    <t>Tokyo Sales Office</t>
  </si>
  <si>
    <t>Toto Building 6F Room 602 Toranomon 5-1-4, Minato-ku Tokyo, Japan</t>
  </si>
  <si>
    <t>8W</t>
  </si>
  <si>
    <t>8X</t>
  </si>
  <si>
    <t>8Y</t>
  </si>
  <si>
    <t>8Z</t>
  </si>
  <si>
    <t>Sarigam</t>
  </si>
  <si>
    <t>Jai Pharma Sarigam</t>
  </si>
  <si>
    <t>Plot 1608 /1609, G.I.D.C, Sarigam,  396155 Valsad, Gujarat, India</t>
  </si>
  <si>
    <t>Ahmedabad</t>
  </si>
  <si>
    <t>Jai Pharma Ahmedabad</t>
  </si>
  <si>
    <t>Plot No 20 &amp; 21, Pharmez, Sarkhej-Bavla National Highway No. 8A, Near Village, Matoda, Taluka: Sanad, Dist. Ahmedabad, 382 213, Gujarat, India</t>
  </si>
  <si>
    <t>Daman</t>
  </si>
  <si>
    <t>Jai Pharma Daman</t>
  </si>
  <si>
    <t>Plot No. 688/10811,Siddhivinayak Industrial Estate.Opp. Somnath Temple, Somnath,DAMAN-396210</t>
  </si>
  <si>
    <t>Lower Parel</t>
  </si>
  <si>
    <t>Jai Pharma Lower Parel</t>
  </si>
  <si>
    <t>B Wing, 1st Floor,Marathon Next Gen,Opp. Peninsula Corporate,Ganpatrao Kadam Marg,Lowel Parel,West,Mumbai 400013</t>
  </si>
  <si>
    <t>Thane</t>
  </si>
  <si>
    <t>Jai Pharma Thane</t>
  </si>
  <si>
    <t>Avdel,A-165 &amp; 166,Road No.27,Behind Lanexess,Wagle Estate,Thane(West)-400604</t>
  </si>
  <si>
    <t>R&amp;D facility, Injectables</t>
  </si>
  <si>
    <t>Plot No. 48 Bommasandra – Jigani Link Road Industrial Area, (Survey No. Parts of 28, 29, 40 &amp; 42) Bandennallasandra Village, Jigani Hobali, Anekal Taluk Bangalore Urban District – 560105</t>
  </si>
  <si>
    <t>Global Center Bangalore-TestBed</t>
  </si>
  <si>
    <t>Mylan laboratories Limited, 7th Floor to 12th Floor, Prestige Platina, located at Block 3, No. 32/1, 32/2, 34/1, 34/2, 34/3, 34/4, Kadubeesanahalli Village, Varthur Hobli, Outer Ring Road, Bangalore East Taluk</t>
  </si>
  <si>
    <t>Tamil Nadu</t>
  </si>
  <si>
    <t>VIATRIS KRISHNAGIRI STERILE FACILITY</t>
  </si>
  <si>
    <t>MYLAN LABORATORIES LTD – VKSF,Krishnagiri District,Plot no.2,Survey no.16/1b2b,SIPCOT Industrial Park of kurubarapalli,Tamil Nadu.</t>
  </si>
  <si>
    <t>9A</t>
  </si>
  <si>
    <t>9B</t>
  </si>
  <si>
    <t>9C</t>
  </si>
  <si>
    <t>9D</t>
  </si>
  <si>
    <t>9E</t>
  </si>
  <si>
    <t>9F</t>
  </si>
  <si>
    <t>9G</t>
  </si>
  <si>
    <t>9H</t>
  </si>
  <si>
    <t>9J</t>
  </si>
  <si>
    <t>9K</t>
  </si>
  <si>
    <t>9L</t>
  </si>
  <si>
    <t>9M</t>
  </si>
  <si>
    <t>9N</t>
  </si>
  <si>
    <t>9P</t>
  </si>
  <si>
    <t>9Q</t>
  </si>
  <si>
    <t>9R</t>
  </si>
  <si>
    <t>9S</t>
  </si>
  <si>
    <t>9T</t>
  </si>
  <si>
    <t>9U</t>
  </si>
  <si>
    <t>9V</t>
  </si>
  <si>
    <t>9W</t>
  </si>
  <si>
    <t>9X</t>
  </si>
  <si>
    <t>9Y</t>
  </si>
  <si>
    <t>9Z</t>
  </si>
  <si>
    <t>A0</t>
  </si>
  <si>
    <t>Cloud</t>
  </si>
  <si>
    <t>Amazon Web Services</t>
  </si>
  <si>
    <t>Amazon Cloud</t>
  </si>
  <si>
    <t>A1</t>
  </si>
  <si>
    <t>US East (N. Virginia)</t>
  </si>
  <si>
    <t>Amazon Web Services  us-east-1</t>
  </si>
  <si>
    <t>A2</t>
  </si>
  <si>
    <t>US West (Oregon)</t>
  </si>
  <si>
    <t>Amazon Web Services  us-west-2</t>
  </si>
  <si>
    <t>A3</t>
  </si>
  <si>
    <t>US West (N. California)</t>
  </si>
  <si>
    <t>Amazon Web Services  us-west-1</t>
  </si>
  <si>
    <t>A4</t>
  </si>
  <si>
    <t>EU (Ireland)</t>
  </si>
  <si>
    <t>Amazon Web Services eu-west-1</t>
  </si>
  <si>
    <t>A5</t>
  </si>
  <si>
    <t>EU (Frankfurt)</t>
  </si>
  <si>
    <t>Amazon Web Services eu-central-1</t>
  </si>
  <si>
    <t>A6</t>
  </si>
  <si>
    <t>Asia Pacific (Singapore)</t>
  </si>
  <si>
    <t>A7</t>
  </si>
  <si>
    <t>Asia Pacific (Sydney)</t>
  </si>
  <si>
    <t>Amazon Web Services ap-southeast-1</t>
  </si>
  <si>
    <t>A8</t>
  </si>
  <si>
    <t>Asia Pacific (Tokyo)</t>
  </si>
  <si>
    <t>Amazon Web Services ap-southeast-2</t>
  </si>
  <si>
    <t>A9</t>
  </si>
  <si>
    <t>South America (Sao Paulo)</t>
  </si>
  <si>
    <t>Amazon Web Services ap-northeast-1</t>
  </si>
  <si>
    <t>AA</t>
  </si>
  <si>
    <t>VMware Vcloud Air FR2</t>
  </si>
  <si>
    <t>VMware Vcloud Air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</si>
  <si>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</si>
  <si>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</si>
  <si>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</si>
  <si>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</si>
  <si>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</si>
  <si>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</si>
  <si>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</si>
  <si>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</si>
  <si>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</si>
  <si>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</si>
  <si>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</si>
  <si>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</si>
  <si>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Seoul</t>
  </si>
  <si>
    <t>Azure Korea Central</t>
  </si>
  <si>
    <t>AN</t>
  </si>
  <si>
    <t>South east asia</t>
  </si>
  <si>
    <t>Azure South east asia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</si>
  <si>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</si>
  <si>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</si>
  <si>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</si>
  <si>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</si>
  <si>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</si>
  <si>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</si>
  <si>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</si>
  <si>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</si>
  <si>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</si>
  <si>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</si>
  <si>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</si>
  <si>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</si>
  <si>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Azure China East 2</t>
  </si>
  <si>
    <t>B0</t>
  </si>
  <si>
    <t>US</t>
  </si>
  <si>
    <t>abtmyl - transitional domain</t>
  </si>
  <si>
    <t>B1</t>
  </si>
  <si>
    <t>Frankfurt</t>
  </si>
  <si>
    <t>FR2 - TDC</t>
  </si>
  <si>
    <t>B2</t>
  </si>
  <si>
    <t>B3</t>
  </si>
  <si>
    <t>?</t>
  </si>
  <si>
    <t>Mylan/EPD Owned site</t>
  </si>
  <si>
    <t>B4</t>
  </si>
  <si>
    <t>B5</t>
  </si>
  <si>
    <t xml:space="preserve">Frankfurt </t>
  </si>
  <si>
    <t>Equinix Frankfurt (FR4)</t>
  </si>
  <si>
    <t xml:space="preserve">FR4:0G:030511:Mylan Inc:150688 Larchenstrasse 110 Frankfurt Griesheim NA 65933 DE  </t>
  </si>
  <si>
    <t>B6</t>
  </si>
  <si>
    <t>B7</t>
  </si>
  <si>
    <t>B8</t>
  </si>
  <si>
    <t>B9</t>
  </si>
  <si>
    <t>BA</t>
  </si>
  <si>
    <t>Allerod</t>
  </si>
  <si>
    <t>MEDA Denmark</t>
  </si>
  <si>
    <t>Solvang 8, DK-3450 Allerød, Danmark</t>
  </si>
  <si>
    <t>BB</t>
  </si>
  <si>
    <t>MEDA Finland</t>
  </si>
  <si>
    <t>Vaisalantie 4, 02130 Espoo, Finland</t>
  </si>
  <si>
    <t>BC</t>
  </si>
  <si>
    <t>Asker</t>
  </si>
  <si>
    <t>Viatris / Mylan Norway</t>
  </si>
  <si>
    <t>Hagaløkkveien 26, 1383 Asker, Norway</t>
  </si>
  <si>
    <t>BD</t>
  </si>
  <si>
    <t>Solna</t>
  </si>
  <si>
    <t>MEDA Sweden</t>
  </si>
  <si>
    <t>Pipers väg 2A, SE-170 73 Solna, Sverige (now 5Z)</t>
  </si>
  <si>
    <t>BE</t>
  </si>
  <si>
    <t>Radebeul</t>
  </si>
  <si>
    <t>MEDA Germany MEDA Pharma GmbH &amp; Co. KG</t>
  </si>
  <si>
    <t>Meissner Str. 191, D-01445 Radebeul</t>
  </si>
  <si>
    <t>BF</t>
  </si>
  <si>
    <t>Koln</t>
  </si>
  <si>
    <t>MEDA Germany Manufacturing GmbH</t>
  </si>
  <si>
    <t>Neurather Ring 1, D-51063 Köln</t>
  </si>
  <si>
    <t>BG</t>
  </si>
  <si>
    <t>Troisdorf</t>
  </si>
  <si>
    <t>MEDA Germany Madaus GmbH</t>
  </si>
  <si>
    <t>Lütticher Str. 5, D - 53842 Troisdorf</t>
  </si>
  <si>
    <t>BH</t>
  </si>
  <si>
    <t>Luxembourg</t>
  </si>
  <si>
    <t>MEDA Pharma SARL (Office Location)</t>
  </si>
  <si>
    <t>2 Place de Paris, 2314 Luxembourg</t>
  </si>
  <si>
    <t>BI</t>
  </si>
  <si>
    <t>Takely</t>
  </si>
  <si>
    <t>MEDA UK</t>
  </si>
  <si>
    <t>Skyway House, Parsonage Road , Takeley, Bishops Stortford , CM22 6PU, UK</t>
  </si>
  <si>
    <t>BJ</t>
  </si>
  <si>
    <t>Dunboyne</t>
  </si>
  <si>
    <t>MEDA Ireland</t>
  </si>
  <si>
    <t>34/35 Block A, Dunboyne Business Pk , Dunboyne, County Meath , Ireland</t>
  </si>
  <si>
    <t>BK</t>
  </si>
  <si>
    <t>Brussels</t>
  </si>
  <si>
    <t>MEDA Belgium</t>
  </si>
  <si>
    <t>Chaussée de la Hulpe 166 Terhulpsesteenweg , 1170 Brussels , Belgium</t>
  </si>
  <si>
    <t>BL</t>
  </si>
  <si>
    <t>Amstelveen</t>
  </si>
  <si>
    <t>MEDA Netherlands Pharma BV</t>
  </si>
  <si>
    <t>Krijgsman 20, 1186 DM Amstelveen, The Netherlands</t>
  </si>
  <si>
    <t>BM</t>
  </si>
  <si>
    <t>Wangen</t>
  </si>
  <si>
    <t>MEDA Switzerland Pharma GmbH</t>
  </si>
  <si>
    <t>Hegnaustrasse 60, 8602 Wangen ZH, Switzerland</t>
  </si>
  <si>
    <t>BN</t>
  </si>
  <si>
    <t>Monza</t>
  </si>
  <si>
    <t>MEDA Italy Meda Pharma S.p.a.</t>
  </si>
  <si>
    <t>via Valosa di Sopra, 9 , 20900 - Monza (MB) - Italia</t>
  </si>
  <si>
    <t>BO</t>
  </si>
  <si>
    <t xml:space="preserve">Austria </t>
  </si>
  <si>
    <t>Wien</t>
  </si>
  <si>
    <t>MEDA Pharma GmbH</t>
  </si>
  <si>
    <t>Guglgasse 15, 1110 Wien, Austria</t>
  </si>
  <si>
    <t>BP</t>
  </si>
  <si>
    <t>Thailand</t>
  </si>
  <si>
    <t>Bangkok</t>
  </si>
  <si>
    <t>MEDA Thailand</t>
  </si>
  <si>
    <t>Panjathani Tower, Floor 18th Zone A, No. 127/23 Nonsee Road, Chongnonsee Sub-District, Yannawa District, Bangkok, 10120</t>
  </si>
  <si>
    <t>BQ</t>
  </si>
  <si>
    <t>Malaysia</t>
  </si>
  <si>
    <t>Selangor</t>
  </si>
  <si>
    <t>MEDA Malaysia</t>
  </si>
  <si>
    <t>Global Business &amp; Convention Centre Block A, Level 2, No 8 Jalan 19/1, 46300 Petaling Jaya, Selangor</t>
  </si>
  <si>
    <t>BR</t>
  </si>
  <si>
    <t>MEDA Greece</t>
  </si>
  <si>
    <t>63 Agiou Dimitriou Street, Alimos, Greece</t>
  </si>
  <si>
    <t>BS</t>
  </si>
  <si>
    <t>Kazakhstan</t>
  </si>
  <si>
    <t>Almaty</t>
  </si>
  <si>
    <t>MEDA Kazakhstan</t>
  </si>
  <si>
    <t>Building 97, Apt. 8, Dostyk Avenue, Almaty, Kazakhstan</t>
  </si>
  <si>
    <t>BT</t>
  </si>
  <si>
    <t>Turkey</t>
  </si>
  <si>
    <t>MEDA Turkey</t>
  </si>
  <si>
    <t>Mustafa Kemal Mahallesi 2132, sokak No: 4/1  , Ankara, Turkey</t>
  </si>
  <si>
    <t>BU</t>
  </si>
  <si>
    <t>Azerbaijan</t>
  </si>
  <si>
    <t>Baku</t>
  </si>
  <si>
    <t>MEDA Azerbaijan</t>
  </si>
  <si>
    <t>Winter Park Plaza, AZ1014, Baku, Nasimi district, M. str., Baku, Azerbaijan</t>
  </si>
  <si>
    <t>BV</t>
  </si>
  <si>
    <t>Basingstoke</t>
  </si>
  <si>
    <t>MEDA United Kingdom Chineham Business Park</t>
  </si>
  <si>
    <t>Cedarwood, Chineham Business Park, Basingstoke, United Kingdom</t>
  </si>
  <si>
    <t>BW</t>
  </si>
  <si>
    <t>Beijing</t>
  </si>
  <si>
    <t>MEDA China</t>
  </si>
  <si>
    <t>China Resources Building, 8 Jianguomen North Street, Dongcheng District, Units 1001-1104 , Beijing, China</t>
  </si>
  <si>
    <t>BX</t>
  </si>
  <si>
    <t>Bishop's Stortford</t>
  </si>
  <si>
    <t>MEDA United Kingdom Bishop's Stortford-Office</t>
  </si>
  <si>
    <t>Parsonage Road, Takeley, Bishop's Stortford, United Kingdom</t>
  </si>
  <si>
    <t>BY</t>
  </si>
  <si>
    <t>MEDA Hungary</t>
  </si>
  <si>
    <t>Vaci utca 91, Budapest, Hungary</t>
  </si>
  <si>
    <t>BZ</t>
  </si>
  <si>
    <t>Egypt</t>
  </si>
  <si>
    <t>Cairo</t>
  </si>
  <si>
    <t>MEDA Egypt</t>
  </si>
  <si>
    <t>El Wozraa Square no. 2, Masaken Sheraton, piece no. 1170, Cairo, Egypt</t>
  </si>
  <si>
    <t>C0</t>
  </si>
  <si>
    <t>Mexico</t>
  </si>
  <si>
    <t>Ciudad de Mexico</t>
  </si>
  <si>
    <t>MEDA Mexico</t>
  </si>
  <si>
    <t>Calle Pico de Verapaz No. 435 - 302, Colonia Jardines en la Montana, Tlalpan, Ciudad de Mexico, Mexico</t>
  </si>
  <si>
    <t>C1</t>
  </si>
  <si>
    <t>Confienza</t>
  </si>
  <si>
    <t>MEDA Italy Confienza-Manufacturing-Via Robbio</t>
  </si>
  <si>
    <t>Via Robbio, 35 , Confienza, Italy</t>
  </si>
  <si>
    <t>C2</t>
  </si>
  <si>
    <t>Decatur</t>
  </si>
  <si>
    <t>MEDA USA Decatur-Warehouse</t>
  </si>
  <si>
    <t>2222 E. Hubbard Avenue, Decatur, United States</t>
  </si>
  <si>
    <t>C3</t>
  </si>
  <si>
    <t>MEDA USA Decatur-Manufacturing</t>
  </si>
  <si>
    <t>705 E. Eldorado Street, Decatur, United States</t>
  </si>
  <si>
    <t>C4</t>
  </si>
  <si>
    <t>Domodedovo</t>
  </si>
  <si>
    <t>MEDA Russia</t>
  </si>
  <si>
    <t>Severny, 1/6 Logisticheskaya Street, Domodedovo, Russian Federation</t>
  </si>
  <si>
    <t>C5</t>
  </si>
  <si>
    <t>United Arab Emirates</t>
  </si>
  <si>
    <t>MEDA UAE</t>
  </si>
  <si>
    <t>Dubai Health Care City, Dubai, United Arab Emirates</t>
  </si>
  <si>
    <t>C6</t>
  </si>
  <si>
    <t>Dublin</t>
  </si>
  <si>
    <t>MEDA Ireland Dublin Manufacturing</t>
  </si>
  <si>
    <t>Damastown Industrial Park, Mulhuddart, Dublin, Ireland</t>
  </si>
  <si>
    <t>C7</t>
  </si>
  <si>
    <t>Goa</t>
  </si>
  <si>
    <t>MEDA India Kundaim Industrial Estate</t>
  </si>
  <si>
    <t>Kundaim Industrial Estate, Kundaim - Ponda, Goa, India</t>
  </si>
  <si>
    <t>C8</t>
  </si>
  <si>
    <t>Hong Kong S. A. R.</t>
  </si>
  <si>
    <t>Kowloon</t>
  </si>
  <si>
    <t>MEDA Hong Kong</t>
  </si>
  <si>
    <t>Flat D, 36/F., Montery Plaza No. 15 Chong Yip Street, Kowloon, Hong Kong, Hong Kong S. A. R.</t>
  </si>
  <si>
    <t>C9</t>
  </si>
  <si>
    <t>Indaiatuba</t>
  </si>
  <si>
    <t>MEDA Brazil</t>
  </si>
  <si>
    <t>Avenida Vitoria Rossi Martini, 31, Indaiatuba, Brazil</t>
  </si>
  <si>
    <t>CA</t>
  </si>
  <si>
    <t>Istanbul</t>
  </si>
  <si>
    <t>MEDA Turkey Maslak Mah</t>
  </si>
  <si>
    <t>Maslak Mah. Buyukdere Cad.No:237 İc Kapı No: 74-75-76-77-78 , Istanbul, Turkey</t>
  </si>
  <si>
    <t>CB</t>
  </si>
  <si>
    <t>Saudi Arabia</t>
  </si>
  <si>
    <t>Jeddah</t>
  </si>
  <si>
    <t>MEDA Saudi Arabia</t>
  </si>
  <si>
    <t>No. 407 Sakura Plaza, Al-Madinah Al-Munawarah Road, As Salamah, Jeddah, Saudi Arabia</t>
  </si>
  <si>
    <t>CC</t>
  </si>
  <si>
    <t>Ukraine</t>
  </si>
  <si>
    <t>Kiev</t>
  </si>
  <si>
    <t>MEDA Ukraine</t>
  </si>
  <si>
    <t>57-B O. Honchara Street, Kiev, Ukraine</t>
  </si>
  <si>
    <t>CD</t>
  </si>
  <si>
    <t>Lisbon</t>
  </si>
  <si>
    <t>MEDA Portugal Lisbon-Office-Expo-Avenida</t>
  </si>
  <si>
    <t>Avenida Dom Joao II Lote 1,02,2,1D 2 Piso, Lisbon, Portugal</t>
  </si>
  <si>
    <t>CE</t>
  </si>
  <si>
    <t>MEDA Portugal Lisbon-Office-Alvalade-Rua</t>
  </si>
  <si>
    <t>Rua do Centro Cultural 13, Lisbon, Portugal</t>
  </si>
  <si>
    <t>CF</t>
  </si>
  <si>
    <t>MEDA Slovenia</t>
  </si>
  <si>
    <t>Dolenjska cesta 242c, Ljubljana, Slovenia</t>
  </si>
  <si>
    <t>CG</t>
  </si>
  <si>
    <t>MEDA Spain</t>
  </si>
  <si>
    <t>Avenida de Castilla, 2, Parque Empresarial San Fernando, Edificio Berlin, Madrid, Spain</t>
  </si>
  <si>
    <t>CH</t>
  </si>
  <si>
    <t>MEDA Luxembourg-Office-Avenue John Fitzgerald Kennedy</t>
  </si>
  <si>
    <t>43 Avenue John Fitzgerald Kennedy, Luxembourg, Luxembourg</t>
  </si>
  <si>
    <t>CI</t>
  </si>
  <si>
    <t>Merignac</t>
  </si>
  <si>
    <t>MEDA France</t>
  </si>
  <si>
    <t>Avenue John Fitzgerald Kennedy, B.P. 90100, Merignac, France</t>
  </si>
  <si>
    <t>CJ</t>
  </si>
  <si>
    <t>Belarus</t>
  </si>
  <si>
    <t>Minsk</t>
  </si>
  <si>
    <t>MEDA Belarus</t>
  </si>
  <si>
    <t>ul. Voronyanskogo 7A, Minsk, Belarus</t>
  </si>
  <si>
    <t>CK</t>
  </si>
  <si>
    <t>Mississauga</t>
  </si>
  <si>
    <t>MEDA Canada</t>
  </si>
  <si>
    <t>2680 Matheson Boulevard, East, Mississauga, Canada</t>
  </si>
  <si>
    <t>CL</t>
  </si>
  <si>
    <t>MEDA Moscow Russia</t>
  </si>
  <si>
    <t>29 Serebryanicheskaya emb., 9th floor, North side, Moscow, Russian Federation</t>
  </si>
  <si>
    <t>CM</t>
  </si>
  <si>
    <t>MEDA Serbia</t>
  </si>
  <si>
    <t>Juzni bulevar 1a, Novi Beograd, Serbia</t>
  </si>
  <si>
    <t>CN</t>
  </si>
  <si>
    <t>MEDA Portugal</t>
  </si>
  <si>
    <t>Rua do Salgueiral, Porto, Portugal</t>
  </si>
  <si>
    <t>CO</t>
  </si>
  <si>
    <t>Sao Paulo</t>
  </si>
  <si>
    <t>MEDA Brazil Office-Rua da Paz</t>
  </si>
  <si>
    <t>Rua da Paz, no. 2059, Chacara Santo Antonio, Sao Paulo, Brazil</t>
  </si>
  <si>
    <t>CP</t>
  </si>
  <si>
    <t>Selangor Darul Ehsan</t>
  </si>
  <si>
    <t>No. 8 Jalan 19/1, Section 19, block A, Level 2, Global Business &amp; Convention Centre, Selangor Darul Ehsan, Malaysia</t>
  </si>
  <si>
    <t>CQ</t>
  </si>
  <si>
    <t>Philippines</t>
  </si>
  <si>
    <t>Taguig</t>
  </si>
  <si>
    <t>MEDA Philippines</t>
  </si>
  <si>
    <t>Unit 1503, 15th floor, 10th Avenue corner 39th Street, Bonifacio Global City, Taguig, Philippines</t>
  </si>
  <si>
    <t>CR</t>
  </si>
  <si>
    <t>MEDA Poland</t>
  </si>
  <si>
    <t>Domaniewska 39A, Warsaw, Poland</t>
  </si>
  <si>
    <t>Armenia</t>
  </si>
  <si>
    <t>Yerevan</t>
  </si>
  <si>
    <t>MEDA Armenia</t>
  </si>
  <si>
    <t>79 Baghramyan Street, Yerevan, Armenia</t>
  </si>
  <si>
    <t>CS</t>
  </si>
  <si>
    <t>CT</t>
  </si>
  <si>
    <t>CU</t>
  </si>
  <si>
    <t>CV</t>
  </si>
  <si>
    <t>CW</t>
  </si>
  <si>
    <t>CX</t>
  </si>
  <si>
    <t>CY</t>
  </si>
  <si>
    <t>CZ</t>
  </si>
  <si>
    <t>D0</t>
  </si>
  <si>
    <t>Azure</t>
  </si>
  <si>
    <t>Microsoft Cloud</t>
  </si>
  <si>
    <t>D1</t>
  </si>
  <si>
    <t>East US</t>
  </si>
  <si>
    <t>IT Applications and NA-IT-Applications</t>
  </si>
  <si>
    <t>D2</t>
  </si>
  <si>
    <t>East US 2</t>
  </si>
  <si>
    <t>D3</t>
  </si>
  <si>
    <t>West Europe</t>
  </si>
  <si>
    <t>D4</t>
  </si>
  <si>
    <t xml:space="preserve">Germany West Central </t>
  </si>
  <si>
    <t>D5</t>
  </si>
  <si>
    <t>West US</t>
  </si>
  <si>
    <t xml:space="preserve">Cloud </t>
  </si>
  <si>
    <t xml:space="preserve">Azure </t>
  </si>
  <si>
    <t>D6</t>
  </si>
  <si>
    <t>France Central</t>
  </si>
  <si>
    <t>D7</t>
  </si>
  <si>
    <t>D8</t>
  </si>
  <si>
    <t>D9</t>
  </si>
  <si>
    <t>DA</t>
  </si>
  <si>
    <t>DB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</si>
  <si>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</si>
  <si>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</si>
  <si>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</si>
  <si>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</si>
  <si>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</si>
  <si>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</si>
  <si>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</si>
  <si>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</si>
  <si>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</si>
  <si>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</si>
  <si>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</si>
  <si>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</si>
  <si>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</si>
  <si>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</si>
  <si>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</si>
  <si>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</si>
  <si>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</si>
  <si>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</si>
  <si>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</si>
  <si>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</si>
  <si>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</si>
  <si>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</si>
  <si>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</si>
  <si>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E0</t>
  </si>
  <si>
    <t>Algiers</t>
  </si>
  <si>
    <t>Algiers Legacy UPJ MFG</t>
  </si>
  <si>
    <t>Zone industrielle oued smar dar el beida, algiers algeria, 16000</t>
  </si>
  <si>
    <t>E1</t>
  </si>
  <si>
    <t>Giza</t>
  </si>
  <si>
    <t>Giza Legacy UPJ MFG</t>
  </si>
  <si>
    <t>154 el-sawra street. almaza, cairo egypt, 11511</t>
  </si>
  <si>
    <t>E2</t>
  </si>
  <si>
    <t>Istanbul Legacy UPJ MFG</t>
  </si>
  <si>
    <t>Sti muallim naci cad no:55 34347 ortakoy, istanbul turkey, 34347</t>
  </si>
  <si>
    <t>E3</t>
  </si>
  <si>
    <t>Istanbul Legacy UPJ MFG Distribution center</t>
  </si>
  <si>
    <t>teztrans lojistik gebze organize sanayi bölgesi 1000. cad. no:1023 41420 çayırova-kocaeli / turkey</t>
  </si>
  <si>
    <t>E4</t>
  </si>
  <si>
    <t>Vega Baja</t>
  </si>
  <si>
    <t>Vega Baja Legacy UPJ MFG</t>
  </si>
  <si>
    <t>bo. carmelita road 689, km 1.9, vega baja puerto rico, 00694</t>
  </si>
  <si>
    <t>E5</t>
  </si>
  <si>
    <t>Barceloneta</t>
  </si>
  <si>
    <t>Barceloneta Legacy UPJ MFG</t>
  </si>
  <si>
    <t>highway no.2. km 58.2, barceloneta puerto rico, 00617</t>
  </si>
  <si>
    <t>E6</t>
  </si>
  <si>
    <t>Little Island</t>
  </si>
  <si>
    <t>Little Island Legacy UPJ MFG</t>
  </si>
  <si>
    <t>little island api castle road wallington, little island cork ireland</t>
  </si>
  <si>
    <t> </t>
  </si>
  <si>
    <t>E7</t>
  </si>
  <si>
    <t>Dalian</t>
  </si>
  <si>
    <t>Dalian Legacy UPJ MFG</t>
  </si>
  <si>
    <t>no. 22 daqing road, dalian liao ning china, 116600</t>
  </si>
  <si>
    <t>E8</t>
  </si>
  <si>
    <t>E9</t>
  </si>
  <si>
    <t>Riyadh</t>
  </si>
  <si>
    <t>Riyadh-Office-King Fahad</t>
  </si>
  <si>
    <t>King Fahd Branch Rd, Al Mohammadiyyah, Tatweer Towers</t>
  </si>
  <si>
    <t>EA</t>
  </si>
  <si>
    <t>Jeddah Commercial Office</t>
  </si>
  <si>
    <t>Viatris Saudi Arabia (Upjohn Export B.V.), King’s Road Tower, 14th Floor, 7524 - Ash Shati Dist. Unit No 52, King Abdul Aziz Road, Jeddah 23412, Saudi Arabia</t>
  </si>
  <si>
    <t>EB</t>
  </si>
  <si>
    <t>Beijing Commercial Office</t>
  </si>
  <si>
    <t>7-13/F, Tower B, Minmental's Plaza, (Formally named 5th Square), 5 Chaoyangmen Bei Dajie (Convey Floors 12 - 13)</t>
  </si>
  <si>
    <t>EC</t>
  </si>
  <si>
    <t>Costa Rica</t>
  </si>
  <si>
    <t>San Jose</t>
  </si>
  <si>
    <t>San Jose Commercial Office</t>
  </si>
  <si>
    <t>Edifio Meridiano Pisos 5, 6 y, 7, Diagonal a Multiplaza, San Rafael, Escazu, Costa Rica</t>
  </si>
  <si>
    <t>ED</t>
  </si>
  <si>
    <t>Capelle aan den IJssel</t>
  </si>
  <si>
    <t>Capelle a/d Ijssel Commercial Office</t>
  </si>
  <si>
    <t>Rivium Westlaan 142, Capelle aan den Ijssel, Netherlands</t>
  </si>
  <si>
    <t>EE</t>
  </si>
  <si>
    <t>Shanghai Commercial Office</t>
  </si>
  <si>
    <t>One Museum Place 46 Fl &amp; 47 Fl</t>
  </si>
  <si>
    <t>EF</t>
  </si>
  <si>
    <t>Alexandria</t>
  </si>
  <si>
    <t>Alexandria Commercial Office</t>
  </si>
  <si>
    <t>3 Mina St, Kafr Abdo, Alexandria</t>
  </si>
  <si>
    <t>EG</t>
  </si>
  <si>
    <t>Ortakoy</t>
  </si>
  <si>
    <t>Ortakoy Commercial Office</t>
  </si>
  <si>
    <t>Muallim Naci Cad Building 55 Ortakoy Istanbul, 34 347 Turkey</t>
  </si>
  <si>
    <t>EH</t>
  </si>
  <si>
    <t>Hong Kong</t>
  </si>
  <si>
    <t>One Island East</t>
  </si>
  <si>
    <t>One Island East Commercial Office</t>
  </si>
  <si>
    <t>Suite 2401-7 &amp; 12, 24th floor, One Island East, 18 Westlands Road, Quarry Bay, Hong Kong</t>
  </si>
  <si>
    <t>EI</t>
  </si>
  <si>
    <t>Dubai Commercial Office</t>
  </si>
  <si>
    <t>Atlas Business Centre, Dubai Media City, Al Sufouh 2, Al Sufouh, Jumeirah District, Dubai</t>
  </si>
  <si>
    <t>EJ</t>
  </si>
  <si>
    <t>Vietnam</t>
  </si>
  <si>
    <t>Ho Chi Min</t>
  </si>
  <si>
    <t>Ho Chi Min Commercial Office</t>
  </si>
  <si>
    <t>Viatris, Friendship Tower, 31 Le Duan Boulevard, Ben Nghe Ward, District 1, Ho Chi Minh City, Vietnam</t>
  </si>
  <si>
    <t>EK</t>
  </si>
  <si>
    <t>Manila</t>
  </si>
  <si>
    <t>Manila Commercial Office</t>
  </si>
  <si>
    <t>22nd floor Units C&amp;D, Menarco Tower, 32nd St., Bonifacio Global City, Taguig City 1634, Metro Manila, Philippines</t>
  </si>
  <si>
    <t>EL</t>
  </si>
  <si>
    <t>Mexico City</t>
  </si>
  <si>
    <t>Mexico Commercial Office</t>
  </si>
  <si>
    <t>Corporativo Century Plaza, Av. Santa Fe No. 440, Col. Santa Fe Cuajimalpa, Alcaldía Cuajimalpa de Morelos, C.P. 05348, Mexico City</t>
  </si>
  <si>
    <t>EM</t>
  </si>
  <si>
    <t>Korea</t>
  </si>
  <si>
    <t>Seoul Commercial Office</t>
  </si>
  <si>
    <t>15F, Tower B, Grand Central, 14, Sejong-daero, Jung-gu, Seoul, Korea</t>
  </si>
  <si>
    <t>EN</t>
  </si>
  <si>
    <t>Taipei</t>
  </si>
  <si>
    <t>Taipei Commercial Office</t>
  </si>
  <si>
    <t>Unit A, E-1 of 27 floor27F No. 7 XinYi Road Section 5, Taipei</t>
  </si>
  <si>
    <t>EO</t>
  </si>
  <si>
    <t>Cairo Commercial Office</t>
  </si>
  <si>
    <t>Forty Seven Offices Building LLC, Plot No 181, Second Sector, Fifth Settlement, New Cairo, Egypt</t>
  </si>
  <si>
    <t>EP</t>
  </si>
  <si>
    <t>Macau</t>
  </si>
  <si>
    <t>Macau Commercial Office</t>
  </si>
  <si>
    <t xml:space="preserve">Macao Square Commercial Building in Macao, at Rua do Pedro José Lobo, no.2~16A, Avenida Infante D. Henrique, no.43~53A, Avenida Dr. Mário Soares, no.81~113 </t>
  </si>
  <si>
    <t>EQ</t>
  </si>
  <si>
    <t>Kuala Lumpur</t>
  </si>
  <si>
    <t>Kuala Lumpur Commercial Office</t>
  </si>
  <si>
    <t>(IMAZIUM): 15-03 &amp; 15-04, Level 15, No. 8, Jalan SS21/37, Damansara Uptown, 47400 Petaling Jaya, Selangor</t>
  </si>
  <si>
    <t>ER</t>
  </si>
  <si>
    <t>Penang</t>
  </si>
  <si>
    <t>Penang Commercial Office</t>
  </si>
  <si>
    <t>Anson Cube, 138-6-1, Jalan Anson, 10400 Penang</t>
  </si>
  <si>
    <t>ES</t>
  </si>
  <si>
    <t>Taichung</t>
  </si>
  <si>
    <t>Taichung Commercial Office</t>
  </si>
  <si>
    <t>Cathay Life Insurance GongYi Building, B2 Unit, 11F, No.51, Sec. 2, Gongyi Rd., Nantun Dist., Taichung, Taiwan</t>
  </si>
  <si>
    <t>ET</t>
  </si>
  <si>
    <t>Kaoshiung</t>
  </si>
  <si>
    <t>Kaoshiung Commercial Office</t>
  </si>
  <si>
    <t>Cathay Life Insurance Commercial Building, B1 Unit, 16F, No.502, Jiuru 1st Rd., Sanmin Dist., Kaohsiung, Taiwan</t>
  </si>
  <si>
    <t>EU</t>
  </si>
  <si>
    <t>Bangkok Commercial Office</t>
  </si>
  <si>
    <t>The PARQ, 88 Ratchadaphisek Road, Khlong Toei, Bangkok 10110</t>
  </si>
  <si>
    <t>EV</t>
  </si>
  <si>
    <t>Hanoi</t>
  </si>
  <si>
    <t>Hanoi Commercial Office</t>
  </si>
  <si>
    <t>Oriental Tower, 324 Tay Son, Dong Da Dist, Hanoi</t>
  </si>
  <si>
    <t>EW</t>
  </si>
  <si>
    <t>Moscow Commercial Office</t>
  </si>
  <si>
    <t>Russian Federation, 125315, Moscow, Leningradsky prospect, 72, bldg. 4, floor 2.</t>
  </si>
  <si>
    <t>EX</t>
  </si>
  <si>
    <t>Singapore Commercial Office</t>
  </si>
  <si>
    <t>#14-08 to 16, Westgate Tower 1 Gateway Drive, Singapore, Republic of Singapore 608531</t>
  </si>
  <si>
    <t>EY</t>
  </si>
  <si>
    <t>Guangzhou</t>
  </si>
  <si>
    <t>Guangzhou Commercial Office</t>
  </si>
  <si>
    <t>Central Tower 1807-11, No.5, Xiancun Road, Tianhe District, Guangzhou.</t>
  </si>
  <si>
    <t>EZ</t>
  </si>
  <si>
    <t>Equinix Shanghai Datacenter</t>
  </si>
  <si>
    <t>Viatris (C/O Equinix), SH6:03:010420, 898 Xinling road, Waigaoqiao free trade zone, Pudong District, Shanghai, PRC</t>
  </si>
  <si>
    <t>F0</t>
  </si>
  <si>
    <t>Legacy Upjohn Warehouse</t>
  </si>
  <si>
    <t>143080, Moscow region, Odintsovo city district, Village Lesnoy Gorodok, Energetikov street, 10, Logistic complex "ITELLA",
room number (according to the internal numbering) room 244, floor 2</t>
  </si>
  <si>
    <t>F1</t>
  </si>
  <si>
    <t>F2</t>
  </si>
  <si>
    <t>F3</t>
  </si>
  <si>
    <t>F4</t>
  </si>
  <si>
    <t>F5</t>
  </si>
  <si>
    <t>F6</t>
  </si>
  <si>
    <t>Nigeria</t>
  </si>
  <si>
    <t>Lagos</t>
  </si>
  <si>
    <t>Lagos-Office-Reverend</t>
  </si>
  <si>
    <t>2B Reverend Ogunbiyi Crescent, Ikeja Gra</t>
  </si>
  <si>
    <t>F7</t>
  </si>
  <si>
    <t>Morocco</t>
  </si>
  <si>
    <t>Casablanca</t>
  </si>
  <si>
    <t>Casablanca Commercial Office</t>
  </si>
  <si>
    <t> Anfa Place, Boulevard de la corniche Ain Diab,Casablanca, Morocco</t>
  </si>
  <si>
    <t>F8</t>
  </si>
  <si>
    <t>F9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</si>
  <si>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</si>
  <si>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</si>
  <si>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</si>
  <si>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</si>
  <si>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</si>
  <si>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</si>
  <si>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</si>
  <si>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</si>
  <si>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</si>
  <si>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</si>
  <si>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</si>
  <si>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</si>
  <si>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</si>
  <si>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</si>
  <si>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</si>
  <si>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</si>
  <si>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</si>
  <si>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</si>
  <si>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</si>
  <si>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</si>
  <si>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</si>
  <si>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</si>
  <si>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</si>
  <si>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</si>
  <si>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</si>
  <si>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</si>
  <si>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</si>
  <si>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</si>
  <si>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</si>
  <si>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</si>
  <si>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</si>
  <si>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</si>
  <si>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</si>
  <si>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</si>
  <si>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</si>
  <si>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</si>
  <si>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</si>
  <si>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</si>
  <si>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</si>
  <si>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</si>
  <si>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</si>
  <si>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</si>
  <si>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</si>
  <si>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</si>
  <si>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</si>
  <si>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</si>
  <si>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</si>
  <si>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</si>
  <si>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</si>
  <si>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</si>
  <si>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</si>
  <si>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</si>
  <si>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</si>
  <si>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</si>
  <si>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</si>
  <si>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</si>
  <si>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</si>
  <si>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</si>
  <si>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</si>
  <si>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</si>
  <si>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</si>
  <si>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</si>
  <si>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</si>
  <si>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</si>
  <si>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</si>
  <si>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</si>
  <si>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</si>
  <si>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</si>
  <si>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</si>
  <si>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</si>
  <si>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</si>
  <si>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</si>
  <si>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</si>
  <si>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</si>
  <si>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</si>
  <si>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</si>
  <si>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</si>
  <si>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</si>
  <si>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</si>
  <si>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</si>
  <si>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</si>
  <si>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</si>
  <si>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</si>
  <si>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</si>
  <si>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</si>
  <si>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</si>
  <si>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</si>
  <si>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</si>
  <si>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</si>
  <si>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</si>
  <si>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</si>
  <si>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</si>
  <si>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</si>
  <si>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</si>
  <si>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</si>
  <si>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</si>
  <si>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</si>
  <si>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</si>
  <si>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Bioanalytical</t>
  </si>
  <si>
    <t>Empower</t>
  </si>
  <si>
    <t>Japan GMP</t>
  </si>
  <si>
    <t>Genesis</t>
  </si>
  <si>
    <t>Hanswell</t>
  </si>
  <si>
    <t>I</t>
  </si>
  <si>
    <t>LIMS</t>
  </si>
  <si>
    <t>Mastersizer</t>
  </si>
  <si>
    <t>Opus</t>
  </si>
  <si>
    <t>Quality Control</t>
  </si>
  <si>
    <t xml:space="preserve">Research </t>
  </si>
  <si>
    <t>Siebel</t>
  </si>
  <si>
    <t>TEAMS</t>
  </si>
  <si>
    <t>Tiamo</t>
  </si>
  <si>
    <t>UVWIN</t>
  </si>
  <si>
    <t>Visual 2001</t>
  </si>
  <si>
    <t>Watson</t>
  </si>
  <si>
    <t>Wincats</t>
  </si>
  <si>
    <t>SL</t>
  </si>
  <si>
    <t>Smartlab</t>
  </si>
  <si>
    <t>D%$&amp;01_5273589f9adc4f40b737dab228b0af42</t>
  </si>
  <si>
    <t>Matthew S. Fouts_4569_Mylan_Windows (32-bit) NT 6.01_03-MSFOUTSLT_msfouts$$$18072014</t>
  </si>
  <si>
    <t>"r[&amp;!2360"</t>
  </si>
  <si>
    <t>Matthew S. Fouts_4569_MYLAN_Windows (32-bit) NT 6.01_03-MSFOUTSLT_msfouts$$$22102014</t>
  </si>
  <si>
    <t>"$6yz!165"</t>
  </si>
  <si>
    <t>Matthew S. Fouts_4675_MYLAN_Windows (32-bit) NT 6.01_03-MSFOUTS_msfouts$$$09012015</t>
  </si>
  <si>
    <t>"`z{!1"</t>
  </si>
  <si>
    <t>Frank Ferguson_4701__Windows (32-bit) NT 6.02_0R-M503610SURF3_m503610$$$17062015</t>
  </si>
  <si>
    <t>"$AyP!1"</t>
  </si>
  <si>
    <t>Frank Ferguson_4753__Windows (32-bit) NT 6.02_0R-M503610SURF3_m503610$$$16092015</t>
  </si>
  <si>
    <t>"$3%m!1"</t>
  </si>
  <si>
    <t>Frank Ferguson_4787__Windows (32-bit) NT :.00_0R-M503610BOOK_m503610$$$02022016</t>
  </si>
  <si>
    <t>"_y0!1"</t>
  </si>
  <si>
    <t>Frank Ferguson_4779__Windows (32-bit) NT :.00_0R-M503610BOOK_m503610$$$04042016</t>
  </si>
  <si>
    <t>"8PD!1"</t>
  </si>
  <si>
    <t>Frank Ferguson_6741__Windows (32-bit) NT :.00_0R-M503610BOOK_m503610$$$21062016</t>
  </si>
  <si>
    <t>"$IUd!1"</t>
  </si>
  <si>
    <t>Frank Ferguson_6769__Windows (32-bit) NT :.00_0R-M503610DT_m503610$$$24082016</t>
  </si>
  <si>
    <t>"$F&amp;w!1"</t>
  </si>
  <si>
    <t>Frank Ferguson_6925__Windows (32-bit) NT 10.00_0R-M503610BOOK_m503610$$$14092016</t>
  </si>
  <si>
    <t>"0Sx!1"</t>
  </si>
  <si>
    <t>Frank Ferguson_6769__Windows (32-bit) NT :.00_MININT-IM6Q3JS_m503610$$$02112016</t>
  </si>
  <si>
    <t>"$.F{!1"</t>
  </si>
  <si>
    <t>Frank Ferguson_6925__Windows (32-bit) NT 10.00_0R-M503610LT2_m503610$$$06042017</t>
  </si>
  <si>
    <t>")lC!1"</t>
  </si>
  <si>
    <t>Frank Ferguson_7830__Windows (32-bit) NT 10.00_0R-M503610LT2_m503610$$$26052017</t>
  </si>
  <si>
    <t>"$%M8!1"</t>
  </si>
  <si>
    <t>Frank Ferguson_8201__Windows (32-bit) NT 10.00_0R-M503610LT2_m503610$$$06072017</t>
  </si>
  <si>
    <t>"$(Z&lt;!1"</t>
  </si>
  <si>
    <t>Frank Ferguson_8229__Windows (32-bit) NT 10.00_0R-M503610LT2_m503610$$$20072017</t>
  </si>
  <si>
    <t>"')V!1"</t>
  </si>
  <si>
    <t>Frank Ferguson_8326__Windows (32-bit) NT 10.00_0R-M503610LT2_m503610$$$18092017</t>
  </si>
  <si>
    <t>"e9.!1"</t>
  </si>
  <si>
    <t>Frank Ferguson_8431__Windows (32-bit) NT 10.00_0R-M503610LT2_m503610$$$10102017</t>
  </si>
  <si>
    <t>"W{;!1"</t>
  </si>
  <si>
    <t>Frank Ferguson_8528__Windows (32-bit) NT 10.00_0R-M503610LT2_m503610$$$25102017</t>
  </si>
  <si>
    <t>"$1IT!1"</t>
  </si>
  <si>
    <t>Frank Ferguson_8625__Windows (32-bit) NT 10.00_0R-M503610LT2_m503610$$$14112017</t>
  </si>
  <si>
    <t>"$J3O!1"</t>
  </si>
  <si>
    <t>Frank Ferguson_9029__Windows (32-bit) NT 10.00_0R-M503610LT3_m503610$$$06032018</t>
  </si>
  <si>
    <t>"N7_!1"</t>
  </si>
  <si>
    <t>Frank Ferguson_9226__Windows (32-bit) NT 10.00_0R-M503610LT3_m503610$$$17052018</t>
  </si>
  <si>
    <t>"QK}!1"</t>
  </si>
  <si>
    <t>Frank Ferguson_10730__Windows (32-bit) NT 10.00_0R-M503610_m503610$$$14092018</t>
  </si>
  <si>
    <t>"=Mb!1"</t>
  </si>
  <si>
    <t>Frank Ferguson_11001__Windows (32-bit) NT 10.00_0R-M503610_m503610$$$25102018</t>
  </si>
  <si>
    <t>"$Alq!1"</t>
  </si>
  <si>
    <t>Frank Ferguson_11126__Windows (32-bit) NT 10.00_0R-M503610_m503610$$$01022019</t>
  </si>
  <si>
    <t>"FZ:!1"</t>
  </si>
  <si>
    <t>Frank Ferguson_11328__Windows (32-bit) NT 10.00_MININT-KB3IAVA_m503610$$$22022019</t>
  </si>
  <si>
    <t>"x(I!1"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</si>
</sst>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\&quot;* #,##0_-;&quot;\&quot;&quot;\&quot;&quot;\&quot;&quot;\&quot;&quot;\&quot;&quot;\&quot;&quot;\&quot;&quot;\&quot;&quot;\&quot;&quot;\&quot;&quot;\&quot;&quot;\&quot;\-&quot;\&quot;* #,##0_-;_-&quot;\&quot;* &quot;-&quot;_-;_-@_-"/>
    <numFmt numFmtId="165" formatCode="_-&quot;\&quot;* #,##0.00_-;&quot;\&quot;&quot;\&quot;&quot;\&quot;&quot;\&quot;&quot;\&quot;&quot;\&quot;&quot;\&quot;&quot;\&quot;&quot;\&quot;&quot;\&quot;&quot;\&quot;&quot;\&quot;\-&quot;\&quot;* #,##0.00_-;_-&quot;\&quot;* &quot;-&quot;??_-;_-@_-"/>
    <numFmt numFmtId="166" formatCode="_-* #,##0_-;&quot;\&quot;&quot;\&quot;&quot;\&quot;&quot;\&quot;&quot;\&quot;&quot;\&quot;&quot;\&quot;&quot;\&quot;&quot;\&quot;&quot;\&quot;&quot;\&quot;&quot;\&quot;\-* #,##0_-;_-* &quot;-&quot;_-;_-@_-"/>
    <numFmt numFmtId="167" formatCode="_-* #,##0.00_-;&quot;\&quot;&quot;\&quot;&quot;\&quot;&quot;\&quot;&quot;\&quot;&quot;\&quot;&quot;\&quot;&quot;\&quot;&quot;\&quot;&quot;\&quot;&quot;\&quot;&quot;\&quot;\-* #,##0.00_-;_-* &quot;-&quot;??_-;_-@_-"/>
    <numFmt numFmtId="168" formatCode="&quot;$&quot;#,##0;\-&quot;$&quot;#,##0"/>
    <numFmt numFmtId="169" formatCode="_-* #,##0.00_-;&quot;\&quot;&quot;\&quot;&quot;\&quot;&quot;\&quot;&quot;\&quot;\-* #,##0.00_-;_-* &quot;-&quot;??_-;_-@_-"/>
    <numFmt numFmtId="170" formatCode="&quot;\&quot;#,##0;[Red]&quot;\&quot;&quot;\&quot;&quot;\&quot;&quot;\&quot;&quot;\&quot;&quot;\&quot;\-&quot;\&quot;#,##0"/>
    <numFmt numFmtId="171" formatCode="&quot;\&quot;#,##0;[Red]&quot;\&quot;&quot;\&quot;&quot;\&quot;&quot;\&quot;&quot;\&quot;&quot;\&quot;&quot;\&quot;\-&quot;\&quot;#,##0"/>
    <numFmt numFmtId="172" formatCode="&quot;\&quot;#,##0.00;[Red]&quot;\&quot;&quot;\&quot;&quot;\&quot;&quot;\&quot;&quot;\&quot;&quot;\&quot;&quot;\&quot;\-&quot;\&quot;#,##0.00"/>
    <numFmt numFmtId="173" formatCode="_-&quot;\&quot;* #,##0.00_-;&quot;\&quot;&quot;\&quot;&quot;\&quot;&quot;\&quot;&quot;\&quot;\-&quot;\&quot;* #,##0.00_-;_-&quot;\&quot;* &quot;-&quot;??_-;_-@_-"/>
    <numFmt numFmtId="174" formatCode="&quot;\&quot;#,##0;&quot;\&quot;&quot;\&quot;&quot;\&quot;&quot;\&quot;&quot;\&quot;&quot;\&quot;\-&quot;\&quot;#,##0"/>
    <numFmt numFmtId="175" formatCode="&quot;\&quot;#,##0;&quot;\&quot;&quot;\&quot;&quot;\&quot;&quot;\&quot;&quot;\&quot;&quot;\&quot;&quot;\&quot;\-&quot;\&quot;#,##0"/>
    <numFmt numFmtId="176" formatCode="&quot;\&quot;#,##0.00;&quot;\&quot;&quot;\&quot;&quot;\&quot;&quot;\&quot;&quot;\&quot;&quot;\&quot;&quot;\&quot;\-&quot;\&quot;#,##0.00"/>
  </numFmts>
  <fonts count="33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¹ÙÅÁÃ¼"/>
      <family val="1"/>
      <charset val="129"/>
    </font>
    <font>
      <sz val="10"/>
      <name val="Arial"/>
      <family val="2"/>
    </font>
    <font>
      <sz val="12"/>
      <name val="Tms Rmn"/>
    </font>
    <font>
      <b/>
      <sz val="10"/>
      <name val="MS Sans Serif"/>
    </font>
    <font>
      <sz val="12"/>
      <name val="±¼¸²Ã¼"/>
      <family val="3"/>
      <charset val="129"/>
    </font>
    <font>
      <b/>
      <sz val="8"/>
      <name val="Arial"/>
      <family val="2"/>
    </font>
    <font>
      <sz val="10"/>
      <name val="Times New Roman"/>
      <family val="1"/>
    </font>
    <font>
      <sz val="7"/>
      <name val="Small Fonts"/>
    </font>
    <font>
      <b/>
      <sz val="10"/>
      <name val="MS Sans Serif"/>
      <family val="2"/>
    </font>
    <font>
      <sz val="10"/>
      <name val="Times New Roman"/>
      <family val="1"/>
    </font>
    <font>
      <sz val="7"/>
      <name val="Small Fonts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Helv"/>
    </font>
    <font>
      <strike/>
      <sz val="10"/>
      <name val="Arial"/>
      <family val="2"/>
    </font>
    <font>
      <sz val="10"/>
      <name val="Segoe UI"/>
      <family val="2"/>
    </font>
    <font>
      <sz val="9.5"/>
      <name val="Segoe U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trike/>
      <sz val="10"/>
      <color rgb="FFFF0000"/>
      <name val="Arial"/>
      <family val="2"/>
    </font>
    <font>
      <sz val="10"/>
      <color rgb="FF000000"/>
      <name val="Arial"/>
      <family val="2"/>
    </font>
    <font>
      <sz val="10.5"/>
      <color rgb="FF1F1F1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3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8" fontId="10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0" fontId="11" fillId="0" borderId="0"/>
    <xf numFmtId="0" fontId="12" fillId="0" borderId="2">
      <alignment horizontal="center"/>
    </xf>
    <xf numFmtId="38" fontId="6" fillId="2" borderId="0" applyNumberFormat="0" applyBorder="0" applyAlignment="0" applyProtection="0"/>
    <xf numFmtId="38" fontId="1" fillId="2" borderId="0" applyNumberFormat="0" applyBorder="0" applyAlignment="0" applyProtection="0"/>
    <xf numFmtId="0" fontId="5" fillId="0" borderId="3" applyNumberFormat="0" applyAlignment="0" applyProtection="0">
      <alignment horizontal="left" vertical="center"/>
    </xf>
    <xf numFmtId="0" fontId="5" fillId="0" borderId="4">
      <alignment horizontal="left" vertical="center"/>
    </xf>
    <xf numFmtId="10" fontId="6" fillId="3" borderId="5" applyNumberFormat="0" applyBorder="0" applyAlignment="0" applyProtection="0"/>
    <xf numFmtId="10" fontId="1" fillId="3" borderId="5" applyNumberFormat="0" applyBorder="0" applyAlignment="0" applyProtection="0"/>
    <xf numFmtId="16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37" fontId="14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0" fontId="3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4" fillId="0" borderId="0"/>
  </cellStyleXfs>
  <cellXfs count="80">
    <xf numFmtId="0" fontId="0" fillId="0" borderId="0" xfId="0"/>
    <xf numFmtId="49" fontId="0" fillId="0" borderId="0" xfId="0" applyNumberFormat="1"/>
    <xf numFmtId="0" fontId="18" fillId="0" borderId="0" xfId="0" applyFont="1"/>
    <xf numFmtId="49" fontId="18" fillId="0" borderId="0" xfId="0" applyNumberFormat="1" applyFont="1"/>
    <xf numFmtId="0" fontId="19" fillId="4" borderId="5" xfId="0" applyFont="1" applyFill="1" applyBorder="1"/>
    <xf numFmtId="0" fontId="19" fillId="4" borderId="5" xfId="0" applyFont="1" applyFill="1" applyBorder="1" applyAlignment="1">
      <alignment horizontal="left"/>
    </xf>
    <xf numFmtId="0" fontId="19" fillId="4" borderId="5" xfId="0" applyFont="1" applyFill="1" applyBorder="1" applyAlignment="1">
      <alignment horizontal="center"/>
    </xf>
    <xf numFmtId="0" fontId="18" fillId="0" borderId="5" xfId="0" applyFont="1" applyBorder="1"/>
    <xf numFmtId="0" fontId="20" fillId="0" borderId="5" xfId="0" applyFont="1" applyBorder="1" applyAlignment="1">
      <alignment horizontal="left"/>
    </xf>
    <xf numFmtId="0" fontId="18" fillId="0" borderId="5" xfId="0" applyFont="1" applyBorder="1" applyAlignment="1">
      <alignment horizontal="center"/>
    </xf>
    <xf numFmtId="0" fontId="27" fillId="0" borderId="5" xfId="0" applyFont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8" fillId="5" borderId="5" xfId="0" applyFont="1" applyFill="1" applyBorder="1" applyAlignment="1">
      <alignment horizontal="left" wrapText="1"/>
    </xf>
    <xf numFmtId="49" fontId="24" fillId="0" borderId="5" xfId="0" applyNumberFormat="1" applyFont="1" applyBorder="1"/>
    <xf numFmtId="0" fontId="24" fillId="0" borderId="5" xfId="0" applyFont="1" applyBorder="1"/>
    <xf numFmtId="0" fontId="24" fillId="0" borderId="5" xfId="0" applyFont="1" applyBorder="1" applyAlignment="1">
      <alignment horizontal="left"/>
    </xf>
    <xf numFmtId="0" fontId="25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0" fontId="28" fillId="0" borderId="8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center" wrapText="1"/>
    </xf>
    <xf numFmtId="0" fontId="19" fillId="0" borderId="5" xfId="0" applyFont="1" applyBorder="1"/>
    <xf numFmtId="0" fontId="0" fillId="0" borderId="5" xfId="0" applyBorder="1"/>
    <xf numFmtId="0" fontId="2" fillId="0" borderId="5" xfId="0" applyFont="1" applyBorder="1"/>
    <xf numFmtId="0" fontId="2" fillId="0" borderId="5" xfId="0" applyFont="1" applyBorder="1" applyAlignment="1">
      <alignment horizontal="left"/>
    </xf>
    <xf numFmtId="49" fontId="2" fillId="0" borderId="5" xfId="0" applyNumberFormat="1" applyFont="1" applyBorder="1" applyAlignment="1">
      <alignment horizontal="center"/>
    </xf>
    <xf numFmtId="0" fontId="2" fillId="0" borderId="5" xfId="6" applyBorder="1" applyAlignment="1">
      <alignment vertical="top" wrapText="1"/>
    </xf>
    <xf numFmtId="0" fontId="2" fillId="0" borderId="5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" fillId="0" borderId="0" xfId="0" applyFont="1"/>
    <xf numFmtId="49" fontId="2" fillId="0" borderId="0" xfId="0" applyNumberFormat="1" applyFont="1"/>
    <xf numFmtId="49" fontId="2" fillId="0" borderId="5" xfId="0" applyNumberFormat="1" applyFont="1" applyBorder="1" applyAlignment="1">
      <alignment horizontal="left"/>
    </xf>
    <xf numFmtId="49" fontId="2" fillId="0" borderId="5" xfId="0" applyNumberFormat="1" applyFont="1" applyBorder="1"/>
    <xf numFmtId="0" fontId="2" fillId="0" borderId="5" xfId="0" applyFont="1" applyBorder="1" applyAlignment="1">
      <alignment wrapText="1"/>
    </xf>
    <xf numFmtId="0" fontId="2" fillId="0" borderId="5" xfId="1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2" fillId="0" borderId="5" xfId="117" applyBorder="1" applyAlignment="1">
      <alignment vertical="top" wrapText="1"/>
    </xf>
    <xf numFmtId="0" fontId="2" fillId="0" borderId="5" xfId="119" applyBorder="1" applyAlignment="1">
      <alignment vertical="top" wrapText="1"/>
    </xf>
    <xf numFmtId="0" fontId="2" fillId="0" borderId="5" xfId="121" applyBorder="1" applyAlignment="1">
      <alignment vertical="top" wrapText="1"/>
    </xf>
    <xf numFmtId="0" fontId="2" fillId="0" borderId="5" xfId="17" applyBorder="1" applyAlignment="1">
      <alignment horizontal="left" wrapText="1"/>
    </xf>
    <xf numFmtId="0" fontId="2" fillId="0" borderId="5" xfId="142" applyFont="1" applyBorder="1" applyAlignment="1">
      <alignment vertical="top" wrapText="1"/>
    </xf>
    <xf numFmtId="0" fontId="2" fillId="0" borderId="5" xfId="19" applyBorder="1" applyAlignment="1">
      <alignment horizontal="left" vertical="top" wrapText="1"/>
    </xf>
    <xf numFmtId="0" fontId="2" fillId="0" borderId="5" xfId="13" applyBorder="1" applyAlignment="1">
      <alignment horizontal="left" wrapText="1"/>
    </xf>
    <xf numFmtId="0" fontId="2" fillId="0" borderId="5" xfId="18" applyBorder="1" applyAlignment="1">
      <alignment horizontal="left" wrapText="1"/>
    </xf>
    <xf numFmtId="0" fontId="2" fillId="0" borderId="5" xfId="15" applyBorder="1" applyAlignment="1">
      <alignment horizontal="left" wrapText="1"/>
    </xf>
    <xf numFmtId="0" fontId="2" fillId="0" borderId="5" xfId="16" applyBorder="1" applyAlignment="1">
      <alignment horizontal="left" wrapText="1"/>
    </xf>
    <xf numFmtId="0" fontId="2" fillId="0" borderId="5" xfId="12" applyBorder="1" applyAlignment="1">
      <alignment horizontal="left" wrapText="1"/>
    </xf>
    <xf numFmtId="0" fontId="2" fillId="0" borderId="5" xfId="1" applyFont="1" applyBorder="1" applyAlignment="1">
      <alignment horizontal="left" vertical="top" wrapText="1"/>
    </xf>
    <xf numFmtId="0" fontId="2" fillId="0" borderId="5" xfId="0" quotePrefix="1" applyFont="1" applyBorder="1" applyAlignment="1">
      <alignment horizontal="center"/>
    </xf>
    <xf numFmtId="0" fontId="2" fillId="0" borderId="5" xfId="8" applyBorder="1" applyAlignment="1">
      <alignment vertical="top" wrapText="1"/>
    </xf>
    <xf numFmtId="0" fontId="2" fillId="0" borderId="5" xfId="9" applyBorder="1" applyAlignment="1">
      <alignment vertical="top" wrapText="1"/>
    </xf>
    <xf numFmtId="0" fontId="2" fillId="0" borderId="5" xfId="10" applyBorder="1" applyAlignment="1">
      <alignment vertical="top" wrapText="1"/>
    </xf>
    <xf numFmtId="0" fontId="2" fillId="0" borderId="5" xfId="11" applyBorder="1" applyAlignment="1">
      <alignment vertical="top" wrapText="1"/>
    </xf>
    <xf numFmtId="0" fontId="2" fillId="0" borderId="5" xfId="7" applyBorder="1" applyAlignment="1">
      <alignment vertical="top" wrapText="1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0" fillId="0" borderId="7" xfId="0" applyBorder="1" applyAlignment="1">
      <alignment wrapText="1"/>
    </xf>
    <xf numFmtId="0" fontId="29" fillId="0" borderId="0" xfId="0" applyFont="1" applyAlignment="1">
      <alignment wrapText="1"/>
    </xf>
    <xf numFmtId="0" fontId="2" fillId="0" borderId="9" xfId="0" applyFont="1" applyBorder="1"/>
    <xf numFmtId="0" fontId="2" fillId="0" borderId="10" xfId="0" applyFont="1" applyBorder="1"/>
    <xf numFmtId="0" fontId="24" fillId="0" borderId="0" xfId="0" applyFont="1"/>
    <xf numFmtId="49" fontId="24" fillId="0" borderId="0" xfId="0" applyNumberFormat="1" applyFont="1"/>
    <xf numFmtId="0" fontId="2" fillId="0" borderId="11" xfId="0" applyFont="1" applyBorder="1" applyAlignment="1">
      <alignment vertical="center"/>
    </xf>
    <xf numFmtId="0" fontId="30" fillId="0" borderId="0" xfId="0" applyFont="1"/>
    <xf numFmtId="49" fontId="30" fillId="0" borderId="0" xfId="0" applyNumberFormat="1" applyFont="1"/>
    <xf numFmtId="49" fontId="30" fillId="0" borderId="5" xfId="0" applyNumberFormat="1" applyFont="1" applyBorder="1"/>
    <xf numFmtId="0" fontId="30" fillId="0" borderId="5" xfId="0" applyFont="1" applyBorder="1"/>
    <xf numFmtId="0" fontId="30" fillId="0" borderId="5" xfId="0" applyFont="1" applyBorder="1" applyAlignment="1">
      <alignment horizontal="left"/>
    </xf>
    <xf numFmtId="0" fontId="30" fillId="0" borderId="5" xfId="0" applyFont="1" applyBorder="1" applyAlignment="1">
      <alignment horizontal="center"/>
    </xf>
    <xf numFmtId="0" fontId="30" fillId="0" borderId="5" xfId="6" applyFont="1" applyBorder="1" applyAlignment="1">
      <alignment vertical="top" wrapText="1"/>
    </xf>
    <xf numFmtId="0" fontId="31" fillId="0" borderId="0" xfId="0" applyFont="1"/>
    <xf numFmtId="0" fontId="24" fillId="0" borderId="5" xfId="0" applyFont="1" applyBorder="1" applyAlignment="1">
      <alignment wrapText="1"/>
    </xf>
    <xf numFmtId="0" fontId="32" fillId="0" borderId="0" xfId="0" applyFont="1"/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43">
    <cellStyle name="%" xfId="1" xr:uid="{00000000-0005-0000-0000-000000000000}"/>
    <cellStyle name="% 10" xfId="2" xr:uid="{00000000-0005-0000-0000-000001000000}"/>
    <cellStyle name="% 11" xfId="3" xr:uid="{00000000-0005-0000-0000-000002000000}"/>
    <cellStyle name="% 12" xfId="4" xr:uid="{00000000-0005-0000-0000-000003000000}"/>
    <cellStyle name="% 13" xfId="5" xr:uid="{00000000-0005-0000-0000-000004000000}"/>
    <cellStyle name="% 14" xfId="6" xr:uid="{00000000-0005-0000-0000-000005000000}"/>
    <cellStyle name="% 15" xfId="7" xr:uid="{00000000-0005-0000-0000-000006000000}"/>
    <cellStyle name="% 16" xfId="8" xr:uid="{00000000-0005-0000-0000-000007000000}"/>
    <cellStyle name="% 17" xfId="9" xr:uid="{00000000-0005-0000-0000-000008000000}"/>
    <cellStyle name="% 18" xfId="10" xr:uid="{00000000-0005-0000-0000-000009000000}"/>
    <cellStyle name="% 19" xfId="11" xr:uid="{00000000-0005-0000-0000-00000A000000}"/>
    <cellStyle name="% 2" xfId="12" xr:uid="{00000000-0005-0000-0000-00000B000000}"/>
    <cellStyle name="% 3" xfId="13" xr:uid="{00000000-0005-0000-0000-00000C000000}"/>
    <cellStyle name="% 4" xfId="14" xr:uid="{00000000-0005-0000-0000-00000D000000}"/>
    <cellStyle name="% 5" xfId="15" xr:uid="{00000000-0005-0000-0000-00000E000000}"/>
    <cellStyle name="% 6" xfId="16" xr:uid="{00000000-0005-0000-0000-00000F000000}"/>
    <cellStyle name="% 7" xfId="17" xr:uid="{00000000-0005-0000-0000-000010000000}"/>
    <cellStyle name="% 8" xfId="18" xr:uid="{00000000-0005-0000-0000-000011000000}"/>
    <cellStyle name="% 9" xfId="19" xr:uid="{00000000-0005-0000-0000-000012000000}"/>
    <cellStyle name="¹éºÐÀ²_±âÅ¸" xfId="20" xr:uid="{00000000-0005-0000-0000-000013000000}"/>
    <cellStyle name="ÅëÈ­ [0]_±âÅ¸" xfId="21" xr:uid="{00000000-0005-0000-0000-000014000000}"/>
    <cellStyle name="ÅëÈ­_±âÅ¸" xfId="22" xr:uid="{00000000-0005-0000-0000-000015000000}"/>
    <cellStyle name="ÄÞ¸¶ [0]_±âÅ¸" xfId="23" xr:uid="{00000000-0005-0000-0000-000016000000}"/>
    <cellStyle name="ÄÞ¸¶_±âÅ¸" xfId="24" xr:uid="{00000000-0005-0000-0000-000017000000}"/>
    <cellStyle name="Body" xfId="25" xr:uid="{00000000-0005-0000-0000-000018000000}"/>
    <cellStyle name="Border" xfId="26" xr:uid="{00000000-0005-0000-0000-000019000000}"/>
    <cellStyle name="Border 10" xfId="27" xr:uid="{00000000-0005-0000-0000-00001A000000}"/>
    <cellStyle name="Border 11" xfId="28" xr:uid="{00000000-0005-0000-0000-00001B000000}"/>
    <cellStyle name="Border 12" xfId="29" xr:uid="{00000000-0005-0000-0000-00001C000000}"/>
    <cellStyle name="Border 13" xfId="30" xr:uid="{00000000-0005-0000-0000-00001D000000}"/>
    <cellStyle name="Border 14" xfId="31" xr:uid="{00000000-0005-0000-0000-00001E000000}"/>
    <cellStyle name="Border 15" xfId="32" xr:uid="{00000000-0005-0000-0000-00001F000000}"/>
    <cellStyle name="Border 16" xfId="33" xr:uid="{00000000-0005-0000-0000-000020000000}"/>
    <cellStyle name="Border 17" xfId="34" xr:uid="{00000000-0005-0000-0000-000021000000}"/>
    <cellStyle name="Border 18" xfId="35" xr:uid="{00000000-0005-0000-0000-000022000000}"/>
    <cellStyle name="Border 19" xfId="36" xr:uid="{00000000-0005-0000-0000-000023000000}"/>
    <cellStyle name="Border 2" xfId="37" xr:uid="{00000000-0005-0000-0000-000024000000}"/>
    <cellStyle name="Border 3" xfId="38" xr:uid="{00000000-0005-0000-0000-000025000000}"/>
    <cellStyle name="Border 4" xfId="39" xr:uid="{00000000-0005-0000-0000-000026000000}"/>
    <cellStyle name="Border 5" xfId="40" xr:uid="{00000000-0005-0000-0000-000027000000}"/>
    <cellStyle name="Border 6" xfId="41" xr:uid="{00000000-0005-0000-0000-000028000000}"/>
    <cellStyle name="Border 7" xfId="42" xr:uid="{00000000-0005-0000-0000-000029000000}"/>
    <cellStyle name="Border 8" xfId="43" xr:uid="{00000000-0005-0000-0000-00002A000000}"/>
    <cellStyle name="Border 9" xfId="44" xr:uid="{00000000-0005-0000-0000-00002B000000}"/>
    <cellStyle name="Ç¥ÁØ_¿ù°£¿ä¾àº¸°í" xfId="45" xr:uid="{00000000-0005-0000-0000-00002C000000}"/>
    <cellStyle name="Column_Title" xfId="46" xr:uid="{00000000-0005-0000-0000-00002D000000}"/>
    <cellStyle name="Grey" xfId="47" xr:uid="{00000000-0005-0000-0000-00002E000000}"/>
    <cellStyle name="Grey 2" xfId="48" xr:uid="{00000000-0005-0000-0000-00002F000000}"/>
    <cellStyle name="Header1" xfId="49" xr:uid="{00000000-0005-0000-0000-000030000000}"/>
    <cellStyle name="Header2" xfId="50" xr:uid="{00000000-0005-0000-0000-000031000000}"/>
    <cellStyle name="Input [yellow]" xfId="51" xr:uid="{00000000-0005-0000-0000-000032000000}"/>
    <cellStyle name="Input [yellow] 2" xfId="52" xr:uid="{00000000-0005-0000-0000-000033000000}"/>
    <cellStyle name="Millares [0]_laroux" xfId="53" xr:uid="{00000000-0005-0000-0000-000034000000}"/>
    <cellStyle name="Millares_laroux" xfId="54" xr:uid="{00000000-0005-0000-0000-000035000000}"/>
    <cellStyle name="Milliers [0]_PLDT" xfId="55" xr:uid="{00000000-0005-0000-0000-000036000000}"/>
    <cellStyle name="Milliers_PLDT" xfId="56" xr:uid="{00000000-0005-0000-0000-000037000000}"/>
    <cellStyle name="Moneda [0]_laroux" xfId="57" xr:uid="{00000000-0005-0000-0000-000038000000}"/>
    <cellStyle name="Moneda_laroux" xfId="58" xr:uid="{00000000-0005-0000-0000-000039000000}"/>
    <cellStyle name="Monétaire [0]_PLDT" xfId="59" xr:uid="{00000000-0005-0000-0000-00003A000000}"/>
    <cellStyle name="Monétaire_PLDT" xfId="60" xr:uid="{00000000-0005-0000-0000-00003B000000}"/>
    <cellStyle name="no dec" xfId="61" xr:uid="{00000000-0005-0000-0000-00003C000000}"/>
    <cellStyle name="no dec 10" xfId="62" xr:uid="{00000000-0005-0000-0000-00003D000000}"/>
    <cellStyle name="no dec 11" xfId="63" xr:uid="{00000000-0005-0000-0000-00003E000000}"/>
    <cellStyle name="no dec 12" xfId="64" xr:uid="{00000000-0005-0000-0000-00003F000000}"/>
    <cellStyle name="no dec 13" xfId="65" xr:uid="{00000000-0005-0000-0000-000040000000}"/>
    <cellStyle name="no dec 14" xfId="66" xr:uid="{00000000-0005-0000-0000-000041000000}"/>
    <cellStyle name="no dec 15" xfId="67" xr:uid="{00000000-0005-0000-0000-000042000000}"/>
    <cellStyle name="no dec 16" xfId="68" xr:uid="{00000000-0005-0000-0000-000043000000}"/>
    <cellStyle name="no dec 17" xfId="69" xr:uid="{00000000-0005-0000-0000-000044000000}"/>
    <cellStyle name="no dec 18" xfId="70" xr:uid="{00000000-0005-0000-0000-000045000000}"/>
    <cellStyle name="no dec 19" xfId="71" xr:uid="{00000000-0005-0000-0000-000046000000}"/>
    <cellStyle name="no dec 2" xfId="72" xr:uid="{00000000-0005-0000-0000-000047000000}"/>
    <cellStyle name="no dec 3" xfId="73" xr:uid="{00000000-0005-0000-0000-000048000000}"/>
    <cellStyle name="no dec 4" xfId="74" xr:uid="{00000000-0005-0000-0000-000049000000}"/>
    <cellStyle name="no dec 5" xfId="75" xr:uid="{00000000-0005-0000-0000-00004A000000}"/>
    <cellStyle name="no dec 6" xfId="76" xr:uid="{00000000-0005-0000-0000-00004B000000}"/>
    <cellStyle name="no dec 7" xfId="77" xr:uid="{00000000-0005-0000-0000-00004C000000}"/>
    <cellStyle name="no dec 8" xfId="78" xr:uid="{00000000-0005-0000-0000-00004D000000}"/>
    <cellStyle name="no dec 9" xfId="79" xr:uid="{00000000-0005-0000-0000-00004E000000}"/>
    <cellStyle name="Normal" xfId="0" builtinId="0"/>
    <cellStyle name="Normal - Style1" xfId="80" xr:uid="{00000000-0005-0000-0000-000050000000}"/>
    <cellStyle name="Normal - Style1 10" xfId="81" xr:uid="{00000000-0005-0000-0000-000051000000}"/>
    <cellStyle name="Normal - Style1 10 2" xfId="82" xr:uid="{00000000-0005-0000-0000-000052000000}"/>
    <cellStyle name="Normal - Style1 11" xfId="83" xr:uid="{00000000-0005-0000-0000-000053000000}"/>
    <cellStyle name="Normal - Style1 11 2" xfId="84" xr:uid="{00000000-0005-0000-0000-000054000000}"/>
    <cellStyle name="Normal - Style1 12" xfId="85" xr:uid="{00000000-0005-0000-0000-000055000000}"/>
    <cellStyle name="Normal - Style1 12 2" xfId="86" xr:uid="{00000000-0005-0000-0000-000056000000}"/>
    <cellStyle name="Normal - Style1 13" xfId="87" xr:uid="{00000000-0005-0000-0000-000057000000}"/>
    <cellStyle name="Normal - Style1 13 2" xfId="88" xr:uid="{00000000-0005-0000-0000-000058000000}"/>
    <cellStyle name="Normal - Style1 14" xfId="89" xr:uid="{00000000-0005-0000-0000-000059000000}"/>
    <cellStyle name="Normal - Style1 14 2" xfId="90" xr:uid="{00000000-0005-0000-0000-00005A000000}"/>
    <cellStyle name="Normal - Style1 15" xfId="91" xr:uid="{00000000-0005-0000-0000-00005B000000}"/>
    <cellStyle name="Normal - Style1 15 2" xfId="92" xr:uid="{00000000-0005-0000-0000-00005C000000}"/>
    <cellStyle name="Normal - Style1 16" xfId="93" xr:uid="{00000000-0005-0000-0000-00005D000000}"/>
    <cellStyle name="Normal - Style1 16 2" xfId="94" xr:uid="{00000000-0005-0000-0000-00005E000000}"/>
    <cellStyle name="Normal - Style1 17" xfId="95" xr:uid="{00000000-0005-0000-0000-00005F000000}"/>
    <cellStyle name="Normal - Style1 17 2" xfId="96" xr:uid="{00000000-0005-0000-0000-000060000000}"/>
    <cellStyle name="Normal - Style1 18" xfId="97" xr:uid="{00000000-0005-0000-0000-000061000000}"/>
    <cellStyle name="Normal - Style1 18 2" xfId="98" xr:uid="{00000000-0005-0000-0000-000062000000}"/>
    <cellStyle name="Normal - Style1 19" xfId="99" xr:uid="{00000000-0005-0000-0000-000063000000}"/>
    <cellStyle name="Normal - Style1 19 2" xfId="100" xr:uid="{00000000-0005-0000-0000-000064000000}"/>
    <cellStyle name="Normal - Style1 2" xfId="101" xr:uid="{00000000-0005-0000-0000-000065000000}"/>
    <cellStyle name="Normal - Style1 2 2" xfId="102" xr:uid="{00000000-0005-0000-0000-000066000000}"/>
    <cellStyle name="Normal - Style1 3" xfId="103" xr:uid="{00000000-0005-0000-0000-000067000000}"/>
    <cellStyle name="Normal - Style1 3 2" xfId="104" xr:uid="{00000000-0005-0000-0000-000068000000}"/>
    <cellStyle name="Normal - Style1 4" xfId="105" xr:uid="{00000000-0005-0000-0000-000069000000}"/>
    <cellStyle name="Normal - Style1 4 2" xfId="106" xr:uid="{00000000-0005-0000-0000-00006A000000}"/>
    <cellStyle name="Normal - Style1 5" xfId="107" xr:uid="{00000000-0005-0000-0000-00006B000000}"/>
    <cellStyle name="Normal - Style1 5 2" xfId="108" xr:uid="{00000000-0005-0000-0000-00006C000000}"/>
    <cellStyle name="Normal - Style1 6" xfId="109" xr:uid="{00000000-0005-0000-0000-00006D000000}"/>
    <cellStyle name="Normal - Style1 6 2" xfId="110" xr:uid="{00000000-0005-0000-0000-00006E000000}"/>
    <cellStyle name="Normal - Style1 7" xfId="111" xr:uid="{00000000-0005-0000-0000-00006F000000}"/>
    <cellStyle name="Normal - Style1 7 2" xfId="112" xr:uid="{00000000-0005-0000-0000-000070000000}"/>
    <cellStyle name="Normal - Style1 8" xfId="113" xr:uid="{00000000-0005-0000-0000-000071000000}"/>
    <cellStyle name="Normal - Style1 8 2" xfId="114" xr:uid="{00000000-0005-0000-0000-000072000000}"/>
    <cellStyle name="Normal - Style1 9" xfId="115" xr:uid="{00000000-0005-0000-0000-000073000000}"/>
    <cellStyle name="Normal - Style1 9 2" xfId="116" xr:uid="{00000000-0005-0000-0000-000074000000}"/>
    <cellStyle name="Normal 2" xfId="117" xr:uid="{00000000-0005-0000-0000-000075000000}"/>
    <cellStyle name="Normal 2 2" xfId="118" xr:uid="{00000000-0005-0000-0000-000076000000}"/>
    <cellStyle name="Normal 3" xfId="119" xr:uid="{00000000-0005-0000-0000-000077000000}"/>
    <cellStyle name="Normal 3 2" xfId="120" xr:uid="{00000000-0005-0000-0000-000078000000}"/>
    <cellStyle name="Normal 4" xfId="121" xr:uid="{00000000-0005-0000-0000-000079000000}"/>
    <cellStyle name="Normal 4 2" xfId="122" xr:uid="{00000000-0005-0000-0000-00007A000000}"/>
    <cellStyle name="Percent [2]" xfId="123" xr:uid="{00000000-0005-0000-0000-00007B000000}"/>
    <cellStyle name="Percent [2] 10" xfId="124" xr:uid="{00000000-0005-0000-0000-00007C000000}"/>
    <cellStyle name="Percent [2] 11" xfId="125" xr:uid="{00000000-0005-0000-0000-00007D000000}"/>
    <cellStyle name="Percent [2] 12" xfId="126" xr:uid="{00000000-0005-0000-0000-00007E000000}"/>
    <cellStyle name="Percent [2] 13" xfId="127" xr:uid="{00000000-0005-0000-0000-00007F000000}"/>
    <cellStyle name="Percent [2] 14" xfId="128" xr:uid="{00000000-0005-0000-0000-000080000000}"/>
    <cellStyle name="Percent [2] 15" xfId="129" xr:uid="{00000000-0005-0000-0000-000081000000}"/>
    <cellStyle name="Percent [2] 16" xfId="130" xr:uid="{00000000-0005-0000-0000-000082000000}"/>
    <cellStyle name="Percent [2] 17" xfId="131" xr:uid="{00000000-0005-0000-0000-000083000000}"/>
    <cellStyle name="Percent [2] 18" xfId="132" xr:uid="{00000000-0005-0000-0000-000084000000}"/>
    <cellStyle name="Percent [2] 19" xfId="133" xr:uid="{00000000-0005-0000-0000-000085000000}"/>
    <cellStyle name="Percent [2] 2" xfId="134" xr:uid="{00000000-0005-0000-0000-000086000000}"/>
    <cellStyle name="Percent [2] 3" xfId="135" xr:uid="{00000000-0005-0000-0000-000087000000}"/>
    <cellStyle name="Percent [2] 4" xfId="136" xr:uid="{00000000-0005-0000-0000-000088000000}"/>
    <cellStyle name="Percent [2] 5" xfId="137" xr:uid="{00000000-0005-0000-0000-000089000000}"/>
    <cellStyle name="Percent [2] 6" xfId="138" xr:uid="{00000000-0005-0000-0000-00008A000000}"/>
    <cellStyle name="Percent [2] 7" xfId="139" xr:uid="{00000000-0005-0000-0000-00008B000000}"/>
    <cellStyle name="Percent [2] 8" xfId="140" xr:uid="{00000000-0005-0000-0000-00008C000000}"/>
    <cellStyle name="Percent [2] 9" xfId="141" xr:uid="{00000000-0005-0000-0000-00008D000000}"/>
    <cellStyle name="Standard_20050317-stamerck+" xfId="142" xr:uid="{00000000-0005-0000-0000-00008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</xdr:colOff>
      <xdr:row>7</xdr:row>
      <xdr:rowOff>117081</xdr:rowOff>
    </xdr:from>
    <xdr:to>
      <xdr:col>4</xdr:col>
      <xdr:colOff>688848</xdr:colOff>
      <xdr:row>11</xdr:row>
      <xdr:rowOff>117525</xdr:rowOff>
    </xdr:to>
    <xdr:sp macro="" textlink="">
      <xdr:nvSpPr>
        <xdr:cNvPr id="3" name="ColorPalette" descr=" +[@r[&amp;!%]" hidden="1">
          <a:extLst>
            <a:ext uri="{FF2B5EF4-FFF2-40B4-BE49-F238E27FC236}">
              <a16:creationId xmlns:a16="http://schemas.microsoft.com/office/drawing/2014/main" id="{D3246AD2-CF61-41D6-8931-27F9557D8B9C}"/>
            </a:ext>
          </a:extLst>
        </xdr:cNvPr>
        <xdr:cNvSpPr txBox="1"/>
      </xdr:nvSpPr>
      <xdr:spPr>
        <a:xfrm>
          <a:off x="1270000" y="1270000"/>
          <a:ext cx="635000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&lt;root/&gt;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63"/>
  <sheetViews>
    <sheetView tabSelected="1" zoomScaleNormal="100" workbookViewId="0">
      <pane ySplit="1" topLeftCell="A270" activePane="bottomLeft" state="frozen"/>
      <selection activeCell="D1" sqref="D1"/>
      <selection pane="bottomLeft" activeCell="F146" sqref="F146"/>
    </sheetView>
  </sheetViews>
  <sheetFormatPr defaultColWidth="9.1796875" defaultRowHeight="12.5"/>
  <cols>
    <col min="1" max="1" width="1.81640625" style="2" bestFit="1" customWidth="1"/>
    <col min="2" max="2" width="2.54296875" style="3" bestFit="1" customWidth="1"/>
    <col min="3" max="3" width="9.26953125" style="3" customWidth="1"/>
    <col min="4" max="4" width="8" style="7" bestFit="1" customWidth="1"/>
    <col min="5" max="5" width="21.1796875" style="7" bestFit="1" customWidth="1"/>
    <col min="6" max="6" width="31.54296875" style="7" bestFit="1" customWidth="1"/>
    <col min="7" max="7" width="51.453125" style="8" bestFit="1" customWidth="1"/>
    <col min="8" max="8" width="186" style="7" bestFit="1" customWidth="1"/>
    <col min="9" max="9" width="13.54296875" style="9" bestFit="1" customWidth="1"/>
    <col min="10" max="10" width="61.7265625" style="2" bestFit="1" customWidth="1"/>
    <col min="11" max="16384" width="9.1796875" style="2"/>
  </cols>
  <sheetData>
    <row r="1" spans="1:9" ht="13">
      <c r="A1" s="30"/>
      <c r="B1" s="31"/>
      <c r="C1" s="31"/>
      <c r="D1" s="4" t="s">
        <v>0</v>
      </c>
      <c r="E1" s="4" t="s">
        <v>1</v>
      </c>
      <c r="F1" s="4" t="s">
        <v>2</v>
      </c>
      <c r="G1" s="5" t="s">
        <v>3</v>
      </c>
      <c r="H1" s="4" t="s">
        <v>4</v>
      </c>
      <c r="I1" s="6" t="s">
        <v>5</v>
      </c>
    </row>
    <row r="2" spans="1:9">
      <c r="A2" s="30">
        <v>0</v>
      </c>
      <c r="B2" s="31" t="s">
        <v>6</v>
      </c>
      <c r="C2" s="31"/>
      <c r="D2" s="24" t="str">
        <f>CONCATENATE(A2,B2)</f>
        <v>00</v>
      </c>
      <c r="E2" s="77" t="s">
        <v>7</v>
      </c>
      <c r="F2" s="78"/>
      <c r="G2" s="78"/>
      <c r="H2" s="78"/>
      <c r="I2" s="79"/>
    </row>
    <row r="3" spans="1:9">
      <c r="A3" s="30">
        <v>0</v>
      </c>
      <c r="B3" s="31" t="s">
        <v>8</v>
      </c>
      <c r="C3" s="31"/>
      <c r="D3" s="24" t="str">
        <f t="shared" ref="D3:D63" si="0">CONCATENATE(A3,B3)</f>
        <v>01</v>
      </c>
      <c r="E3" s="77" t="s">
        <v>9</v>
      </c>
      <c r="F3" s="78"/>
      <c r="G3" s="78"/>
      <c r="H3" s="78"/>
      <c r="I3" s="79"/>
    </row>
    <row r="4" spans="1:9">
      <c r="A4" s="30">
        <v>0</v>
      </c>
      <c r="B4" s="31" t="s">
        <v>10</v>
      </c>
      <c r="C4" s="31"/>
      <c r="D4" s="24" t="str">
        <f t="shared" si="0"/>
        <v>02</v>
      </c>
      <c r="E4" s="24" t="s">
        <v>11</v>
      </c>
      <c r="F4" s="24" t="s">
        <v>12</v>
      </c>
      <c r="G4" s="25" t="s">
        <v>13</v>
      </c>
      <c r="H4" s="24" t="s">
        <v>14</v>
      </c>
      <c r="I4" s="28">
        <v>26505</v>
      </c>
    </row>
    <row r="5" spans="1:9">
      <c r="A5" s="30">
        <v>0</v>
      </c>
      <c r="B5" s="31" t="s">
        <v>15</v>
      </c>
      <c r="C5" s="31"/>
      <c r="D5" s="24" t="str">
        <f t="shared" si="0"/>
        <v>03</v>
      </c>
      <c r="E5" s="24" t="s">
        <v>16</v>
      </c>
      <c r="F5" s="24" t="s">
        <v>12</v>
      </c>
      <c r="G5" s="32" t="s">
        <v>17</v>
      </c>
      <c r="H5" s="24" t="s">
        <v>17</v>
      </c>
      <c r="I5" s="28">
        <v>26505</v>
      </c>
    </row>
    <row r="6" spans="1:9">
      <c r="A6" s="30">
        <v>0</v>
      </c>
      <c r="B6" s="31" t="s">
        <v>18</v>
      </c>
      <c r="C6" s="31"/>
      <c r="D6" s="33" t="s">
        <v>19</v>
      </c>
      <c r="E6" s="24" t="s">
        <v>16</v>
      </c>
      <c r="F6" s="24" t="s">
        <v>12</v>
      </c>
      <c r="G6" s="32" t="s">
        <v>20</v>
      </c>
      <c r="H6" s="24" t="s">
        <v>21</v>
      </c>
      <c r="I6" s="28">
        <v>26501</v>
      </c>
    </row>
    <row r="7" spans="1:9">
      <c r="A7" s="30">
        <v>0</v>
      </c>
      <c r="B7" s="31" t="s">
        <v>22</v>
      </c>
      <c r="C7" s="31"/>
      <c r="D7" s="24" t="str">
        <f t="shared" si="0"/>
        <v>05</v>
      </c>
      <c r="E7" s="24" t="s">
        <v>16</v>
      </c>
      <c r="F7" s="24" t="s">
        <v>12</v>
      </c>
      <c r="G7" s="32" t="s">
        <v>23</v>
      </c>
      <c r="H7" s="24" t="s">
        <v>24</v>
      </c>
      <c r="I7" s="28">
        <v>26505</v>
      </c>
    </row>
    <row r="8" spans="1:9">
      <c r="A8" s="30">
        <v>0</v>
      </c>
      <c r="B8" s="31" t="s">
        <v>25</v>
      </c>
      <c r="C8" s="31"/>
      <c r="D8" s="24" t="str">
        <f t="shared" si="0"/>
        <v>06</v>
      </c>
      <c r="E8" s="24" t="s">
        <v>16</v>
      </c>
      <c r="F8" s="24" t="s">
        <v>12</v>
      </c>
      <c r="G8" s="32" t="s">
        <v>26</v>
      </c>
      <c r="H8" s="24" t="s">
        <v>27</v>
      </c>
      <c r="I8" s="28">
        <v>26505</v>
      </c>
    </row>
    <row r="9" spans="1:9">
      <c r="A9" s="30">
        <v>0</v>
      </c>
      <c r="B9" s="31" t="s">
        <v>28</v>
      </c>
      <c r="C9" s="31"/>
      <c r="D9" s="24" t="str">
        <f t="shared" si="0"/>
        <v>07</v>
      </c>
      <c r="E9" s="24" t="s">
        <v>16</v>
      </c>
      <c r="F9" s="24" t="s">
        <v>12</v>
      </c>
      <c r="G9" s="32" t="s">
        <v>29</v>
      </c>
      <c r="H9" s="24" t="s">
        <v>30</v>
      </c>
      <c r="I9" s="28">
        <v>26505</v>
      </c>
    </row>
    <row r="10" spans="1:9">
      <c r="A10" s="30">
        <v>0</v>
      </c>
      <c r="B10" s="31" t="s">
        <v>31</v>
      </c>
      <c r="C10" s="31"/>
      <c r="D10" s="24" t="str">
        <f t="shared" si="0"/>
        <v>08</v>
      </c>
      <c r="E10" s="24" t="s">
        <v>16</v>
      </c>
      <c r="F10" s="24" t="s">
        <v>12</v>
      </c>
      <c r="G10" s="32" t="s">
        <v>32</v>
      </c>
      <c r="H10" s="24" t="s">
        <v>24</v>
      </c>
      <c r="I10" s="28">
        <v>26505</v>
      </c>
    </row>
    <row r="11" spans="1:9">
      <c r="A11" s="30">
        <v>0</v>
      </c>
      <c r="B11" s="31" t="s">
        <v>33</v>
      </c>
      <c r="C11" s="31"/>
      <c r="D11" s="24" t="str">
        <f t="shared" si="0"/>
        <v>09</v>
      </c>
      <c r="E11" s="24" t="s">
        <v>16</v>
      </c>
      <c r="F11" s="24" t="s">
        <v>12</v>
      </c>
      <c r="G11" s="32" t="s">
        <v>34</v>
      </c>
      <c r="H11" s="24" t="s">
        <v>24</v>
      </c>
      <c r="I11" s="28">
        <v>26505</v>
      </c>
    </row>
    <row r="12" spans="1:9">
      <c r="A12" s="30">
        <v>0</v>
      </c>
      <c r="B12" s="31" t="s">
        <v>35</v>
      </c>
      <c r="C12" s="31"/>
      <c r="D12" s="24" t="str">
        <f t="shared" si="0"/>
        <v>0A</v>
      </c>
      <c r="E12" s="24" t="s">
        <v>16</v>
      </c>
      <c r="F12" s="24" t="s">
        <v>12</v>
      </c>
      <c r="G12" s="32" t="s">
        <v>36</v>
      </c>
      <c r="H12" s="24" t="s">
        <v>24</v>
      </c>
      <c r="I12" s="28">
        <v>26505</v>
      </c>
    </row>
    <row r="13" spans="1:9">
      <c r="A13" s="30">
        <v>0</v>
      </c>
      <c r="B13" s="31" t="s">
        <v>37</v>
      </c>
      <c r="C13" s="31"/>
      <c r="D13" s="24" t="str">
        <f t="shared" si="0"/>
        <v>0B</v>
      </c>
      <c r="E13" s="24" t="s">
        <v>16</v>
      </c>
      <c r="F13" s="24" t="s">
        <v>12</v>
      </c>
      <c r="G13" s="25" t="s">
        <v>38</v>
      </c>
      <c r="H13" s="24" t="s">
        <v>39</v>
      </c>
      <c r="I13" s="28">
        <v>20147</v>
      </c>
    </row>
    <row r="14" spans="1:9">
      <c r="A14" s="30">
        <v>0</v>
      </c>
      <c r="B14" s="31" t="s">
        <v>40</v>
      </c>
      <c r="C14" s="31"/>
      <c r="D14" s="24" t="str">
        <f t="shared" si="0"/>
        <v>0C</v>
      </c>
      <c r="E14" s="24" t="s">
        <v>16</v>
      </c>
      <c r="F14" s="24" t="s">
        <v>41</v>
      </c>
      <c r="G14" s="25" t="s">
        <v>42</v>
      </c>
      <c r="H14" s="24" t="s">
        <v>43</v>
      </c>
      <c r="I14" s="28">
        <v>10174</v>
      </c>
    </row>
    <row r="15" spans="1:9">
      <c r="A15" s="30">
        <v>0</v>
      </c>
      <c r="B15" s="31" t="s">
        <v>44</v>
      </c>
      <c r="C15" s="31"/>
      <c r="D15" s="24" t="str">
        <f t="shared" si="0"/>
        <v>0D</v>
      </c>
      <c r="E15" s="24" t="s">
        <v>16</v>
      </c>
      <c r="F15" s="24" t="s">
        <v>45</v>
      </c>
      <c r="G15" s="25" t="s">
        <v>46</v>
      </c>
      <c r="H15" s="24"/>
      <c r="I15" s="28"/>
    </row>
    <row r="16" spans="1:9" ht="14">
      <c r="A16" s="30">
        <v>0</v>
      </c>
      <c r="B16" s="31" t="s">
        <v>47</v>
      </c>
      <c r="C16" s="31"/>
      <c r="D16" s="24" t="str">
        <f t="shared" si="0"/>
        <v>0E</v>
      </c>
      <c r="E16" s="24" t="s">
        <v>16</v>
      </c>
      <c r="F16" s="24" t="s">
        <v>48</v>
      </c>
      <c r="G16" s="25" t="s">
        <v>49</v>
      </c>
      <c r="H16" s="24" t="s">
        <v>50</v>
      </c>
      <c r="I16" s="76">
        <v>10001</v>
      </c>
    </row>
    <row r="17" spans="1:9">
      <c r="A17" s="30">
        <v>0</v>
      </c>
      <c r="B17" s="31" t="s">
        <v>51</v>
      </c>
      <c r="C17" s="31"/>
      <c r="D17" s="24" t="str">
        <f t="shared" si="0"/>
        <v>0F</v>
      </c>
      <c r="E17" s="24" t="s">
        <v>16</v>
      </c>
      <c r="F17" s="24" t="s">
        <v>52</v>
      </c>
      <c r="G17" s="25" t="s">
        <v>53</v>
      </c>
      <c r="H17" s="24" t="s">
        <v>54</v>
      </c>
      <c r="I17" s="26" t="s">
        <v>55</v>
      </c>
    </row>
    <row r="18" spans="1:9" s="67" customFormat="1">
      <c r="A18" s="67">
        <v>0</v>
      </c>
      <c r="B18" s="68" t="s">
        <v>56</v>
      </c>
      <c r="C18" s="68"/>
      <c r="D18" s="70" t="str">
        <f t="shared" si="0"/>
        <v>0G</v>
      </c>
      <c r="E18" s="70" t="s">
        <v>16</v>
      </c>
      <c r="F18" s="70" t="s">
        <v>57</v>
      </c>
      <c r="G18" s="71" t="s">
        <v>58</v>
      </c>
      <c r="H18" s="70"/>
      <c r="I18" s="72"/>
    </row>
    <row r="19" spans="1:9" s="67" customFormat="1">
      <c r="A19" s="67">
        <v>0</v>
      </c>
      <c r="B19" s="68" t="s">
        <v>59</v>
      </c>
      <c r="C19" s="68"/>
      <c r="D19" s="70" t="str">
        <f t="shared" si="0"/>
        <v>0H</v>
      </c>
      <c r="E19" s="70" t="s">
        <v>16</v>
      </c>
      <c r="F19" s="70" t="s">
        <v>60</v>
      </c>
      <c r="G19" s="70" t="s">
        <v>60</v>
      </c>
      <c r="H19" s="70" t="s">
        <v>61</v>
      </c>
      <c r="I19" s="72" t="s">
        <v>62</v>
      </c>
    </row>
    <row r="20" spans="1:9">
      <c r="A20" s="30">
        <v>0</v>
      </c>
      <c r="B20" s="31" t="s">
        <v>63</v>
      </c>
      <c r="C20" s="31"/>
      <c r="D20" s="24" t="str">
        <f t="shared" si="0"/>
        <v>0J</v>
      </c>
      <c r="E20" s="24" t="s">
        <v>16</v>
      </c>
      <c r="F20" s="24" t="s">
        <v>64</v>
      </c>
      <c r="G20" s="25" t="s">
        <v>65</v>
      </c>
      <c r="H20" s="24"/>
      <c r="I20" s="28"/>
    </row>
    <row r="21" spans="1:9">
      <c r="A21" s="30">
        <v>0</v>
      </c>
      <c r="B21" s="31" t="s">
        <v>66</v>
      </c>
      <c r="C21" s="31"/>
      <c r="D21" s="24" t="str">
        <f t="shared" si="0"/>
        <v>0K</v>
      </c>
      <c r="E21" s="24" t="s">
        <v>16</v>
      </c>
      <c r="F21" s="24" t="s">
        <v>67</v>
      </c>
      <c r="G21" s="25" t="s">
        <v>68</v>
      </c>
      <c r="H21" s="24" t="s">
        <v>69</v>
      </c>
      <c r="I21" s="28">
        <v>33009</v>
      </c>
    </row>
    <row r="22" spans="1:9">
      <c r="A22" s="30">
        <v>0</v>
      </c>
      <c r="B22" s="31" t="s">
        <v>70</v>
      </c>
      <c r="C22" s="31"/>
      <c r="D22" s="24" t="str">
        <f t="shared" si="0"/>
        <v>0L</v>
      </c>
      <c r="E22" s="24"/>
      <c r="F22" s="24"/>
      <c r="G22" s="25"/>
      <c r="H22" s="24"/>
      <c r="I22" s="28"/>
    </row>
    <row r="23" spans="1:9">
      <c r="A23" s="30">
        <v>0</v>
      </c>
      <c r="B23" s="31" t="s">
        <v>71</v>
      </c>
      <c r="C23" s="31"/>
      <c r="D23" s="24" t="str">
        <f t="shared" si="0"/>
        <v>0M</v>
      </c>
      <c r="E23" s="24" t="s">
        <v>16</v>
      </c>
      <c r="F23" s="24" t="s">
        <v>72</v>
      </c>
      <c r="G23" s="25" t="s">
        <v>73</v>
      </c>
      <c r="H23" s="24" t="s">
        <v>74</v>
      </c>
      <c r="I23" s="28">
        <v>20001</v>
      </c>
    </row>
    <row r="24" spans="1:9">
      <c r="A24" s="30">
        <v>0</v>
      </c>
      <c r="B24" s="31" t="s">
        <v>75</v>
      </c>
      <c r="C24" s="31"/>
      <c r="D24" s="24" t="str">
        <f t="shared" si="0"/>
        <v>0N</v>
      </c>
      <c r="E24" s="24" t="s">
        <v>16</v>
      </c>
      <c r="F24" s="33" t="s">
        <v>76</v>
      </c>
      <c r="G24" s="32" t="s">
        <v>77</v>
      </c>
      <c r="H24" s="24" t="s">
        <v>78</v>
      </c>
      <c r="I24" s="26" t="s">
        <v>79</v>
      </c>
    </row>
    <row r="25" spans="1:9">
      <c r="A25" s="30">
        <v>0</v>
      </c>
      <c r="B25" s="31" t="s">
        <v>80</v>
      </c>
      <c r="C25" s="31"/>
      <c r="D25" s="10" t="str">
        <f t="shared" si="0"/>
        <v>0O</v>
      </c>
      <c r="E25" s="24" t="s">
        <v>16</v>
      </c>
      <c r="F25" s="33" t="s">
        <v>76</v>
      </c>
      <c r="G25" s="32" t="s">
        <v>81</v>
      </c>
      <c r="H25" s="24" t="s">
        <v>82</v>
      </c>
      <c r="I25" s="26" t="s">
        <v>83</v>
      </c>
    </row>
    <row r="26" spans="1:9">
      <c r="A26" s="30">
        <v>0</v>
      </c>
      <c r="B26" s="31" t="s">
        <v>84</v>
      </c>
      <c r="C26" s="31"/>
      <c r="D26" s="24" t="str">
        <f t="shared" si="0"/>
        <v>0P</v>
      </c>
      <c r="E26" s="24" t="s">
        <v>16</v>
      </c>
      <c r="F26" s="24" t="s">
        <v>85</v>
      </c>
      <c r="G26" s="32" t="s">
        <v>86</v>
      </c>
      <c r="H26" s="24" t="s">
        <v>87</v>
      </c>
      <c r="I26" s="26" t="s">
        <v>88</v>
      </c>
    </row>
    <row r="27" spans="1:9">
      <c r="A27" s="30">
        <v>0</v>
      </c>
      <c r="B27" s="31" t="s">
        <v>89</v>
      </c>
      <c r="C27" s="31"/>
      <c r="D27" s="24" t="str">
        <f t="shared" si="0"/>
        <v>0Q</v>
      </c>
      <c r="E27" s="24" t="s">
        <v>16</v>
      </c>
      <c r="F27" s="24" t="s">
        <v>85</v>
      </c>
      <c r="G27" s="25" t="s">
        <v>90</v>
      </c>
      <c r="H27" s="24" t="s">
        <v>91</v>
      </c>
      <c r="I27" s="26" t="s">
        <v>92</v>
      </c>
    </row>
    <row r="28" spans="1:9">
      <c r="A28" s="30">
        <v>0</v>
      </c>
      <c r="B28" s="31" t="s">
        <v>93</v>
      </c>
      <c r="C28" s="31"/>
      <c r="D28" s="24" t="str">
        <f t="shared" si="0"/>
        <v>0R</v>
      </c>
      <c r="E28" s="24" t="s">
        <v>16</v>
      </c>
      <c r="F28" s="24" t="s">
        <v>94</v>
      </c>
      <c r="G28" s="32" t="s">
        <v>95</v>
      </c>
      <c r="H28" s="24" t="s">
        <v>96</v>
      </c>
      <c r="I28" s="26" t="s">
        <v>97</v>
      </c>
    </row>
    <row r="29" spans="1:9">
      <c r="A29" s="30">
        <v>0</v>
      </c>
      <c r="B29" s="31" t="s">
        <v>98</v>
      </c>
      <c r="C29" s="31"/>
      <c r="D29" s="24" t="str">
        <f t="shared" si="0"/>
        <v>0S</v>
      </c>
      <c r="E29" s="24" t="s">
        <v>16</v>
      </c>
      <c r="F29" s="24" t="s">
        <v>99</v>
      </c>
      <c r="G29" s="32" t="s">
        <v>99</v>
      </c>
      <c r="H29" s="24" t="s">
        <v>100</v>
      </c>
      <c r="I29" s="26" t="s">
        <v>101</v>
      </c>
    </row>
    <row r="30" spans="1:9">
      <c r="A30" s="30">
        <v>0</v>
      </c>
      <c r="B30" s="31" t="s">
        <v>102</v>
      </c>
      <c r="C30" s="31"/>
      <c r="D30" s="24" t="str">
        <f t="shared" si="0"/>
        <v>0T</v>
      </c>
      <c r="E30" s="24" t="s">
        <v>16</v>
      </c>
      <c r="F30" s="24" t="s">
        <v>103</v>
      </c>
      <c r="G30" s="32" t="s">
        <v>104</v>
      </c>
      <c r="H30" s="24" t="s">
        <v>105</v>
      </c>
      <c r="I30" s="26" t="s">
        <v>106</v>
      </c>
    </row>
    <row r="31" spans="1:9">
      <c r="A31" s="30">
        <v>0</v>
      </c>
      <c r="B31" s="31" t="s">
        <v>107</v>
      </c>
      <c r="C31" s="31"/>
      <c r="D31" s="24" t="str">
        <f t="shared" si="0"/>
        <v>0U</v>
      </c>
      <c r="E31" s="24" t="s">
        <v>16</v>
      </c>
      <c r="F31" s="24" t="s">
        <v>103</v>
      </c>
      <c r="G31" s="32" t="s">
        <v>108</v>
      </c>
      <c r="H31" s="24" t="s">
        <v>109</v>
      </c>
      <c r="I31" s="26" t="s">
        <v>106</v>
      </c>
    </row>
    <row r="32" spans="1:9">
      <c r="A32" s="30">
        <v>0</v>
      </c>
      <c r="B32" s="31" t="s">
        <v>110</v>
      </c>
      <c r="C32" s="31"/>
      <c r="D32" s="24" t="str">
        <f t="shared" si="0"/>
        <v>0V</v>
      </c>
      <c r="E32" s="24" t="s">
        <v>16</v>
      </c>
      <c r="F32" s="24" t="s">
        <v>111</v>
      </c>
      <c r="G32" s="25" t="s">
        <v>112</v>
      </c>
      <c r="H32" s="24" t="s">
        <v>113</v>
      </c>
      <c r="I32" s="28">
        <v>15108</v>
      </c>
    </row>
    <row r="33" spans="1:9">
      <c r="A33" s="30">
        <v>0</v>
      </c>
      <c r="B33" s="31" t="s">
        <v>114</v>
      </c>
      <c r="C33" s="31"/>
      <c r="D33" s="24" t="str">
        <f>CONCATENATE(A33,B33)</f>
        <v>0W</v>
      </c>
      <c r="E33" s="24" t="s">
        <v>16</v>
      </c>
      <c r="F33" s="24" t="s">
        <v>76</v>
      </c>
      <c r="G33" s="25" t="s">
        <v>115</v>
      </c>
      <c r="H33" s="24" t="s">
        <v>116</v>
      </c>
      <c r="I33" s="26" t="s">
        <v>79</v>
      </c>
    </row>
    <row r="34" spans="1:9">
      <c r="A34" s="30">
        <v>0</v>
      </c>
      <c r="B34" s="31" t="s">
        <v>117</v>
      </c>
      <c r="C34" s="31"/>
      <c r="D34" s="24" t="str">
        <f t="shared" si="0"/>
        <v>0X</v>
      </c>
      <c r="E34" s="24"/>
      <c r="F34" s="24"/>
      <c r="G34" s="25"/>
      <c r="H34" s="24"/>
      <c r="I34" s="28"/>
    </row>
    <row r="35" spans="1:9">
      <c r="A35" s="30">
        <v>0</v>
      </c>
      <c r="B35" s="31" t="s">
        <v>118</v>
      </c>
      <c r="C35" s="31"/>
      <c r="D35" s="24" t="str">
        <f t="shared" si="0"/>
        <v>0Y</v>
      </c>
      <c r="E35" s="24" t="s">
        <v>16</v>
      </c>
      <c r="F35" s="24" t="s">
        <v>119</v>
      </c>
      <c r="G35" s="25" t="s">
        <v>119</v>
      </c>
      <c r="H35" s="24" t="s">
        <v>120</v>
      </c>
      <c r="I35" s="28">
        <v>94070</v>
      </c>
    </row>
    <row r="36" spans="1:9">
      <c r="A36" s="30">
        <v>0</v>
      </c>
      <c r="B36" s="31" t="s">
        <v>121</v>
      </c>
      <c r="C36" s="31"/>
      <c r="D36" s="24" t="str">
        <f t="shared" si="0"/>
        <v>0Z</v>
      </c>
      <c r="E36" s="24" t="s">
        <v>16</v>
      </c>
      <c r="F36" s="24" t="s">
        <v>122</v>
      </c>
      <c r="G36" s="25" t="s">
        <v>65</v>
      </c>
      <c r="H36" s="24" t="s">
        <v>123</v>
      </c>
      <c r="I36" s="28">
        <v>75013</v>
      </c>
    </row>
    <row r="37" spans="1:9">
      <c r="A37" s="30">
        <v>1</v>
      </c>
      <c r="B37" s="31" t="s">
        <v>6</v>
      </c>
      <c r="C37" s="31"/>
      <c r="D37" s="24" t="str">
        <f t="shared" si="0"/>
        <v>10</v>
      </c>
      <c r="E37" s="24" t="s">
        <v>16</v>
      </c>
      <c r="F37" s="24" t="s">
        <v>124</v>
      </c>
      <c r="G37" s="25" t="s">
        <v>65</v>
      </c>
      <c r="H37" s="24"/>
      <c r="I37" s="28" t="s">
        <v>125</v>
      </c>
    </row>
    <row r="38" spans="1:9">
      <c r="A38" s="30">
        <v>1</v>
      </c>
      <c r="B38" s="31" t="s">
        <v>8</v>
      </c>
      <c r="C38" s="31"/>
      <c r="D38" s="24" t="str">
        <f t="shared" si="0"/>
        <v>11</v>
      </c>
      <c r="E38" s="24" t="s">
        <v>11</v>
      </c>
      <c r="F38" s="24" t="s">
        <v>126</v>
      </c>
      <c r="G38" s="25" t="s">
        <v>65</v>
      </c>
      <c r="H38" s="24"/>
      <c r="I38" s="28"/>
    </row>
    <row r="39" spans="1:9">
      <c r="A39" s="30">
        <v>1</v>
      </c>
      <c r="B39" s="31" t="s">
        <v>10</v>
      </c>
      <c r="C39" s="31"/>
      <c r="D39" s="24" t="str">
        <f t="shared" si="0"/>
        <v>12</v>
      </c>
      <c r="E39" s="24"/>
      <c r="F39" s="24"/>
      <c r="G39" s="25"/>
      <c r="H39" s="24"/>
      <c r="I39" s="28"/>
    </row>
    <row r="40" spans="1:9">
      <c r="A40" s="30">
        <v>1</v>
      </c>
      <c r="B40" s="31" t="s">
        <v>15</v>
      </c>
      <c r="C40" s="31"/>
      <c r="D40" s="24" t="str">
        <f t="shared" si="0"/>
        <v>13</v>
      </c>
      <c r="E40" s="24"/>
      <c r="F40" s="24"/>
      <c r="G40" s="25"/>
      <c r="H40" s="24"/>
      <c r="I40" s="28"/>
    </row>
    <row r="41" spans="1:9">
      <c r="A41" s="30">
        <v>1</v>
      </c>
      <c r="B41" s="31" t="s">
        <v>18</v>
      </c>
      <c r="C41" s="31"/>
      <c r="D41" s="24" t="str">
        <f t="shared" si="0"/>
        <v>14</v>
      </c>
      <c r="E41" s="24"/>
      <c r="F41" s="24"/>
      <c r="G41" s="25"/>
      <c r="H41" s="24"/>
      <c r="I41" s="28"/>
    </row>
    <row r="42" spans="1:9">
      <c r="A42" s="30">
        <v>1</v>
      </c>
      <c r="B42" s="31" t="s">
        <v>22</v>
      </c>
      <c r="C42" s="31"/>
      <c r="D42" s="24" t="str">
        <f t="shared" si="0"/>
        <v>15</v>
      </c>
      <c r="E42" s="24" t="s">
        <v>16</v>
      </c>
      <c r="F42" s="24" t="s">
        <v>12</v>
      </c>
      <c r="G42" s="25" t="s">
        <v>127</v>
      </c>
      <c r="H42" s="24" t="s">
        <v>128</v>
      </c>
      <c r="I42" s="28"/>
    </row>
    <row r="43" spans="1:9">
      <c r="A43" s="30">
        <v>1</v>
      </c>
      <c r="B43" s="31" t="s">
        <v>25</v>
      </c>
      <c r="C43" s="31"/>
      <c r="D43" s="24" t="str">
        <f t="shared" si="0"/>
        <v>16</v>
      </c>
      <c r="E43" s="24" t="s">
        <v>16</v>
      </c>
      <c r="F43" s="24" t="s">
        <v>76</v>
      </c>
      <c r="G43" s="25" t="s">
        <v>127</v>
      </c>
      <c r="H43" s="24" t="s">
        <v>128</v>
      </c>
      <c r="I43" s="28"/>
    </row>
    <row r="44" spans="1:9">
      <c r="A44" s="30">
        <v>1</v>
      </c>
      <c r="B44" s="31" t="s">
        <v>28</v>
      </c>
      <c r="C44" s="31"/>
      <c r="D44" s="24" t="str">
        <f t="shared" si="0"/>
        <v>17</v>
      </c>
      <c r="E44" s="24" t="s">
        <v>129</v>
      </c>
      <c r="F44" s="24" t="s">
        <v>130</v>
      </c>
      <c r="G44" s="25" t="s">
        <v>127</v>
      </c>
      <c r="H44" s="24" t="s">
        <v>128</v>
      </c>
      <c r="I44" s="28"/>
    </row>
    <row r="45" spans="1:9">
      <c r="A45" s="30">
        <v>1</v>
      </c>
      <c r="B45" s="31" t="s">
        <v>31</v>
      </c>
      <c r="C45" s="31"/>
      <c r="D45" s="24" t="str">
        <f t="shared" si="0"/>
        <v>18</v>
      </c>
      <c r="E45" s="24" t="s">
        <v>16</v>
      </c>
      <c r="F45" s="24" t="s">
        <v>12</v>
      </c>
      <c r="G45" s="25" t="s">
        <v>131</v>
      </c>
      <c r="H45" s="24" t="s">
        <v>132</v>
      </c>
      <c r="I45" s="28"/>
    </row>
    <row r="46" spans="1:9">
      <c r="A46" s="30">
        <v>1</v>
      </c>
      <c r="B46" s="31" t="s">
        <v>33</v>
      </c>
      <c r="C46" s="31"/>
      <c r="D46" s="24" t="str">
        <f t="shared" si="0"/>
        <v>19</v>
      </c>
      <c r="E46" s="24" t="s">
        <v>11</v>
      </c>
      <c r="F46" s="24" t="s">
        <v>12</v>
      </c>
      <c r="G46" s="25" t="s">
        <v>133</v>
      </c>
      <c r="H46" s="24" t="s">
        <v>132</v>
      </c>
      <c r="I46" s="28"/>
    </row>
    <row r="47" spans="1:9">
      <c r="A47" s="30">
        <v>1</v>
      </c>
      <c r="B47" s="31" t="s">
        <v>35</v>
      </c>
      <c r="C47" s="31"/>
      <c r="D47" s="24" t="str">
        <f t="shared" si="0"/>
        <v>1A</v>
      </c>
      <c r="E47" s="24" t="s">
        <v>16</v>
      </c>
      <c r="F47" s="24" t="s">
        <v>134</v>
      </c>
      <c r="G47" s="25" t="s">
        <v>135</v>
      </c>
      <c r="H47" s="24" t="s">
        <v>132</v>
      </c>
      <c r="I47" s="28"/>
    </row>
    <row r="48" spans="1:9">
      <c r="A48" s="30">
        <v>1</v>
      </c>
      <c r="B48" s="31" t="s">
        <v>37</v>
      </c>
      <c r="C48" s="31"/>
      <c r="D48" s="24" t="str">
        <f t="shared" si="0"/>
        <v>1B</v>
      </c>
      <c r="E48" s="24"/>
      <c r="F48" s="24"/>
      <c r="G48" s="25"/>
      <c r="H48" s="24"/>
      <c r="I48" s="28"/>
    </row>
    <row r="49" spans="1:9">
      <c r="A49" s="30">
        <v>1</v>
      </c>
      <c r="B49" s="31" t="s">
        <v>40</v>
      </c>
      <c r="C49" s="31"/>
      <c r="D49" s="24" t="str">
        <f t="shared" si="0"/>
        <v>1C</v>
      </c>
      <c r="E49" s="24"/>
      <c r="F49" s="24"/>
      <c r="G49" s="25"/>
      <c r="H49" s="24"/>
      <c r="I49" s="28"/>
    </row>
    <row r="50" spans="1:9">
      <c r="A50" s="30">
        <v>1</v>
      </c>
      <c r="B50" s="31" t="s">
        <v>44</v>
      </c>
      <c r="C50" s="31"/>
      <c r="D50" s="24" t="str">
        <f t="shared" si="0"/>
        <v>1D</v>
      </c>
      <c r="E50" s="24"/>
      <c r="F50" s="24"/>
      <c r="G50" s="25"/>
      <c r="H50" s="24"/>
      <c r="I50" s="28"/>
    </row>
    <row r="51" spans="1:9">
      <c r="A51" s="30">
        <v>1</v>
      </c>
      <c r="B51" s="31" t="s">
        <v>47</v>
      </c>
      <c r="C51" s="31"/>
      <c r="D51" s="24" t="str">
        <f t="shared" si="0"/>
        <v>1E</v>
      </c>
      <c r="E51" s="24"/>
      <c r="F51" s="24"/>
      <c r="G51" s="25"/>
      <c r="H51" s="24"/>
      <c r="I51" s="28"/>
    </row>
    <row r="52" spans="1:9">
      <c r="A52" s="30">
        <v>1</v>
      </c>
      <c r="B52" s="31" t="s">
        <v>51</v>
      </c>
      <c r="C52" s="31"/>
      <c r="D52" s="24" t="str">
        <f t="shared" si="0"/>
        <v>1F</v>
      </c>
      <c r="E52" s="24"/>
      <c r="F52" s="24"/>
      <c r="G52" s="25"/>
      <c r="H52" s="24"/>
      <c r="I52" s="28"/>
    </row>
    <row r="53" spans="1:9">
      <c r="A53" s="30">
        <v>1</v>
      </c>
      <c r="B53" s="31" t="s">
        <v>56</v>
      </c>
      <c r="C53" s="31"/>
      <c r="D53" s="24" t="str">
        <f t="shared" si="0"/>
        <v>1G</v>
      </c>
      <c r="E53" s="24"/>
      <c r="F53" s="24"/>
      <c r="G53" s="25"/>
      <c r="H53" s="24"/>
      <c r="I53" s="28"/>
    </row>
    <row r="54" spans="1:9">
      <c r="A54" s="30">
        <v>1</v>
      </c>
      <c r="B54" s="31" t="s">
        <v>59</v>
      </c>
      <c r="C54" s="31"/>
      <c r="D54" s="24" t="str">
        <f t="shared" si="0"/>
        <v>1H</v>
      </c>
      <c r="E54" s="24"/>
      <c r="F54" s="24"/>
      <c r="G54" s="25"/>
      <c r="H54" s="24"/>
      <c r="I54" s="28"/>
    </row>
    <row r="55" spans="1:9">
      <c r="A55" s="30">
        <v>1</v>
      </c>
      <c r="B55" s="31" t="s">
        <v>63</v>
      </c>
      <c r="C55" s="31"/>
      <c r="D55" s="24" t="str">
        <f t="shared" si="0"/>
        <v>1J</v>
      </c>
      <c r="E55" s="24" t="s">
        <v>16</v>
      </c>
      <c r="F55" s="24" t="s">
        <v>136</v>
      </c>
      <c r="G55" s="25" t="s">
        <v>137</v>
      </c>
      <c r="H55" s="24"/>
      <c r="I55" s="28"/>
    </row>
    <row r="56" spans="1:9">
      <c r="A56" s="30">
        <v>1</v>
      </c>
      <c r="B56" s="31" t="s">
        <v>66</v>
      </c>
      <c r="C56" s="31"/>
      <c r="D56" s="24" t="str">
        <f t="shared" si="0"/>
        <v>1K</v>
      </c>
      <c r="E56" s="24" t="s">
        <v>16</v>
      </c>
      <c r="F56" s="24" t="s">
        <v>138</v>
      </c>
      <c r="G56" s="25" t="s">
        <v>139</v>
      </c>
      <c r="H56" s="24" t="s">
        <v>140</v>
      </c>
      <c r="I56" s="28">
        <v>78215</v>
      </c>
    </row>
    <row r="57" spans="1:9">
      <c r="A57" s="30">
        <v>1</v>
      </c>
      <c r="B57" s="31" t="s">
        <v>70</v>
      </c>
      <c r="C57" s="31"/>
      <c r="D57" s="24" t="str">
        <f t="shared" si="0"/>
        <v>1L</v>
      </c>
      <c r="E57" s="24" t="s">
        <v>16</v>
      </c>
      <c r="F57" s="24" t="s">
        <v>138</v>
      </c>
      <c r="G57" s="25" t="s">
        <v>141</v>
      </c>
      <c r="H57" s="34" t="s">
        <v>142</v>
      </c>
      <c r="I57" s="28">
        <v>78215</v>
      </c>
    </row>
    <row r="58" spans="1:9">
      <c r="A58" s="30">
        <v>1</v>
      </c>
      <c r="B58" s="31" t="s">
        <v>71</v>
      </c>
      <c r="C58" s="31"/>
      <c r="D58" s="24" t="str">
        <f t="shared" si="0"/>
        <v>1M</v>
      </c>
      <c r="E58" s="24" t="s">
        <v>16</v>
      </c>
      <c r="F58" s="24" t="s">
        <v>138</v>
      </c>
      <c r="G58" s="25" t="s">
        <v>143</v>
      </c>
      <c r="H58" s="34" t="s">
        <v>144</v>
      </c>
      <c r="I58" s="28">
        <v>78215</v>
      </c>
    </row>
    <row r="59" spans="1:9">
      <c r="A59" s="30">
        <v>1</v>
      </c>
      <c r="B59" s="31" t="s">
        <v>75</v>
      </c>
      <c r="C59" s="31"/>
      <c r="D59" s="24" t="str">
        <f t="shared" si="0"/>
        <v>1N</v>
      </c>
      <c r="E59" s="24" t="s">
        <v>16</v>
      </c>
      <c r="F59" s="24" t="s">
        <v>138</v>
      </c>
      <c r="G59" s="25" t="s">
        <v>145</v>
      </c>
      <c r="H59" s="34" t="s">
        <v>146</v>
      </c>
      <c r="I59" s="28">
        <v>78215</v>
      </c>
    </row>
    <row r="60" spans="1:9">
      <c r="A60" s="30">
        <v>1</v>
      </c>
      <c r="B60" s="31" t="s">
        <v>84</v>
      </c>
      <c r="C60" s="31"/>
      <c r="D60" s="24" t="str">
        <f t="shared" si="0"/>
        <v>1P</v>
      </c>
      <c r="E60" s="24" t="s">
        <v>16</v>
      </c>
      <c r="F60" s="24" t="s">
        <v>138</v>
      </c>
      <c r="G60" s="25" t="s">
        <v>147</v>
      </c>
      <c r="H60" s="24" t="s">
        <v>148</v>
      </c>
      <c r="I60" s="28">
        <v>78215</v>
      </c>
    </row>
    <row r="61" spans="1:9">
      <c r="A61" s="30">
        <v>1</v>
      </c>
      <c r="B61" s="31" t="s">
        <v>89</v>
      </c>
      <c r="C61" s="31"/>
      <c r="D61" s="24" t="str">
        <f t="shared" si="0"/>
        <v>1Q</v>
      </c>
      <c r="E61" s="24" t="s">
        <v>149</v>
      </c>
      <c r="F61" s="24" t="s">
        <v>150</v>
      </c>
      <c r="G61" s="25" t="s">
        <v>151</v>
      </c>
      <c r="H61" s="24" t="s">
        <v>152</v>
      </c>
      <c r="I61" s="28"/>
    </row>
    <row r="62" spans="1:9">
      <c r="A62" s="30">
        <v>1</v>
      </c>
      <c r="B62" s="31" t="s">
        <v>93</v>
      </c>
      <c r="C62" s="31"/>
      <c r="D62" s="24" t="str">
        <f t="shared" si="0"/>
        <v>1R</v>
      </c>
      <c r="E62" s="24"/>
      <c r="F62" s="24"/>
      <c r="G62" s="25"/>
      <c r="H62" s="24"/>
      <c r="I62" s="28"/>
    </row>
    <row r="63" spans="1:9">
      <c r="A63" s="30">
        <v>1</v>
      </c>
      <c r="B63" s="31" t="s">
        <v>98</v>
      </c>
      <c r="C63" s="31"/>
      <c r="D63" s="24" t="str">
        <f t="shared" si="0"/>
        <v>1S</v>
      </c>
      <c r="E63" s="24"/>
      <c r="F63" s="24"/>
      <c r="G63" s="25"/>
      <c r="H63" s="24"/>
      <c r="I63" s="28"/>
    </row>
    <row r="64" spans="1:9">
      <c r="A64" s="30">
        <v>1</v>
      </c>
      <c r="B64" s="31" t="s">
        <v>102</v>
      </c>
      <c r="C64" s="31"/>
      <c r="D64" s="24" t="str">
        <f t="shared" ref="D64:D124" si="1">CONCATENATE(A64,B64)</f>
        <v>1T</v>
      </c>
      <c r="E64" s="24"/>
      <c r="F64" s="24"/>
      <c r="G64" s="25"/>
      <c r="H64" s="24"/>
      <c r="I64" s="28"/>
    </row>
    <row r="65" spans="1:9">
      <c r="A65" s="30">
        <v>1</v>
      </c>
      <c r="B65" s="31" t="s">
        <v>107</v>
      </c>
      <c r="C65" s="31"/>
      <c r="D65" s="24" t="str">
        <f t="shared" si="1"/>
        <v>1U</v>
      </c>
      <c r="E65" s="24"/>
      <c r="F65" s="24"/>
      <c r="G65" s="25"/>
      <c r="H65" s="24"/>
      <c r="I65" s="28"/>
    </row>
    <row r="66" spans="1:9">
      <c r="A66" s="30">
        <v>1</v>
      </c>
      <c r="B66" s="31" t="s">
        <v>110</v>
      </c>
      <c r="C66" s="31"/>
      <c r="D66" s="24" t="str">
        <f t="shared" si="1"/>
        <v>1V</v>
      </c>
      <c r="E66" s="24"/>
      <c r="F66" s="24"/>
      <c r="G66" s="25"/>
      <c r="H66" s="24"/>
      <c r="I66" s="28"/>
    </row>
    <row r="67" spans="1:9">
      <c r="A67" s="30">
        <v>1</v>
      </c>
      <c r="B67" s="31" t="s">
        <v>114</v>
      </c>
      <c r="C67" s="31"/>
      <c r="D67" s="24" t="str">
        <f t="shared" si="1"/>
        <v>1W</v>
      </c>
      <c r="E67" s="24"/>
      <c r="F67" s="24"/>
      <c r="G67" s="25"/>
      <c r="H67" s="24"/>
      <c r="I67" s="28"/>
    </row>
    <row r="68" spans="1:9">
      <c r="A68" s="30">
        <v>1</v>
      </c>
      <c r="B68" s="31" t="s">
        <v>117</v>
      </c>
      <c r="C68" s="31"/>
      <c r="D68" s="24" t="str">
        <f t="shared" si="1"/>
        <v>1X</v>
      </c>
      <c r="E68" s="24"/>
      <c r="F68" s="24"/>
      <c r="G68" s="25"/>
      <c r="H68" s="24"/>
      <c r="I68" s="28"/>
    </row>
    <row r="69" spans="1:9">
      <c r="A69" s="30">
        <v>1</v>
      </c>
      <c r="B69" s="31" t="s">
        <v>118</v>
      </c>
      <c r="C69" s="31"/>
      <c r="D69" s="24" t="str">
        <f t="shared" si="1"/>
        <v>1Y</v>
      </c>
      <c r="E69" s="24"/>
      <c r="F69" s="24"/>
      <c r="G69" s="25"/>
      <c r="H69" s="24"/>
      <c r="I69" s="28"/>
    </row>
    <row r="70" spans="1:9">
      <c r="A70" s="30">
        <v>1</v>
      </c>
      <c r="B70" s="31" t="s">
        <v>121</v>
      </c>
      <c r="C70" s="31"/>
      <c r="D70" s="24" t="str">
        <f t="shared" si="1"/>
        <v>1Z</v>
      </c>
      <c r="E70" s="24" t="s">
        <v>153</v>
      </c>
      <c r="F70" s="24" t="s">
        <v>154</v>
      </c>
      <c r="G70" s="35" t="s">
        <v>155</v>
      </c>
      <c r="H70" s="36" t="s">
        <v>156</v>
      </c>
      <c r="I70" s="28">
        <v>1147</v>
      </c>
    </row>
    <row r="71" spans="1:9">
      <c r="A71" s="30">
        <v>2</v>
      </c>
      <c r="B71" s="31" t="s">
        <v>6</v>
      </c>
      <c r="C71" s="31"/>
      <c r="D71" s="24" t="str">
        <f t="shared" si="1"/>
        <v>20</v>
      </c>
      <c r="E71" s="24"/>
      <c r="F71" s="24"/>
      <c r="G71" s="25"/>
      <c r="H71" s="24"/>
      <c r="I71" s="28"/>
    </row>
    <row r="72" spans="1:9">
      <c r="A72" s="30">
        <v>2</v>
      </c>
      <c r="B72" s="31" t="s">
        <v>8</v>
      </c>
      <c r="C72" s="31"/>
      <c r="D72" s="24" t="str">
        <f t="shared" si="1"/>
        <v>21</v>
      </c>
      <c r="E72" s="24"/>
      <c r="F72" s="24"/>
      <c r="G72" s="35"/>
      <c r="H72" s="24"/>
      <c r="I72" s="28"/>
    </row>
    <row r="73" spans="1:9">
      <c r="A73" s="30">
        <v>2</v>
      </c>
      <c r="B73" s="31" t="s">
        <v>10</v>
      </c>
      <c r="C73" s="31"/>
      <c r="D73" s="24" t="str">
        <f t="shared" si="1"/>
        <v>22</v>
      </c>
      <c r="E73" s="24" t="s">
        <v>157</v>
      </c>
      <c r="F73" s="24" t="s">
        <v>158</v>
      </c>
      <c r="G73" s="35" t="s">
        <v>159</v>
      </c>
      <c r="H73" s="24" t="s">
        <v>160</v>
      </c>
      <c r="I73" s="28"/>
    </row>
    <row r="74" spans="1:9">
      <c r="A74" s="30">
        <v>2</v>
      </c>
      <c r="B74" s="31" t="s">
        <v>15</v>
      </c>
      <c r="C74" s="31"/>
      <c r="D74" s="24" t="str">
        <f t="shared" si="1"/>
        <v>23</v>
      </c>
      <c r="E74" s="24" t="s">
        <v>157</v>
      </c>
      <c r="F74" s="24" t="s">
        <v>161</v>
      </c>
      <c r="G74" s="35" t="s">
        <v>159</v>
      </c>
      <c r="H74" s="24" t="s">
        <v>162</v>
      </c>
      <c r="I74" s="28"/>
    </row>
    <row r="75" spans="1:9">
      <c r="A75" s="30">
        <v>2</v>
      </c>
      <c r="B75" s="31" t="s">
        <v>18</v>
      </c>
      <c r="C75" s="31"/>
      <c r="D75" s="24" t="str">
        <f t="shared" si="1"/>
        <v>24</v>
      </c>
      <c r="E75" s="24"/>
      <c r="F75" s="37"/>
      <c r="G75" s="35"/>
      <c r="H75" s="24"/>
      <c r="I75" s="28"/>
    </row>
    <row r="76" spans="1:9">
      <c r="A76" s="30">
        <v>2</v>
      </c>
      <c r="B76" s="31" t="s">
        <v>22</v>
      </c>
      <c r="C76" s="31"/>
      <c r="D76" s="24" t="str">
        <f t="shared" si="1"/>
        <v>25</v>
      </c>
      <c r="E76" s="24"/>
      <c r="F76" s="38"/>
      <c r="G76" s="35"/>
      <c r="H76" s="24"/>
      <c r="I76" s="28"/>
    </row>
    <row r="77" spans="1:9">
      <c r="A77" s="30">
        <v>2</v>
      </c>
      <c r="B77" s="31" t="s">
        <v>25</v>
      </c>
      <c r="C77" s="31"/>
      <c r="D77" s="24" t="str">
        <f t="shared" si="1"/>
        <v>26</v>
      </c>
      <c r="E77" s="24"/>
      <c r="F77" s="39"/>
      <c r="G77" s="35"/>
      <c r="H77" s="24"/>
      <c r="I77" s="28"/>
    </row>
    <row r="78" spans="1:9">
      <c r="A78" s="30">
        <v>2</v>
      </c>
      <c r="B78" s="31" t="s">
        <v>28</v>
      </c>
      <c r="C78" s="31"/>
      <c r="D78" s="24" t="str">
        <f t="shared" si="1"/>
        <v>27</v>
      </c>
      <c r="E78" s="24" t="s">
        <v>163</v>
      </c>
      <c r="F78" s="24"/>
      <c r="G78" s="35"/>
      <c r="H78" s="24"/>
      <c r="I78" s="28"/>
    </row>
    <row r="79" spans="1:9">
      <c r="A79" s="30">
        <v>2</v>
      </c>
      <c r="B79" s="31" t="s">
        <v>31</v>
      </c>
      <c r="C79" s="31"/>
      <c r="D79" s="24" t="str">
        <f t="shared" si="1"/>
        <v>28</v>
      </c>
      <c r="E79" s="24" t="s">
        <v>164</v>
      </c>
      <c r="F79" s="24"/>
      <c r="G79" s="25"/>
      <c r="H79" s="24"/>
      <c r="I79" s="28"/>
    </row>
    <row r="80" spans="1:9">
      <c r="A80" s="30">
        <v>2</v>
      </c>
      <c r="B80" s="31" t="s">
        <v>33</v>
      </c>
      <c r="C80" s="31"/>
      <c r="D80" s="24" t="str">
        <f t="shared" si="1"/>
        <v>29</v>
      </c>
      <c r="E80" s="24"/>
      <c r="F80" s="24"/>
      <c r="G80" s="25"/>
      <c r="H80" s="24"/>
      <c r="I80" s="28"/>
    </row>
    <row r="81" spans="1:9">
      <c r="A81" s="30">
        <v>2</v>
      </c>
      <c r="B81" s="31" t="s">
        <v>35</v>
      </c>
      <c r="C81" s="31"/>
      <c r="D81" s="24" t="str">
        <f t="shared" si="1"/>
        <v>2A</v>
      </c>
      <c r="E81" s="24" t="s">
        <v>165</v>
      </c>
      <c r="F81" s="24" t="s">
        <v>166</v>
      </c>
      <c r="G81" s="40" t="s">
        <v>167</v>
      </c>
      <c r="H81" s="24" t="s">
        <v>168</v>
      </c>
      <c r="I81" s="28">
        <v>1560</v>
      </c>
    </row>
    <row r="82" spans="1:9">
      <c r="A82" s="30">
        <v>2</v>
      </c>
      <c r="B82" s="31" t="s">
        <v>37</v>
      </c>
      <c r="C82" s="31"/>
      <c r="D82" s="24" t="str">
        <f t="shared" si="1"/>
        <v>2B</v>
      </c>
      <c r="E82" s="24" t="s">
        <v>165</v>
      </c>
      <c r="F82" s="24" t="s">
        <v>169</v>
      </c>
      <c r="G82" s="25" t="s">
        <v>170</v>
      </c>
      <c r="H82" s="24" t="s">
        <v>171</v>
      </c>
      <c r="I82" s="28"/>
    </row>
    <row r="83" spans="1:9">
      <c r="A83" s="30">
        <v>2</v>
      </c>
      <c r="B83" s="31" t="s">
        <v>40</v>
      </c>
      <c r="C83" s="31"/>
      <c r="D83" s="24" t="str">
        <f t="shared" si="1"/>
        <v>2C</v>
      </c>
      <c r="E83" s="24"/>
      <c r="F83" s="24"/>
      <c r="G83" s="25"/>
      <c r="H83" s="24"/>
      <c r="I83" s="28"/>
    </row>
    <row r="84" spans="1:9">
      <c r="A84" s="30">
        <v>2</v>
      </c>
      <c r="B84" s="31" t="s">
        <v>44</v>
      </c>
      <c r="C84" s="31"/>
      <c r="D84" s="24" t="str">
        <f t="shared" si="1"/>
        <v>2D</v>
      </c>
      <c r="E84" s="24"/>
      <c r="F84" s="24"/>
      <c r="G84" s="25"/>
      <c r="H84" s="24"/>
      <c r="I84" s="28"/>
    </row>
    <row r="85" spans="1:9">
      <c r="A85" s="30">
        <v>2</v>
      </c>
      <c r="B85" s="31" t="s">
        <v>47</v>
      </c>
      <c r="C85" s="31"/>
      <c r="D85" s="24" t="str">
        <f t="shared" si="1"/>
        <v>2E</v>
      </c>
      <c r="E85" s="24"/>
      <c r="F85" s="24"/>
      <c r="G85" s="25"/>
      <c r="H85" s="24"/>
      <c r="I85" s="28"/>
    </row>
    <row r="86" spans="1:9">
      <c r="A86" s="30">
        <v>2</v>
      </c>
      <c r="B86" s="31" t="s">
        <v>51</v>
      </c>
      <c r="C86" s="31"/>
      <c r="D86" s="24" t="str">
        <f t="shared" si="1"/>
        <v>2F</v>
      </c>
      <c r="E86" s="24" t="s">
        <v>149</v>
      </c>
      <c r="F86" s="24" t="s">
        <v>172</v>
      </c>
      <c r="G86" s="41" t="s">
        <v>173</v>
      </c>
      <c r="H86" s="24" t="s">
        <v>174</v>
      </c>
      <c r="I86" s="28"/>
    </row>
    <row r="87" spans="1:9">
      <c r="A87" s="30">
        <v>2</v>
      </c>
      <c r="B87" s="31" t="s">
        <v>56</v>
      </c>
      <c r="C87" s="31"/>
      <c r="D87" s="24" t="str">
        <f t="shared" si="1"/>
        <v>2G</v>
      </c>
      <c r="E87" s="24"/>
      <c r="F87" s="24"/>
      <c r="G87" s="41"/>
      <c r="H87" s="24"/>
      <c r="I87" s="28"/>
    </row>
    <row r="88" spans="1:9">
      <c r="A88" s="30">
        <v>2</v>
      </c>
      <c r="B88" s="31" t="s">
        <v>59</v>
      </c>
      <c r="C88" s="31"/>
      <c r="D88" s="24" t="str">
        <f t="shared" si="1"/>
        <v>2H</v>
      </c>
      <c r="E88" s="24"/>
      <c r="F88" s="24"/>
      <c r="G88" s="41"/>
      <c r="H88" s="24"/>
      <c r="I88" s="28"/>
    </row>
    <row r="89" spans="1:9">
      <c r="A89" s="30">
        <v>2</v>
      </c>
      <c r="B89" s="31" t="s">
        <v>63</v>
      </c>
      <c r="C89" s="31"/>
      <c r="D89" s="24" t="str">
        <f t="shared" si="1"/>
        <v>2J</v>
      </c>
      <c r="E89" s="24" t="s">
        <v>175</v>
      </c>
      <c r="F89" s="24" t="s">
        <v>176</v>
      </c>
      <c r="G89" s="25" t="s">
        <v>177</v>
      </c>
      <c r="H89" s="24" t="s">
        <v>178</v>
      </c>
      <c r="I89" s="28"/>
    </row>
    <row r="90" spans="1:9">
      <c r="A90" s="30">
        <v>2</v>
      </c>
      <c r="B90" s="31" t="s">
        <v>66</v>
      </c>
      <c r="C90" s="31"/>
      <c r="D90" s="24" t="str">
        <f t="shared" si="1"/>
        <v>2K</v>
      </c>
      <c r="E90" s="24" t="s">
        <v>175</v>
      </c>
      <c r="F90" s="24" t="s">
        <v>179</v>
      </c>
      <c r="G90" s="41" t="s">
        <v>177</v>
      </c>
      <c r="H90" s="24" t="s">
        <v>180</v>
      </c>
      <c r="I90" s="28" t="s">
        <v>181</v>
      </c>
    </row>
    <row r="91" spans="1:9">
      <c r="A91" s="30">
        <v>2</v>
      </c>
      <c r="B91" s="31" t="s">
        <v>70</v>
      </c>
      <c r="C91" s="31"/>
      <c r="D91" s="24" t="str">
        <f t="shared" si="1"/>
        <v>2L</v>
      </c>
      <c r="E91" s="24" t="s">
        <v>175</v>
      </c>
      <c r="F91" s="24" t="s">
        <v>182</v>
      </c>
      <c r="G91" s="41" t="s">
        <v>177</v>
      </c>
      <c r="H91" s="24" t="s">
        <v>183</v>
      </c>
      <c r="I91" s="28"/>
    </row>
    <row r="92" spans="1:9">
      <c r="A92" s="30">
        <v>2</v>
      </c>
      <c r="B92" s="31" t="s">
        <v>71</v>
      </c>
      <c r="C92" s="31"/>
      <c r="D92" s="24" t="str">
        <f t="shared" si="1"/>
        <v>2M</v>
      </c>
      <c r="E92" s="24"/>
      <c r="F92" s="24"/>
      <c r="G92" s="41"/>
      <c r="H92" s="24"/>
      <c r="I92" s="28"/>
    </row>
    <row r="93" spans="1:9">
      <c r="A93" s="30">
        <v>2</v>
      </c>
      <c r="B93" s="31" t="s">
        <v>75</v>
      </c>
      <c r="C93" s="31"/>
      <c r="D93" s="24" t="str">
        <f t="shared" si="1"/>
        <v>2N</v>
      </c>
      <c r="E93" s="24" t="s">
        <v>184</v>
      </c>
      <c r="F93" s="24" t="s">
        <v>185</v>
      </c>
      <c r="G93" s="25" t="s">
        <v>186</v>
      </c>
      <c r="H93" s="24"/>
      <c r="I93" s="28"/>
    </row>
    <row r="94" spans="1:9">
      <c r="A94" s="30">
        <v>2</v>
      </c>
      <c r="B94" s="31" t="s">
        <v>84</v>
      </c>
      <c r="C94" s="31"/>
      <c r="D94" s="24" t="str">
        <f t="shared" si="1"/>
        <v>2P</v>
      </c>
      <c r="E94" s="24"/>
      <c r="F94" s="24"/>
      <c r="G94" s="25"/>
      <c r="H94" s="24"/>
      <c r="I94" s="28"/>
    </row>
    <row r="95" spans="1:9">
      <c r="A95" s="30">
        <v>2</v>
      </c>
      <c r="B95" s="31" t="s">
        <v>89</v>
      </c>
      <c r="C95" s="31"/>
      <c r="D95" s="24" t="str">
        <f t="shared" si="1"/>
        <v>2Q</v>
      </c>
      <c r="E95" s="24" t="s">
        <v>129</v>
      </c>
      <c r="F95" s="24" t="s">
        <v>187</v>
      </c>
      <c r="G95" s="42" t="s">
        <v>188</v>
      </c>
      <c r="H95" s="24" t="s">
        <v>189</v>
      </c>
      <c r="I95" s="28">
        <v>69792</v>
      </c>
    </row>
    <row r="96" spans="1:9">
      <c r="A96" s="30">
        <v>2</v>
      </c>
      <c r="B96" s="31" t="s">
        <v>93</v>
      </c>
      <c r="C96" s="31"/>
      <c r="D96" s="24" t="str">
        <f t="shared" si="1"/>
        <v>2R</v>
      </c>
      <c r="E96" s="24" t="s">
        <v>130</v>
      </c>
      <c r="F96" s="24" t="s">
        <v>190</v>
      </c>
      <c r="G96" s="42" t="s">
        <v>191</v>
      </c>
      <c r="H96" s="24"/>
      <c r="I96" s="28"/>
    </row>
    <row r="97" spans="1:10">
      <c r="A97" s="30">
        <v>2</v>
      </c>
      <c r="B97" s="31" t="s">
        <v>98</v>
      </c>
      <c r="C97" s="31"/>
      <c r="D97" s="24" t="str">
        <f t="shared" si="1"/>
        <v>2S</v>
      </c>
      <c r="E97" s="24" t="s">
        <v>129</v>
      </c>
      <c r="F97" s="24" t="s">
        <v>192</v>
      </c>
      <c r="G97" s="42" t="s">
        <v>188</v>
      </c>
      <c r="H97" s="24" t="s">
        <v>193</v>
      </c>
      <c r="I97" s="28">
        <v>69330</v>
      </c>
      <c r="J97" s="30"/>
    </row>
    <row r="98" spans="1:10">
      <c r="A98" s="30">
        <v>2</v>
      </c>
      <c r="B98" s="31" t="s">
        <v>102</v>
      </c>
      <c r="C98" s="31"/>
      <c r="D98" s="24" t="str">
        <f t="shared" si="1"/>
        <v>2T</v>
      </c>
      <c r="E98" s="24" t="s">
        <v>129</v>
      </c>
      <c r="F98" s="24"/>
      <c r="G98" s="25" t="s">
        <v>194</v>
      </c>
      <c r="H98" s="24"/>
      <c r="I98" s="28"/>
      <c r="J98" s="30"/>
    </row>
    <row r="99" spans="1:10">
      <c r="A99" s="30">
        <v>2</v>
      </c>
      <c r="B99" s="31" t="s">
        <v>107</v>
      </c>
      <c r="C99" s="31"/>
      <c r="D99" s="24" t="str">
        <f t="shared" si="1"/>
        <v>2U</v>
      </c>
      <c r="E99" s="24"/>
      <c r="F99" s="24"/>
      <c r="G99" s="25"/>
      <c r="H99" s="24"/>
      <c r="I99" s="28"/>
      <c r="J99" s="30"/>
    </row>
    <row r="100" spans="1:10">
      <c r="A100" s="30">
        <v>2</v>
      </c>
      <c r="B100" s="31" t="s">
        <v>110</v>
      </c>
      <c r="C100" s="31"/>
      <c r="D100" s="24" t="str">
        <f t="shared" si="1"/>
        <v>2V</v>
      </c>
      <c r="E100" s="24"/>
      <c r="F100" s="24"/>
      <c r="G100" s="25"/>
      <c r="H100" s="24"/>
      <c r="I100" s="28"/>
      <c r="J100" s="30"/>
    </row>
    <row r="101" spans="1:10">
      <c r="A101" s="30">
        <v>2</v>
      </c>
      <c r="B101" s="31" t="s">
        <v>114</v>
      </c>
      <c r="C101" s="31"/>
      <c r="D101" s="24" t="str">
        <f t="shared" si="1"/>
        <v>2W</v>
      </c>
      <c r="E101" s="24"/>
      <c r="F101" s="24"/>
      <c r="G101" s="25"/>
      <c r="H101" s="24"/>
      <c r="I101" s="28"/>
      <c r="J101" s="30"/>
    </row>
    <row r="102" spans="1:10">
      <c r="A102" s="30">
        <v>2</v>
      </c>
      <c r="B102" s="31" t="s">
        <v>117</v>
      </c>
      <c r="C102" s="31"/>
      <c r="D102" s="24" t="str">
        <f t="shared" si="1"/>
        <v>2X</v>
      </c>
      <c r="E102" s="24" t="s">
        <v>195</v>
      </c>
      <c r="F102" s="24" t="s">
        <v>196</v>
      </c>
      <c r="G102" s="25" t="s">
        <v>197</v>
      </c>
      <c r="H102" s="24"/>
      <c r="I102" s="28"/>
      <c r="J102" s="30"/>
    </row>
    <row r="103" spans="1:10">
      <c r="A103" s="30">
        <v>2</v>
      </c>
      <c r="B103" s="31" t="s">
        <v>118</v>
      </c>
      <c r="C103" s="31"/>
      <c r="D103" s="24" t="str">
        <f t="shared" si="1"/>
        <v>2Y</v>
      </c>
      <c r="E103" s="24" t="s">
        <v>195</v>
      </c>
      <c r="F103" s="24" t="s">
        <v>196</v>
      </c>
      <c r="G103" s="43" t="s">
        <v>198</v>
      </c>
      <c r="H103" s="24" t="s">
        <v>199</v>
      </c>
      <c r="I103" s="28">
        <v>64295</v>
      </c>
      <c r="J103" s="30"/>
    </row>
    <row r="104" spans="1:10">
      <c r="A104" s="30">
        <v>2</v>
      </c>
      <c r="B104" s="31" t="s">
        <v>121</v>
      </c>
      <c r="C104" s="31"/>
      <c r="D104" s="24" t="str">
        <f t="shared" si="1"/>
        <v>2Z</v>
      </c>
      <c r="E104" s="24" t="s">
        <v>195</v>
      </c>
      <c r="F104" s="24" t="s">
        <v>200</v>
      </c>
      <c r="G104" s="25" t="s">
        <v>201</v>
      </c>
      <c r="H104" s="24" t="s">
        <v>202</v>
      </c>
      <c r="I104" s="28">
        <v>71139</v>
      </c>
      <c r="J104" s="24" t="s">
        <v>203</v>
      </c>
    </row>
    <row r="105" spans="1:10" ht="13">
      <c r="A105" s="30">
        <v>3</v>
      </c>
      <c r="B105" s="31" t="s">
        <v>6</v>
      </c>
      <c r="C105" s="31"/>
      <c r="D105" s="24" t="str">
        <f t="shared" si="1"/>
        <v>30</v>
      </c>
      <c r="E105" s="24"/>
      <c r="F105" s="24"/>
      <c r="G105" s="25"/>
      <c r="H105" s="24"/>
      <c r="I105" s="28"/>
      <c r="J105" s="11"/>
    </row>
    <row r="106" spans="1:10" ht="13">
      <c r="A106" s="30">
        <v>3</v>
      </c>
      <c r="B106" s="31" t="s">
        <v>8</v>
      </c>
      <c r="C106" s="31"/>
      <c r="D106" s="24" t="str">
        <f t="shared" si="1"/>
        <v>31</v>
      </c>
      <c r="E106" s="24"/>
      <c r="F106" s="24"/>
      <c r="G106" s="25"/>
      <c r="H106" s="24"/>
      <c r="I106" s="28"/>
      <c r="J106" s="11"/>
    </row>
    <row r="107" spans="1:10" ht="13">
      <c r="A107" s="30">
        <v>3</v>
      </c>
      <c r="B107" s="31" t="s">
        <v>10</v>
      </c>
      <c r="C107" s="31"/>
      <c r="D107" s="24" t="str">
        <f t="shared" si="1"/>
        <v>32</v>
      </c>
      <c r="E107" s="24" t="s">
        <v>204</v>
      </c>
      <c r="F107" s="24" t="s">
        <v>205</v>
      </c>
      <c r="G107" s="25" t="s">
        <v>206</v>
      </c>
      <c r="H107" s="34" t="s">
        <v>207</v>
      </c>
      <c r="I107" s="28">
        <v>16451</v>
      </c>
      <c r="J107" s="11"/>
    </row>
    <row r="108" spans="1:10">
      <c r="A108" s="30">
        <v>3</v>
      </c>
      <c r="B108" s="31" t="s">
        <v>15</v>
      </c>
      <c r="C108" s="31"/>
      <c r="D108" s="24" t="str">
        <f t="shared" si="1"/>
        <v>33</v>
      </c>
      <c r="E108" s="24"/>
      <c r="F108" s="24"/>
      <c r="G108" s="25"/>
      <c r="H108" s="24"/>
      <c r="I108" s="28"/>
      <c r="J108" s="30"/>
    </row>
    <row r="109" spans="1:10">
      <c r="A109" s="30">
        <v>3</v>
      </c>
      <c r="B109" s="31" t="s">
        <v>18</v>
      </c>
      <c r="C109" s="31"/>
      <c r="D109" s="24" t="str">
        <f t="shared" si="1"/>
        <v>34</v>
      </c>
      <c r="E109" s="24"/>
      <c r="F109" s="24"/>
      <c r="G109" s="25"/>
      <c r="H109" s="24"/>
      <c r="I109" s="28"/>
      <c r="J109" s="30"/>
    </row>
    <row r="110" spans="1:10">
      <c r="A110" s="30">
        <v>3</v>
      </c>
      <c r="B110" s="31" t="s">
        <v>22</v>
      </c>
      <c r="C110" s="31"/>
      <c r="D110" s="24" t="str">
        <f t="shared" si="1"/>
        <v>35</v>
      </c>
      <c r="E110" s="24" t="s">
        <v>208</v>
      </c>
      <c r="F110" s="24" t="s">
        <v>209</v>
      </c>
      <c r="G110" s="44" t="s">
        <v>210</v>
      </c>
      <c r="H110" s="24" t="s">
        <v>211</v>
      </c>
      <c r="I110" s="28"/>
      <c r="J110" s="30"/>
    </row>
    <row r="111" spans="1:10">
      <c r="A111" s="30">
        <v>3</v>
      </c>
      <c r="B111" s="31" t="s">
        <v>25</v>
      </c>
      <c r="C111" s="31"/>
      <c r="D111" s="24" t="str">
        <f t="shared" si="1"/>
        <v>36</v>
      </c>
      <c r="E111" s="24" t="s">
        <v>212</v>
      </c>
      <c r="F111" s="24" t="s">
        <v>213</v>
      </c>
      <c r="G111" s="25" t="s">
        <v>210</v>
      </c>
      <c r="H111" s="24"/>
      <c r="I111" s="28"/>
      <c r="J111" s="30"/>
    </row>
    <row r="112" spans="1:10">
      <c r="A112" s="30">
        <v>3</v>
      </c>
      <c r="B112" s="31" t="s">
        <v>28</v>
      </c>
      <c r="C112" s="31"/>
      <c r="D112" s="24" t="str">
        <f t="shared" si="1"/>
        <v>37</v>
      </c>
      <c r="E112" s="24" t="s">
        <v>208</v>
      </c>
      <c r="F112" s="24" t="s">
        <v>214</v>
      </c>
      <c r="G112" s="25" t="s">
        <v>210</v>
      </c>
      <c r="H112" s="24"/>
      <c r="I112" s="28"/>
      <c r="J112" s="30"/>
    </row>
    <row r="113" spans="1:9">
      <c r="A113" s="30">
        <v>3</v>
      </c>
      <c r="B113" s="31" t="s">
        <v>31</v>
      </c>
      <c r="C113" s="31"/>
      <c r="D113" s="24" t="str">
        <f t="shared" si="1"/>
        <v>38</v>
      </c>
      <c r="E113" s="24"/>
      <c r="F113" s="24"/>
      <c r="G113" s="25"/>
      <c r="H113" s="24"/>
      <c r="I113" s="28"/>
    </row>
    <row r="114" spans="1:9">
      <c r="A114" s="30">
        <v>3</v>
      </c>
      <c r="B114" s="31" t="s">
        <v>33</v>
      </c>
      <c r="C114" s="31"/>
      <c r="D114" s="24" t="str">
        <f t="shared" si="1"/>
        <v>39</v>
      </c>
      <c r="E114" s="24"/>
      <c r="F114" s="24"/>
      <c r="G114" s="25"/>
      <c r="H114" s="24"/>
      <c r="I114" s="28"/>
    </row>
    <row r="115" spans="1:9">
      <c r="A115" s="30">
        <v>3</v>
      </c>
      <c r="B115" s="31" t="s">
        <v>35</v>
      </c>
      <c r="C115" s="31"/>
      <c r="D115" s="24" t="str">
        <f t="shared" si="1"/>
        <v>3A</v>
      </c>
      <c r="E115" s="24" t="s">
        <v>215</v>
      </c>
      <c r="F115" s="24"/>
      <c r="G115" s="25" t="s">
        <v>216</v>
      </c>
      <c r="H115" s="24"/>
      <c r="I115" s="28"/>
    </row>
    <row r="116" spans="1:9">
      <c r="A116" s="30">
        <v>3</v>
      </c>
      <c r="B116" s="31" t="s">
        <v>37</v>
      </c>
      <c r="C116" s="31"/>
      <c r="D116" s="24" t="str">
        <f t="shared" si="1"/>
        <v>3B</v>
      </c>
      <c r="E116" s="24" t="s">
        <v>215</v>
      </c>
      <c r="F116" s="24"/>
      <c r="G116" s="25" t="s">
        <v>137</v>
      </c>
      <c r="H116" s="24"/>
      <c r="I116" s="28"/>
    </row>
    <row r="117" spans="1:9">
      <c r="A117" s="30">
        <v>3</v>
      </c>
      <c r="B117" s="31" t="s">
        <v>40</v>
      </c>
      <c r="C117" s="31"/>
      <c r="D117" s="24" t="str">
        <f t="shared" si="1"/>
        <v>3C</v>
      </c>
      <c r="E117" s="24" t="s">
        <v>215</v>
      </c>
      <c r="F117" s="24"/>
      <c r="G117" s="45" t="s">
        <v>217</v>
      </c>
      <c r="H117" s="24" t="s">
        <v>218</v>
      </c>
      <c r="I117" s="28"/>
    </row>
    <row r="118" spans="1:9">
      <c r="A118" s="30">
        <v>3</v>
      </c>
      <c r="B118" s="31" t="s">
        <v>44</v>
      </c>
      <c r="C118" s="31"/>
      <c r="D118" s="24" t="str">
        <f t="shared" si="1"/>
        <v>3D</v>
      </c>
      <c r="E118" s="24" t="s">
        <v>215</v>
      </c>
      <c r="F118" s="24"/>
      <c r="G118" s="25" t="s">
        <v>219</v>
      </c>
      <c r="H118" s="24"/>
      <c r="I118" s="28"/>
    </row>
    <row r="119" spans="1:9">
      <c r="A119" s="30">
        <v>3</v>
      </c>
      <c r="B119" s="31" t="s">
        <v>47</v>
      </c>
      <c r="C119" s="31"/>
      <c r="D119" s="24" t="str">
        <f t="shared" si="1"/>
        <v>3E</v>
      </c>
      <c r="E119" s="24"/>
      <c r="F119" s="24"/>
      <c r="G119" s="25"/>
      <c r="H119" s="24"/>
      <c r="I119" s="28"/>
    </row>
    <row r="120" spans="1:9">
      <c r="A120" s="30">
        <v>3</v>
      </c>
      <c r="B120" s="31" t="s">
        <v>51</v>
      </c>
      <c r="C120" s="31"/>
      <c r="D120" s="24" t="str">
        <f t="shared" si="1"/>
        <v>3F</v>
      </c>
      <c r="E120" s="24"/>
      <c r="F120" s="24"/>
      <c r="G120" s="25"/>
      <c r="H120" s="24"/>
      <c r="I120" s="28"/>
    </row>
    <row r="121" spans="1:9">
      <c r="A121" s="30">
        <v>3</v>
      </c>
      <c r="B121" s="31" t="s">
        <v>56</v>
      </c>
      <c r="C121" s="31"/>
      <c r="D121" s="24" t="str">
        <f t="shared" si="1"/>
        <v>3G</v>
      </c>
      <c r="E121" s="24"/>
      <c r="F121" s="24"/>
      <c r="G121" s="25"/>
      <c r="H121" s="24"/>
      <c r="I121" s="28"/>
    </row>
    <row r="122" spans="1:9">
      <c r="A122" s="30">
        <v>3</v>
      </c>
      <c r="B122" s="31" t="s">
        <v>59</v>
      </c>
      <c r="C122" s="31"/>
      <c r="D122" s="24" t="str">
        <f t="shared" si="1"/>
        <v>3H</v>
      </c>
      <c r="E122" s="24"/>
      <c r="F122" s="24"/>
      <c r="G122" s="25"/>
      <c r="H122" s="24"/>
      <c r="I122" s="28"/>
    </row>
    <row r="123" spans="1:9">
      <c r="A123" s="30">
        <v>3</v>
      </c>
      <c r="B123" s="31" t="s">
        <v>63</v>
      </c>
      <c r="C123" s="31"/>
      <c r="D123" s="24" t="str">
        <f t="shared" si="1"/>
        <v>3J</v>
      </c>
      <c r="E123" s="24" t="s">
        <v>220</v>
      </c>
      <c r="F123" s="24" t="s">
        <v>221</v>
      </c>
      <c r="G123" s="46" t="s">
        <v>222</v>
      </c>
      <c r="H123" s="24" t="s">
        <v>223</v>
      </c>
      <c r="I123" s="28">
        <v>20092</v>
      </c>
    </row>
    <row r="124" spans="1:9">
      <c r="A124" s="30">
        <v>3</v>
      </c>
      <c r="B124" s="31" t="s">
        <v>66</v>
      </c>
      <c r="C124" s="31"/>
      <c r="D124" s="24" t="str">
        <f t="shared" si="1"/>
        <v>3K</v>
      </c>
      <c r="E124" s="24"/>
      <c r="F124" s="24"/>
      <c r="G124" s="25"/>
      <c r="H124" s="24"/>
      <c r="I124" s="28"/>
    </row>
    <row r="125" spans="1:9">
      <c r="A125" s="30">
        <v>3</v>
      </c>
      <c r="B125" s="31" t="s">
        <v>70</v>
      </c>
      <c r="C125" s="31"/>
      <c r="D125" s="24" t="str">
        <f t="shared" ref="D125:D172" si="2">CONCATENATE(A125,B125)</f>
        <v>3L</v>
      </c>
      <c r="E125" s="24"/>
      <c r="F125" s="24"/>
      <c r="G125" s="25"/>
      <c r="H125" s="24"/>
      <c r="I125" s="28"/>
    </row>
    <row r="126" spans="1:9">
      <c r="A126" s="30">
        <v>3</v>
      </c>
      <c r="B126" s="31" t="s">
        <v>71</v>
      </c>
      <c r="C126" s="31"/>
      <c r="D126" s="24" t="str">
        <f t="shared" si="2"/>
        <v>3M</v>
      </c>
      <c r="E126" s="24"/>
      <c r="F126" s="24"/>
      <c r="G126" s="25"/>
      <c r="H126" s="24"/>
      <c r="I126" s="28"/>
    </row>
    <row r="127" spans="1:9" s="67" customFormat="1">
      <c r="A127" s="67">
        <v>3</v>
      </c>
      <c r="B127" s="68" t="s">
        <v>75</v>
      </c>
      <c r="C127" s="68"/>
      <c r="D127" s="70" t="str">
        <f>CONCATENATE(A127,B127)</f>
        <v>3N</v>
      </c>
      <c r="E127" s="70" t="s">
        <v>224</v>
      </c>
      <c r="F127" s="70" t="s">
        <v>225</v>
      </c>
      <c r="G127" s="73" t="s">
        <v>226</v>
      </c>
      <c r="H127" s="70" t="s">
        <v>227</v>
      </c>
      <c r="I127" s="72" t="s">
        <v>228</v>
      </c>
    </row>
    <row r="128" spans="1:9">
      <c r="A128" s="30">
        <v>3</v>
      </c>
      <c r="B128" s="31" t="s">
        <v>84</v>
      </c>
      <c r="C128" s="31"/>
      <c r="D128" s="24" t="str">
        <f t="shared" si="2"/>
        <v>3P</v>
      </c>
      <c r="E128" s="24" t="s">
        <v>224</v>
      </c>
      <c r="F128" s="24" t="s">
        <v>225</v>
      </c>
      <c r="G128" s="27" t="s">
        <v>229</v>
      </c>
      <c r="H128" s="24" t="s">
        <v>230</v>
      </c>
      <c r="I128" s="28" t="s">
        <v>231</v>
      </c>
    </row>
    <row r="129" spans="1:9" s="67" customFormat="1">
      <c r="A129" s="30">
        <v>3</v>
      </c>
      <c r="B129" s="31" t="s">
        <v>89</v>
      </c>
      <c r="C129" s="31"/>
      <c r="D129" s="70" t="str">
        <f t="shared" si="2"/>
        <v>3Q</v>
      </c>
      <c r="E129" s="70" t="s">
        <v>224</v>
      </c>
      <c r="F129" s="70" t="s">
        <v>232</v>
      </c>
      <c r="G129" s="73" t="s">
        <v>233</v>
      </c>
      <c r="H129" s="70" t="s">
        <v>234</v>
      </c>
      <c r="I129" s="72" t="s">
        <v>235</v>
      </c>
    </row>
    <row r="130" spans="1:9">
      <c r="A130" s="30">
        <v>3</v>
      </c>
      <c r="B130" s="31" t="s">
        <v>93</v>
      </c>
      <c r="C130" s="31"/>
      <c r="D130" s="24" t="str">
        <f t="shared" si="2"/>
        <v>3R</v>
      </c>
      <c r="E130" s="24" t="s">
        <v>224</v>
      </c>
      <c r="F130" s="24" t="s">
        <v>225</v>
      </c>
      <c r="G130" s="27" t="s">
        <v>236</v>
      </c>
      <c r="H130" s="24" t="s">
        <v>237</v>
      </c>
      <c r="I130" s="28"/>
    </row>
    <row r="131" spans="1:9">
      <c r="A131" s="30">
        <v>3</v>
      </c>
      <c r="B131" s="31" t="s">
        <v>98</v>
      </c>
      <c r="C131" s="31"/>
      <c r="D131" s="24" t="str">
        <f t="shared" si="2"/>
        <v>3S</v>
      </c>
      <c r="E131" s="24"/>
      <c r="F131" s="24"/>
      <c r="G131" s="27"/>
      <c r="H131" s="24"/>
      <c r="I131" s="28"/>
    </row>
    <row r="132" spans="1:9">
      <c r="A132" s="30">
        <v>3</v>
      </c>
      <c r="B132" s="31" t="s">
        <v>102</v>
      </c>
      <c r="C132" s="31"/>
      <c r="D132" s="24" t="str">
        <f t="shared" si="2"/>
        <v>3T</v>
      </c>
      <c r="E132" s="24"/>
      <c r="F132" s="24"/>
      <c r="G132" s="27"/>
      <c r="H132" s="24"/>
      <c r="I132" s="28"/>
    </row>
    <row r="133" spans="1:9">
      <c r="A133" s="30">
        <v>3</v>
      </c>
      <c r="B133" s="31" t="s">
        <v>107</v>
      </c>
      <c r="C133" s="31"/>
      <c r="D133" s="24" t="str">
        <f t="shared" si="2"/>
        <v>3U</v>
      </c>
      <c r="E133" s="24"/>
      <c r="F133" s="24"/>
      <c r="G133" s="27"/>
      <c r="H133" s="24"/>
      <c r="I133" s="28"/>
    </row>
    <row r="134" spans="1:9">
      <c r="A134" s="30">
        <v>3</v>
      </c>
      <c r="B134" s="31" t="s">
        <v>110</v>
      </c>
      <c r="C134" s="31"/>
      <c r="D134" s="24" t="str">
        <f t="shared" si="2"/>
        <v>3V</v>
      </c>
      <c r="E134" s="24"/>
      <c r="F134" s="24"/>
      <c r="G134" s="27"/>
      <c r="H134" s="24"/>
      <c r="I134" s="28"/>
    </row>
    <row r="135" spans="1:9">
      <c r="A135" s="30">
        <v>3</v>
      </c>
      <c r="B135" s="31" t="s">
        <v>114</v>
      </c>
      <c r="C135" s="31"/>
      <c r="D135" s="24" t="str">
        <f t="shared" si="2"/>
        <v>3W</v>
      </c>
      <c r="E135" s="24"/>
      <c r="F135" s="24"/>
      <c r="G135" s="27"/>
      <c r="H135" s="24"/>
      <c r="I135" s="28"/>
    </row>
    <row r="136" spans="1:9">
      <c r="A136" s="30">
        <v>3</v>
      </c>
      <c r="B136" s="31" t="s">
        <v>117</v>
      </c>
      <c r="C136" s="31"/>
      <c r="D136" s="24" t="str">
        <f t="shared" si="2"/>
        <v>3X</v>
      </c>
      <c r="E136" s="24"/>
      <c r="F136" s="24"/>
      <c r="G136" s="27"/>
      <c r="H136" s="24"/>
      <c r="I136" s="28"/>
    </row>
    <row r="137" spans="1:9">
      <c r="A137" s="30">
        <v>3</v>
      </c>
      <c r="B137" s="31" t="s">
        <v>118</v>
      </c>
      <c r="C137" s="31"/>
      <c r="D137" s="24" t="str">
        <f t="shared" si="2"/>
        <v>3Y</v>
      </c>
      <c r="E137" s="24"/>
      <c r="F137" s="24"/>
      <c r="G137" s="27"/>
      <c r="H137" s="24"/>
      <c r="I137" s="28"/>
    </row>
    <row r="138" spans="1:9">
      <c r="A138" s="30">
        <v>3</v>
      </c>
      <c r="B138" s="31" t="s">
        <v>121</v>
      </c>
      <c r="C138" s="31"/>
      <c r="D138" s="24" t="str">
        <f t="shared" si="2"/>
        <v>3Z</v>
      </c>
      <c r="E138" s="24"/>
      <c r="F138" s="24"/>
      <c r="G138" s="27"/>
      <c r="H138" s="24"/>
      <c r="I138" s="28"/>
    </row>
    <row r="139" spans="1:9">
      <c r="A139" s="30">
        <v>4</v>
      </c>
      <c r="B139" s="31" t="s">
        <v>6</v>
      </c>
      <c r="C139" s="31"/>
      <c r="D139" s="24" t="str">
        <f t="shared" si="2"/>
        <v>40</v>
      </c>
      <c r="E139" s="24"/>
      <c r="F139" s="24"/>
      <c r="G139" s="27"/>
      <c r="H139" s="24"/>
      <c r="I139" s="28"/>
    </row>
    <row r="140" spans="1:9">
      <c r="A140" s="30">
        <v>4</v>
      </c>
      <c r="B140" s="31" t="s">
        <v>8</v>
      </c>
      <c r="C140" s="31"/>
      <c r="D140" s="24" t="str">
        <f t="shared" si="2"/>
        <v>41</v>
      </c>
      <c r="E140" s="24" t="s">
        <v>238</v>
      </c>
      <c r="F140" s="24"/>
      <c r="G140" s="27"/>
      <c r="H140" s="24"/>
      <c r="I140" s="28"/>
    </row>
    <row r="141" spans="1:9">
      <c r="A141" s="30">
        <v>4</v>
      </c>
      <c r="B141" s="31" t="s">
        <v>10</v>
      </c>
      <c r="C141" s="31"/>
      <c r="D141" s="24" t="str">
        <f t="shared" si="2"/>
        <v>42</v>
      </c>
      <c r="E141" s="24"/>
      <c r="F141" s="24"/>
      <c r="G141" s="27"/>
      <c r="H141" s="24"/>
      <c r="I141" s="28"/>
    </row>
    <row r="142" spans="1:9">
      <c r="A142" s="30">
        <v>4</v>
      </c>
      <c r="B142" s="31" t="s">
        <v>15</v>
      </c>
      <c r="C142" s="31"/>
      <c r="D142" s="24" t="str">
        <f t="shared" si="2"/>
        <v>43</v>
      </c>
      <c r="E142" s="24"/>
      <c r="F142" s="24"/>
      <c r="G142" s="25"/>
      <c r="H142" s="24"/>
      <c r="I142" s="28"/>
    </row>
    <row r="143" spans="1:9">
      <c r="A143" s="30">
        <v>4</v>
      </c>
      <c r="B143" s="31" t="s">
        <v>18</v>
      </c>
      <c r="C143" s="31"/>
      <c r="D143" s="24" t="str">
        <f t="shared" si="2"/>
        <v>44</v>
      </c>
      <c r="E143" s="24" t="s">
        <v>239</v>
      </c>
      <c r="F143" s="24" t="s">
        <v>240</v>
      </c>
      <c r="G143" s="25" t="s">
        <v>241</v>
      </c>
      <c r="H143" s="24" t="s">
        <v>242</v>
      </c>
      <c r="I143" s="28"/>
    </row>
    <row r="144" spans="1:9">
      <c r="A144" s="30">
        <v>4</v>
      </c>
      <c r="B144" s="31" t="s">
        <v>22</v>
      </c>
      <c r="C144" s="31"/>
      <c r="D144" s="24" t="str">
        <f t="shared" si="2"/>
        <v>45</v>
      </c>
      <c r="E144" s="24"/>
      <c r="F144" s="24"/>
      <c r="G144" s="25"/>
      <c r="H144" s="24"/>
      <c r="I144" s="28"/>
    </row>
    <row r="145" spans="1:8">
      <c r="A145" s="30">
        <v>4</v>
      </c>
      <c r="B145" s="31" t="s">
        <v>25</v>
      </c>
      <c r="C145" s="31"/>
      <c r="D145" s="24" t="str">
        <f t="shared" si="2"/>
        <v>46</v>
      </c>
      <c r="E145" s="24"/>
      <c r="F145" s="24"/>
      <c r="G145" s="25"/>
      <c r="H145" s="24"/>
    </row>
    <row r="146" spans="1:8">
      <c r="A146" s="30">
        <v>4</v>
      </c>
      <c r="B146" s="31" t="s">
        <v>28</v>
      </c>
      <c r="C146" s="31"/>
      <c r="D146" s="24" t="str">
        <f t="shared" si="2"/>
        <v>47</v>
      </c>
      <c r="E146" s="24"/>
      <c r="F146" s="24"/>
      <c r="G146" s="25"/>
      <c r="H146" s="24"/>
    </row>
    <row r="147" spans="1:8">
      <c r="A147" s="30">
        <v>4</v>
      </c>
      <c r="B147" s="31" t="s">
        <v>31</v>
      </c>
      <c r="C147" s="31"/>
      <c r="D147" s="24" t="str">
        <f t="shared" si="2"/>
        <v>48</v>
      </c>
      <c r="E147" s="24"/>
      <c r="F147" s="24"/>
      <c r="G147" s="25"/>
      <c r="H147" s="24"/>
    </row>
    <row r="148" spans="1:8">
      <c r="A148" s="30">
        <v>4</v>
      </c>
      <c r="B148" s="31" t="s">
        <v>33</v>
      </c>
      <c r="C148" s="31"/>
      <c r="D148" s="24" t="str">
        <f t="shared" si="2"/>
        <v>49</v>
      </c>
      <c r="E148" s="24"/>
      <c r="F148" s="24"/>
      <c r="G148" s="25"/>
      <c r="H148" s="24"/>
    </row>
    <row r="149" spans="1:8">
      <c r="A149" s="30">
        <v>4</v>
      </c>
      <c r="B149" s="31" t="s">
        <v>35</v>
      </c>
      <c r="C149" s="31"/>
      <c r="D149" s="24" t="str">
        <f t="shared" si="2"/>
        <v>4A</v>
      </c>
      <c r="E149" s="24"/>
      <c r="F149" s="24"/>
      <c r="G149" s="25"/>
      <c r="H149" s="24"/>
    </row>
    <row r="150" spans="1:8">
      <c r="A150" s="30">
        <v>4</v>
      </c>
      <c r="B150" s="31" t="s">
        <v>37</v>
      </c>
      <c r="C150" s="31"/>
      <c r="D150" s="24" t="str">
        <f t="shared" si="2"/>
        <v>4B</v>
      </c>
      <c r="E150" s="24"/>
      <c r="F150" s="24"/>
      <c r="G150" s="25"/>
      <c r="H150" s="24"/>
    </row>
    <row r="151" spans="1:8">
      <c r="A151" s="30">
        <v>4</v>
      </c>
      <c r="B151" s="31" t="s">
        <v>40</v>
      </c>
      <c r="C151" s="31"/>
      <c r="D151" s="24" t="str">
        <f t="shared" si="2"/>
        <v>4C</v>
      </c>
      <c r="E151" s="24" t="s">
        <v>215</v>
      </c>
      <c r="F151" s="24"/>
      <c r="G151" s="25" t="s">
        <v>243</v>
      </c>
      <c r="H151" s="24" t="s">
        <v>244</v>
      </c>
    </row>
    <row r="152" spans="1:8">
      <c r="A152" s="30">
        <v>4</v>
      </c>
      <c r="B152" s="31" t="s">
        <v>44</v>
      </c>
      <c r="C152" s="31"/>
      <c r="D152" s="24" t="str">
        <f t="shared" si="2"/>
        <v>4D</v>
      </c>
      <c r="E152" s="24"/>
      <c r="F152" s="24"/>
      <c r="G152" s="25"/>
      <c r="H152" s="24"/>
    </row>
    <row r="153" spans="1:8">
      <c r="A153" s="30">
        <v>4</v>
      </c>
      <c r="B153" s="31" t="s">
        <v>47</v>
      </c>
      <c r="C153" s="31"/>
      <c r="D153" s="24" t="str">
        <f t="shared" si="2"/>
        <v>4E</v>
      </c>
      <c r="E153" s="24"/>
      <c r="F153" s="24"/>
      <c r="G153" s="25"/>
      <c r="H153" s="24"/>
    </row>
    <row r="154" spans="1:8">
      <c r="A154" s="30">
        <v>4</v>
      </c>
      <c r="B154" s="31" t="s">
        <v>51</v>
      </c>
      <c r="C154" s="31"/>
      <c r="D154" s="24" t="str">
        <f t="shared" si="2"/>
        <v>4F</v>
      </c>
      <c r="E154" s="24"/>
      <c r="F154" s="24"/>
      <c r="G154" s="25"/>
      <c r="H154" s="24"/>
    </row>
    <row r="155" spans="1:8">
      <c r="A155" s="30">
        <v>4</v>
      </c>
      <c r="B155" s="31" t="s">
        <v>56</v>
      </c>
      <c r="C155" s="31"/>
      <c r="D155" s="24" t="str">
        <f t="shared" si="2"/>
        <v>4G</v>
      </c>
      <c r="E155" s="24"/>
      <c r="F155" s="24"/>
      <c r="G155" s="25"/>
      <c r="H155" s="24"/>
    </row>
    <row r="156" spans="1:8">
      <c r="A156" s="30">
        <v>4</v>
      </c>
      <c r="B156" s="31" t="s">
        <v>59</v>
      </c>
      <c r="C156" s="31"/>
      <c r="D156" s="24" t="str">
        <f t="shared" si="2"/>
        <v>4H</v>
      </c>
      <c r="E156" s="24"/>
      <c r="F156" s="24"/>
      <c r="G156" s="25"/>
      <c r="H156" s="24"/>
    </row>
    <row r="157" spans="1:8">
      <c r="A157" s="30">
        <v>4</v>
      </c>
      <c r="B157" s="31" t="s">
        <v>63</v>
      </c>
      <c r="C157" s="31"/>
      <c r="D157" s="24" t="str">
        <f t="shared" si="2"/>
        <v>4J</v>
      </c>
      <c r="E157" s="24"/>
      <c r="F157" s="24"/>
      <c r="G157" s="25"/>
      <c r="H157" s="24"/>
    </row>
    <row r="158" spans="1:8">
      <c r="A158" s="30">
        <v>4</v>
      </c>
      <c r="B158" s="31" t="s">
        <v>66</v>
      </c>
      <c r="C158" s="31"/>
      <c r="D158" s="24" t="str">
        <f t="shared" si="2"/>
        <v>4K</v>
      </c>
      <c r="E158" s="24"/>
      <c r="F158" s="24"/>
      <c r="G158" s="25"/>
      <c r="H158" s="24"/>
    </row>
    <row r="159" spans="1:8">
      <c r="A159" s="30">
        <v>4</v>
      </c>
      <c r="B159" s="31" t="s">
        <v>70</v>
      </c>
      <c r="C159" s="31"/>
      <c r="D159" s="24" t="str">
        <f t="shared" si="2"/>
        <v>4L</v>
      </c>
      <c r="E159" s="24"/>
      <c r="F159" s="24"/>
      <c r="G159" s="25"/>
      <c r="H159" s="24"/>
    </row>
    <row r="160" spans="1:8">
      <c r="A160" s="30">
        <v>4</v>
      </c>
      <c r="B160" s="31" t="s">
        <v>71</v>
      </c>
      <c r="C160" s="31"/>
      <c r="D160" s="24" t="str">
        <f t="shared" si="2"/>
        <v>4M</v>
      </c>
      <c r="E160" s="24"/>
      <c r="F160" s="24"/>
      <c r="G160" s="25"/>
      <c r="H160" s="24"/>
    </row>
    <row r="161" spans="1:8">
      <c r="A161" s="30">
        <v>4</v>
      </c>
      <c r="B161" s="31" t="s">
        <v>75</v>
      </c>
      <c r="C161" s="31"/>
      <c r="D161" s="24" t="str">
        <f t="shared" si="2"/>
        <v>4N</v>
      </c>
      <c r="E161" s="24"/>
      <c r="F161" s="24"/>
      <c r="G161" s="25"/>
      <c r="H161" s="24"/>
    </row>
    <row r="162" spans="1:8">
      <c r="A162" s="30">
        <v>4</v>
      </c>
      <c r="B162" s="31" t="s">
        <v>84</v>
      </c>
      <c r="C162" s="31"/>
      <c r="D162" s="24" t="str">
        <f t="shared" si="2"/>
        <v>4P</v>
      </c>
      <c r="E162" s="24"/>
      <c r="F162" s="24"/>
      <c r="G162" s="25"/>
      <c r="H162" s="24"/>
    </row>
    <row r="163" spans="1:8">
      <c r="A163" s="30">
        <v>4</v>
      </c>
      <c r="B163" s="31" t="s">
        <v>89</v>
      </c>
      <c r="C163" s="31"/>
      <c r="D163" s="24" t="str">
        <f t="shared" si="2"/>
        <v>4Q</v>
      </c>
      <c r="E163" s="16" t="s">
        <v>245</v>
      </c>
      <c r="F163" s="16" t="s">
        <v>246</v>
      </c>
      <c r="G163" s="17" t="s">
        <v>247</v>
      </c>
      <c r="H163" s="16" t="s">
        <v>248</v>
      </c>
    </row>
    <row r="164" spans="1:8">
      <c r="A164" s="30">
        <v>4</v>
      </c>
      <c r="B164" s="31" t="s">
        <v>93</v>
      </c>
      <c r="C164" s="31"/>
      <c r="D164" s="24" t="str">
        <f t="shared" si="2"/>
        <v>4R</v>
      </c>
      <c r="E164" s="24"/>
      <c r="F164" s="24"/>
      <c r="G164" s="25"/>
      <c r="H164" s="24"/>
    </row>
    <row r="165" spans="1:8">
      <c r="A165" s="30">
        <v>4</v>
      </c>
      <c r="B165" s="31" t="s">
        <v>98</v>
      </c>
      <c r="C165" s="31"/>
      <c r="D165" s="24" t="str">
        <f t="shared" si="2"/>
        <v>4S</v>
      </c>
      <c r="E165" s="24"/>
      <c r="F165" s="24"/>
      <c r="G165" s="25"/>
      <c r="H165" s="24"/>
    </row>
    <row r="166" spans="1:8">
      <c r="A166" s="30">
        <v>4</v>
      </c>
      <c r="B166" s="31" t="s">
        <v>102</v>
      </c>
      <c r="C166" s="31"/>
      <c r="D166" s="24" t="str">
        <f t="shared" si="2"/>
        <v>4T</v>
      </c>
      <c r="E166" s="24"/>
      <c r="F166" s="24"/>
      <c r="G166" s="25"/>
      <c r="H166" s="24"/>
    </row>
    <row r="167" spans="1:8">
      <c r="A167" s="30">
        <v>4</v>
      </c>
      <c r="B167" s="31" t="s">
        <v>107</v>
      </c>
      <c r="C167" s="31"/>
      <c r="D167" s="24" t="str">
        <f t="shared" si="2"/>
        <v>4U</v>
      </c>
      <c r="E167" s="24" t="s">
        <v>249</v>
      </c>
      <c r="F167" s="24" t="s">
        <v>250</v>
      </c>
      <c r="G167" s="47" t="s">
        <v>251</v>
      </c>
      <c r="H167" s="48" t="s">
        <v>252</v>
      </c>
    </row>
    <row r="168" spans="1:8">
      <c r="A168" s="30">
        <v>4</v>
      </c>
      <c r="B168" s="31" t="s">
        <v>110</v>
      </c>
      <c r="C168" s="31"/>
      <c r="D168" s="24" t="str">
        <f t="shared" si="2"/>
        <v>4V</v>
      </c>
      <c r="E168" s="24"/>
      <c r="F168" s="24"/>
      <c r="G168" s="25"/>
      <c r="H168" s="24"/>
    </row>
    <row r="169" spans="1:8">
      <c r="A169" s="30">
        <v>4</v>
      </c>
      <c r="B169" s="31" t="s">
        <v>114</v>
      </c>
      <c r="C169" s="31"/>
      <c r="D169" s="24" t="str">
        <f t="shared" si="2"/>
        <v>4W</v>
      </c>
      <c r="E169" s="24"/>
      <c r="F169" s="24"/>
      <c r="G169" s="25"/>
      <c r="H169" s="24"/>
    </row>
    <row r="170" spans="1:8">
      <c r="A170" s="30">
        <v>4</v>
      </c>
      <c r="B170" s="31" t="s">
        <v>117</v>
      </c>
      <c r="C170" s="31"/>
      <c r="D170" s="24" t="str">
        <f t="shared" si="2"/>
        <v>4X</v>
      </c>
      <c r="E170" s="24"/>
      <c r="F170" s="24"/>
      <c r="G170" s="25"/>
      <c r="H170" s="24"/>
    </row>
    <row r="171" spans="1:8">
      <c r="A171" s="30">
        <v>4</v>
      </c>
      <c r="B171" s="31" t="s">
        <v>118</v>
      </c>
      <c r="C171" s="31"/>
      <c r="D171" s="24" t="str">
        <f t="shared" si="2"/>
        <v>4Y</v>
      </c>
      <c r="E171" s="24"/>
      <c r="F171" s="24"/>
      <c r="G171" s="25"/>
      <c r="H171" s="24"/>
    </row>
    <row r="172" spans="1:8">
      <c r="A172" s="30">
        <v>4</v>
      </c>
      <c r="B172" s="31" t="s">
        <v>121</v>
      </c>
      <c r="C172" s="31"/>
      <c r="D172" s="24" t="str">
        <f t="shared" si="2"/>
        <v>4Z</v>
      </c>
      <c r="E172" s="24"/>
      <c r="F172" s="24"/>
      <c r="G172" s="35"/>
      <c r="H172" s="24"/>
    </row>
    <row r="173" spans="1:8">
      <c r="A173" s="30"/>
      <c r="B173" s="31"/>
      <c r="C173" s="31"/>
      <c r="D173" s="25">
        <v>50</v>
      </c>
      <c r="E173" s="24"/>
      <c r="F173" s="24"/>
      <c r="G173" s="25"/>
      <c r="H173" s="24"/>
    </row>
    <row r="174" spans="1:8">
      <c r="A174" s="30"/>
      <c r="B174" s="31"/>
      <c r="C174" s="31"/>
      <c r="D174" s="25">
        <v>51</v>
      </c>
      <c r="E174" s="24" t="s">
        <v>253</v>
      </c>
      <c r="F174" s="24" t="s">
        <v>254</v>
      </c>
      <c r="G174" s="25"/>
      <c r="H174" s="24" t="s">
        <v>255</v>
      </c>
    </row>
    <row r="175" spans="1:8">
      <c r="A175" s="30"/>
      <c r="B175" s="31"/>
      <c r="C175" s="31"/>
      <c r="D175" s="25">
        <v>52</v>
      </c>
      <c r="E175" s="24"/>
      <c r="F175" s="24"/>
      <c r="G175" s="25"/>
      <c r="H175" s="24"/>
    </row>
    <row r="176" spans="1:8">
      <c r="A176" s="30"/>
      <c r="B176" s="31"/>
      <c r="C176" s="31"/>
      <c r="D176" s="25">
        <v>53</v>
      </c>
      <c r="E176" s="24"/>
      <c r="F176" s="24"/>
      <c r="G176" s="25"/>
      <c r="H176" s="24"/>
    </row>
    <row r="177" spans="4:10">
      <c r="D177" s="25">
        <v>54</v>
      </c>
      <c r="E177" s="24"/>
      <c r="F177" s="24"/>
      <c r="G177" s="25"/>
      <c r="H177" s="24"/>
      <c r="I177" s="28"/>
      <c r="J177" s="30"/>
    </row>
    <row r="178" spans="4:10" ht="13">
      <c r="D178" s="25">
        <v>55</v>
      </c>
      <c r="E178" s="24"/>
      <c r="F178" s="24"/>
      <c r="G178" s="25"/>
      <c r="H178" s="24"/>
      <c r="I178" s="28"/>
      <c r="J178" s="11"/>
    </row>
    <row r="179" spans="4:10" ht="13">
      <c r="D179" s="25">
        <v>56</v>
      </c>
      <c r="E179" s="24" t="s">
        <v>256</v>
      </c>
      <c r="F179" s="24" t="s">
        <v>257</v>
      </c>
      <c r="G179" s="25"/>
      <c r="H179" s="24" t="s">
        <v>258</v>
      </c>
      <c r="I179" s="28" t="s">
        <v>259</v>
      </c>
      <c r="J179" s="11"/>
    </row>
    <row r="180" spans="4:10" ht="13">
      <c r="D180" s="25">
        <v>57</v>
      </c>
      <c r="E180" s="24" t="s">
        <v>256</v>
      </c>
      <c r="F180" s="24" t="s">
        <v>260</v>
      </c>
      <c r="G180" s="25" t="s">
        <v>261</v>
      </c>
      <c r="H180" s="24"/>
      <c r="I180" s="28"/>
      <c r="J180" s="11"/>
    </row>
    <row r="181" spans="4:10">
      <c r="D181" s="25">
        <v>58</v>
      </c>
      <c r="E181" s="24"/>
      <c r="F181" s="24"/>
      <c r="G181" s="25"/>
      <c r="H181" s="24"/>
      <c r="I181" s="28"/>
      <c r="J181" s="30"/>
    </row>
    <row r="182" spans="4:10" ht="37.5">
      <c r="D182" s="25">
        <v>59</v>
      </c>
      <c r="E182" s="24" t="s">
        <v>262</v>
      </c>
      <c r="F182" s="24" t="s">
        <v>263</v>
      </c>
      <c r="G182" s="25" t="s">
        <v>177</v>
      </c>
      <c r="H182" s="36" t="s">
        <v>264</v>
      </c>
      <c r="I182" s="28"/>
      <c r="J182" s="30"/>
    </row>
    <row r="183" spans="4:10">
      <c r="D183" s="24" t="s">
        <v>265</v>
      </c>
      <c r="E183" s="24" t="s">
        <v>262</v>
      </c>
      <c r="F183" s="24" t="s">
        <v>263</v>
      </c>
      <c r="G183" s="25" t="s">
        <v>266</v>
      </c>
      <c r="H183" s="24" t="s">
        <v>267</v>
      </c>
      <c r="I183" s="28"/>
      <c r="J183" s="30"/>
    </row>
    <row r="184" spans="4:10">
      <c r="D184" s="24" t="s">
        <v>268</v>
      </c>
      <c r="E184" s="24" t="s">
        <v>269</v>
      </c>
      <c r="F184" s="24" t="s">
        <v>270</v>
      </c>
      <c r="G184" s="25" t="s">
        <v>271</v>
      </c>
      <c r="H184" s="24" t="s">
        <v>272</v>
      </c>
      <c r="I184" s="28"/>
      <c r="J184" s="30"/>
    </row>
    <row r="185" spans="4:10">
      <c r="D185" s="24" t="s">
        <v>273</v>
      </c>
      <c r="E185" s="24" t="s">
        <v>274</v>
      </c>
      <c r="F185" s="24" t="s">
        <v>275</v>
      </c>
      <c r="G185" s="25" t="s">
        <v>276</v>
      </c>
      <c r="H185" s="24" t="s">
        <v>277</v>
      </c>
      <c r="I185" s="28"/>
      <c r="J185" s="30"/>
    </row>
    <row r="186" spans="4:10">
      <c r="D186" s="24" t="s">
        <v>278</v>
      </c>
      <c r="E186" s="24" t="s">
        <v>274</v>
      </c>
      <c r="F186" s="24" t="s">
        <v>279</v>
      </c>
      <c r="G186" s="25"/>
      <c r="H186" s="24"/>
      <c r="I186" s="28"/>
      <c r="J186" s="30"/>
    </row>
    <row r="187" spans="4:10">
      <c r="D187" s="24" t="s">
        <v>280</v>
      </c>
      <c r="E187" s="24" t="s">
        <v>274</v>
      </c>
      <c r="F187" s="24" t="s">
        <v>275</v>
      </c>
      <c r="G187" s="25" t="s">
        <v>281</v>
      </c>
      <c r="H187" s="24" t="s">
        <v>282</v>
      </c>
      <c r="I187" s="28"/>
      <c r="J187" s="30"/>
    </row>
    <row r="188" spans="4:10">
      <c r="D188" s="24" t="s">
        <v>283</v>
      </c>
      <c r="E188" s="24"/>
      <c r="F188" s="24"/>
      <c r="G188" s="25"/>
      <c r="H188" s="24"/>
      <c r="I188" s="28"/>
      <c r="J188" s="30"/>
    </row>
    <row r="189" spans="4:10">
      <c r="D189" s="24" t="s">
        <v>284</v>
      </c>
      <c r="E189" s="24" t="s">
        <v>285</v>
      </c>
      <c r="F189" s="24" t="s">
        <v>286</v>
      </c>
      <c r="G189" s="25" t="s">
        <v>287</v>
      </c>
      <c r="H189" s="24" t="s">
        <v>288</v>
      </c>
      <c r="I189" s="28">
        <v>1609</v>
      </c>
      <c r="J189" s="30"/>
    </row>
    <row r="190" spans="4:10">
      <c r="D190" s="24" t="s">
        <v>289</v>
      </c>
      <c r="E190" s="24" t="s">
        <v>285</v>
      </c>
      <c r="F190" s="24" t="s">
        <v>290</v>
      </c>
      <c r="G190" s="25" t="s">
        <v>291</v>
      </c>
      <c r="H190" s="24" t="s">
        <v>292</v>
      </c>
      <c r="I190" s="28"/>
      <c r="J190" s="30"/>
    </row>
    <row r="191" spans="4:10">
      <c r="D191" s="24" t="s">
        <v>293</v>
      </c>
      <c r="E191" s="23" t="s">
        <v>294</v>
      </c>
      <c r="F191" s="23" t="s">
        <v>295</v>
      </c>
      <c r="G191" s="25" t="s">
        <v>296</v>
      </c>
      <c r="H191" s="24" t="s">
        <v>297</v>
      </c>
      <c r="I191" s="28"/>
      <c r="J191" s="30"/>
    </row>
    <row r="192" spans="4:10">
      <c r="D192" s="24" t="s">
        <v>298</v>
      </c>
      <c r="E192" s="24"/>
      <c r="F192" s="24"/>
      <c r="G192" s="25"/>
      <c r="H192" s="24"/>
      <c r="I192" s="28"/>
      <c r="J192" s="30"/>
    </row>
    <row r="193" spans="4:9">
      <c r="D193" s="24" t="s">
        <v>299</v>
      </c>
      <c r="E193" s="24"/>
      <c r="F193" s="24"/>
      <c r="G193" s="25"/>
      <c r="H193" s="24"/>
      <c r="I193" s="28"/>
    </row>
    <row r="194" spans="4:9">
      <c r="D194" s="24" t="s">
        <v>300</v>
      </c>
      <c r="E194" s="24" t="s">
        <v>301</v>
      </c>
      <c r="F194" s="24" t="s">
        <v>302</v>
      </c>
      <c r="G194" s="25" t="s">
        <v>303</v>
      </c>
      <c r="H194" s="24" t="s">
        <v>304</v>
      </c>
      <c r="I194" s="28"/>
    </row>
    <row r="195" spans="4:9">
      <c r="D195" s="24" t="s">
        <v>305</v>
      </c>
      <c r="E195" s="24"/>
      <c r="F195" s="24"/>
      <c r="G195" s="25"/>
      <c r="H195" s="24"/>
      <c r="I195" s="28"/>
    </row>
    <row r="196" spans="4:9">
      <c r="D196" s="24" t="s">
        <v>306</v>
      </c>
      <c r="E196" s="24"/>
      <c r="F196" s="24"/>
      <c r="G196" s="25"/>
      <c r="H196" s="24"/>
      <c r="I196" s="28"/>
    </row>
    <row r="197" spans="4:9">
      <c r="D197" s="24" t="s">
        <v>307</v>
      </c>
      <c r="E197" s="24"/>
      <c r="F197" s="24"/>
      <c r="G197" s="25"/>
      <c r="H197" s="24"/>
      <c r="I197" s="28"/>
    </row>
    <row r="198" spans="4:9">
      <c r="D198" s="24" t="s">
        <v>308</v>
      </c>
      <c r="E198" s="24" t="s">
        <v>309</v>
      </c>
      <c r="F198" s="24" t="s">
        <v>310</v>
      </c>
      <c r="G198" s="25" t="s">
        <v>291</v>
      </c>
      <c r="H198" s="24" t="s">
        <v>311</v>
      </c>
      <c r="I198" s="49" t="s">
        <v>312</v>
      </c>
    </row>
    <row r="199" spans="4:9">
      <c r="D199" s="24" t="s">
        <v>313</v>
      </c>
      <c r="E199" s="24" t="s">
        <v>314</v>
      </c>
      <c r="F199" s="24" t="s">
        <v>315</v>
      </c>
      <c r="G199" s="25" t="s">
        <v>316</v>
      </c>
      <c r="H199" s="24"/>
      <c r="I199" s="28"/>
    </row>
    <row r="200" spans="4:9">
      <c r="D200" s="24" t="s">
        <v>317</v>
      </c>
      <c r="E200" s="24" t="s">
        <v>309</v>
      </c>
      <c r="F200" s="24" t="s">
        <v>318</v>
      </c>
      <c r="G200" s="25" t="s">
        <v>319</v>
      </c>
      <c r="H200" s="24" t="s">
        <v>320</v>
      </c>
      <c r="I200" s="28"/>
    </row>
    <row r="201" spans="4:9">
      <c r="D201" s="24" t="s">
        <v>321</v>
      </c>
      <c r="E201" s="24"/>
      <c r="F201" s="24"/>
      <c r="G201" s="25"/>
      <c r="H201" s="24"/>
      <c r="I201" s="28"/>
    </row>
    <row r="202" spans="4:9">
      <c r="D202" s="24" t="s">
        <v>322</v>
      </c>
      <c r="E202" s="50" t="s">
        <v>323</v>
      </c>
      <c r="F202" s="51" t="s">
        <v>324</v>
      </c>
      <c r="G202" s="52" t="s">
        <v>325</v>
      </c>
      <c r="H202" s="53" t="s">
        <v>326</v>
      </c>
      <c r="I202" s="28"/>
    </row>
    <row r="203" spans="4:9">
      <c r="D203" s="24" t="s">
        <v>327</v>
      </c>
      <c r="E203" s="24" t="s">
        <v>328</v>
      </c>
      <c r="F203" s="24" t="s">
        <v>329</v>
      </c>
      <c r="G203" s="25" t="s">
        <v>330</v>
      </c>
      <c r="H203" s="24" t="s">
        <v>331</v>
      </c>
      <c r="I203" s="28"/>
    </row>
    <row r="204" spans="4:9">
      <c r="D204" s="24" t="s">
        <v>332</v>
      </c>
      <c r="E204" s="24"/>
      <c r="F204" s="24"/>
      <c r="G204" s="25"/>
      <c r="H204" s="24"/>
      <c r="I204" s="28"/>
    </row>
    <row r="205" spans="4:9">
      <c r="D205" s="24" t="s">
        <v>333</v>
      </c>
      <c r="E205" s="24"/>
      <c r="F205" s="24"/>
      <c r="G205" s="25"/>
      <c r="H205" s="24"/>
      <c r="I205" s="28"/>
    </row>
    <row r="206" spans="4:9">
      <c r="D206" s="24" t="s">
        <v>334</v>
      </c>
      <c r="E206" s="24" t="s">
        <v>335</v>
      </c>
      <c r="F206" s="24" t="s">
        <v>336</v>
      </c>
      <c r="G206" s="54" t="s">
        <v>337</v>
      </c>
      <c r="H206" s="24" t="s">
        <v>338</v>
      </c>
      <c r="I206" s="28"/>
    </row>
    <row r="207" spans="4:9">
      <c r="D207" s="25">
        <v>60</v>
      </c>
      <c r="E207" s="24"/>
      <c r="F207" s="24"/>
      <c r="G207" s="25"/>
      <c r="H207" s="24"/>
      <c r="I207" s="28"/>
    </row>
    <row r="208" spans="4:9">
      <c r="D208" s="25">
        <v>61</v>
      </c>
      <c r="E208" s="24"/>
      <c r="F208" s="24"/>
      <c r="G208" s="25"/>
      <c r="H208" s="24"/>
      <c r="I208" s="28"/>
    </row>
    <row r="209" spans="1:10" ht="13">
      <c r="A209" s="30"/>
      <c r="B209" s="31"/>
      <c r="C209" s="31"/>
      <c r="D209" s="25">
        <v>62</v>
      </c>
      <c r="E209" s="24" t="s">
        <v>339</v>
      </c>
      <c r="F209" s="24" t="s">
        <v>340</v>
      </c>
      <c r="G209" s="12" t="s">
        <v>341</v>
      </c>
      <c r="H209" s="24" t="s">
        <v>342</v>
      </c>
      <c r="I209" s="28">
        <v>8050</v>
      </c>
      <c r="J209" s="13"/>
    </row>
    <row r="210" spans="1:10" ht="13">
      <c r="A210" s="30"/>
      <c r="B210" s="31"/>
      <c r="C210" s="31"/>
      <c r="D210" s="25">
        <v>63</v>
      </c>
      <c r="E210" s="24" t="s">
        <v>339</v>
      </c>
      <c r="F210" s="24" t="s">
        <v>343</v>
      </c>
      <c r="G210" s="25" t="s">
        <v>344</v>
      </c>
      <c r="H210" s="24" t="s">
        <v>345</v>
      </c>
      <c r="I210" s="28"/>
      <c r="J210" s="13"/>
    </row>
    <row r="211" spans="1:10" ht="13">
      <c r="A211" s="30"/>
      <c r="B211" s="31"/>
      <c r="C211" s="31"/>
      <c r="D211" s="25">
        <v>64</v>
      </c>
      <c r="E211" s="24" t="s">
        <v>346</v>
      </c>
      <c r="F211" s="24" t="s">
        <v>347</v>
      </c>
      <c r="G211" s="25" t="s">
        <v>348</v>
      </c>
      <c r="H211" s="24" t="s">
        <v>349</v>
      </c>
      <c r="I211" s="28"/>
      <c r="J211" s="13"/>
    </row>
    <row r="212" spans="1:10">
      <c r="A212" s="30"/>
      <c r="B212" s="31"/>
      <c r="C212" s="31"/>
      <c r="D212" s="25">
        <v>65</v>
      </c>
      <c r="E212" s="24" t="s">
        <v>346</v>
      </c>
      <c r="F212" s="24" t="s">
        <v>350</v>
      </c>
      <c r="G212" s="25" t="s">
        <v>351</v>
      </c>
      <c r="H212" s="24" t="s">
        <v>352</v>
      </c>
      <c r="I212" s="28"/>
      <c r="J212" s="30"/>
    </row>
    <row r="213" spans="1:10">
      <c r="A213" s="30"/>
      <c r="B213" s="31"/>
      <c r="C213" s="31"/>
      <c r="D213" s="25">
        <v>66</v>
      </c>
      <c r="E213" s="24" t="s">
        <v>346</v>
      </c>
      <c r="F213" s="24" t="s">
        <v>353</v>
      </c>
      <c r="G213" s="25" t="s">
        <v>354</v>
      </c>
      <c r="H213" s="24" t="s">
        <v>355</v>
      </c>
      <c r="I213" s="28"/>
      <c r="J213" s="30"/>
    </row>
    <row r="214" spans="1:10">
      <c r="A214" s="30"/>
      <c r="B214" s="31"/>
      <c r="C214" s="31"/>
      <c r="D214" s="25">
        <v>67</v>
      </c>
      <c r="E214" s="24" t="s">
        <v>356</v>
      </c>
      <c r="F214" s="24" t="s">
        <v>357</v>
      </c>
      <c r="G214" s="25" t="s">
        <v>358</v>
      </c>
      <c r="H214" s="24"/>
      <c r="I214" s="28"/>
      <c r="J214" s="30"/>
    </row>
    <row r="215" spans="1:10">
      <c r="A215" s="30"/>
      <c r="B215" s="31"/>
      <c r="C215" s="31"/>
      <c r="D215" s="25">
        <v>68</v>
      </c>
      <c r="E215" s="24" t="s">
        <v>208</v>
      </c>
      <c r="F215" s="24" t="s">
        <v>359</v>
      </c>
      <c r="G215" s="25" t="s">
        <v>360</v>
      </c>
      <c r="H215" s="24" t="s">
        <v>361</v>
      </c>
      <c r="I215" s="28"/>
      <c r="J215" s="30"/>
    </row>
    <row r="216" spans="1:10">
      <c r="A216" s="30"/>
      <c r="B216" s="31"/>
      <c r="C216" s="31"/>
      <c r="D216" s="25">
        <v>69</v>
      </c>
      <c r="E216" s="24" t="s">
        <v>208</v>
      </c>
      <c r="F216" s="24" t="s">
        <v>362</v>
      </c>
      <c r="G216" s="25" t="s">
        <v>363</v>
      </c>
      <c r="H216" s="24" t="s">
        <v>364</v>
      </c>
      <c r="I216" s="28"/>
      <c r="J216" s="30"/>
    </row>
    <row r="217" spans="1:10" s="30" customFormat="1">
      <c r="B217" s="31"/>
      <c r="C217" s="31"/>
      <c r="D217" s="16" t="s">
        <v>365</v>
      </c>
      <c r="E217" s="16" t="s">
        <v>208</v>
      </c>
      <c r="F217" s="16"/>
      <c r="G217" s="17" t="s">
        <v>366</v>
      </c>
      <c r="H217" s="25"/>
      <c r="I217" s="24"/>
      <c r="J217" s="28"/>
    </row>
    <row r="218" spans="1:10">
      <c r="A218" s="30"/>
      <c r="B218" s="31"/>
      <c r="C218" s="31"/>
      <c r="D218" s="24" t="s">
        <v>367</v>
      </c>
      <c r="E218" s="24" t="s">
        <v>208</v>
      </c>
      <c r="F218" s="24" t="s">
        <v>368</v>
      </c>
      <c r="G218" s="25" t="s">
        <v>369</v>
      </c>
      <c r="H218" s="24" t="s">
        <v>370</v>
      </c>
      <c r="I218" s="28"/>
      <c r="J218" s="30"/>
    </row>
    <row r="219" spans="1:10">
      <c r="A219" s="30"/>
      <c r="B219" s="31"/>
      <c r="C219" s="31"/>
      <c r="D219" s="24" t="s">
        <v>371</v>
      </c>
      <c r="E219" s="24" t="s">
        <v>208</v>
      </c>
      <c r="F219" s="24" t="s">
        <v>372</v>
      </c>
      <c r="G219" s="25" t="s">
        <v>373</v>
      </c>
      <c r="H219" s="24" t="s">
        <v>374</v>
      </c>
      <c r="I219" s="28"/>
      <c r="J219" s="30"/>
    </row>
    <row r="220" spans="1:10">
      <c r="A220" s="30"/>
      <c r="B220" s="31"/>
      <c r="C220" s="31"/>
      <c r="D220" s="24" t="s">
        <v>375</v>
      </c>
      <c r="E220" s="24" t="s">
        <v>208</v>
      </c>
      <c r="F220" s="24" t="s">
        <v>376</v>
      </c>
      <c r="G220" s="25" t="s">
        <v>377</v>
      </c>
      <c r="H220" s="24" t="s">
        <v>378</v>
      </c>
      <c r="I220" s="28"/>
      <c r="J220" s="30"/>
    </row>
    <row r="221" spans="1:10">
      <c r="A221" s="30"/>
      <c r="B221" s="31"/>
      <c r="C221" s="31"/>
      <c r="D221" s="24" t="s">
        <v>379</v>
      </c>
      <c r="E221" s="24" t="s">
        <v>208</v>
      </c>
      <c r="F221" s="24" t="s">
        <v>380</v>
      </c>
      <c r="G221" s="25" t="s">
        <v>381</v>
      </c>
      <c r="H221" s="24" t="s">
        <v>382</v>
      </c>
      <c r="I221" s="28"/>
      <c r="J221" s="30"/>
    </row>
    <row r="222" spans="1:10">
      <c r="A222" s="30"/>
      <c r="B222" s="31"/>
      <c r="C222" s="31"/>
      <c r="D222" s="16" t="s">
        <v>383</v>
      </c>
      <c r="E222" s="16" t="s">
        <v>208</v>
      </c>
      <c r="F222" s="16" t="s">
        <v>384</v>
      </c>
      <c r="G222" s="17" t="s">
        <v>385</v>
      </c>
      <c r="H222" s="16" t="s">
        <v>386</v>
      </c>
      <c r="I222" s="28"/>
      <c r="J222" s="30"/>
    </row>
    <row r="223" spans="1:10">
      <c r="A223" s="30"/>
      <c r="B223" s="31"/>
      <c r="C223" s="31"/>
      <c r="D223" s="24" t="s">
        <v>387</v>
      </c>
      <c r="E223" s="24" t="s">
        <v>208</v>
      </c>
      <c r="F223" s="24" t="s">
        <v>388</v>
      </c>
      <c r="G223" s="25" t="s">
        <v>389</v>
      </c>
      <c r="H223" s="24" t="s">
        <v>390</v>
      </c>
      <c r="I223" s="28"/>
      <c r="J223" s="30"/>
    </row>
    <row r="224" spans="1:10">
      <c r="A224" s="30"/>
      <c r="B224" s="31"/>
      <c r="C224" s="31"/>
      <c r="D224" s="24" t="s">
        <v>391</v>
      </c>
      <c r="E224" s="24" t="s">
        <v>208</v>
      </c>
      <c r="F224" s="24" t="s">
        <v>392</v>
      </c>
      <c r="G224" s="25" t="s">
        <v>393</v>
      </c>
      <c r="H224" s="24" t="s">
        <v>394</v>
      </c>
      <c r="I224" s="28"/>
      <c r="J224" s="30"/>
    </row>
    <row r="225" spans="1:10">
      <c r="A225" s="30"/>
      <c r="B225" s="31"/>
      <c r="C225" s="31"/>
      <c r="D225" s="24" t="s">
        <v>395</v>
      </c>
      <c r="E225" s="24" t="s">
        <v>208</v>
      </c>
      <c r="F225" s="24" t="s">
        <v>396</v>
      </c>
      <c r="G225" s="25" t="s">
        <v>397</v>
      </c>
      <c r="H225" s="24" t="s">
        <v>398</v>
      </c>
      <c r="I225" s="28"/>
      <c r="J225" s="30"/>
    </row>
    <row r="226" spans="1:10">
      <c r="A226" s="30"/>
      <c r="B226" s="31"/>
      <c r="C226" s="31"/>
      <c r="D226" s="33" t="s">
        <v>399</v>
      </c>
      <c r="E226" s="24" t="s">
        <v>400</v>
      </c>
      <c r="F226" s="24" t="s">
        <v>401</v>
      </c>
      <c r="G226" s="25" t="s">
        <v>402</v>
      </c>
      <c r="H226" s="24" t="s">
        <v>403</v>
      </c>
      <c r="I226" s="28"/>
      <c r="J226" s="30"/>
    </row>
    <row r="227" spans="1:10">
      <c r="A227" s="30"/>
      <c r="B227" s="31"/>
      <c r="C227" s="31"/>
      <c r="D227" s="33" t="s">
        <v>404</v>
      </c>
      <c r="E227" s="24" t="s">
        <v>400</v>
      </c>
      <c r="F227" s="24" t="s">
        <v>405</v>
      </c>
      <c r="G227" s="25" t="s">
        <v>406</v>
      </c>
      <c r="H227" s="24" t="s">
        <v>407</v>
      </c>
      <c r="I227" s="28"/>
      <c r="J227" s="30"/>
    </row>
    <row r="228" spans="1:10">
      <c r="A228" s="30"/>
      <c r="B228" s="31"/>
      <c r="C228" s="31"/>
      <c r="D228" s="33" t="s">
        <v>408</v>
      </c>
      <c r="E228" s="24" t="s">
        <v>400</v>
      </c>
      <c r="F228" s="24" t="s">
        <v>409</v>
      </c>
      <c r="G228" s="25" t="s">
        <v>410</v>
      </c>
      <c r="H228" s="24" t="s">
        <v>411</v>
      </c>
      <c r="I228" s="28"/>
      <c r="J228" s="30"/>
    </row>
    <row r="229" spans="1:10">
      <c r="A229" s="30"/>
      <c r="B229" s="31"/>
      <c r="C229" s="31"/>
      <c r="D229" s="33" t="s">
        <v>412</v>
      </c>
      <c r="E229" s="24" t="s">
        <v>346</v>
      </c>
      <c r="F229" s="24" t="s">
        <v>413</v>
      </c>
      <c r="G229" s="25" t="s">
        <v>414</v>
      </c>
      <c r="H229" s="24" t="s">
        <v>415</v>
      </c>
      <c r="I229" s="28"/>
      <c r="J229" s="30"/>
    </row>
    <row r="230" spans="1:10" ht="37.5">
      <c r="A230" s="30"/>
      <c r="B230" s="31"/>
      <c r="C230" s="31"/>
      <c r="D230" s="33" t="s">
        <v>416</v>
      </c>
      <c r="E230" s="24" t="s">
        <v>212</v>
      </c>
      <c r="F230" s="24" t="s">
        <v>417</v>
      </c>
      <c r="G230" s="25" t="s">
        <v>418</v>
      </c>
      <c r="H230" s="61" t="s">
        <v>419</v>
      </c>
      <c r="I230" s="28">
        <v>560100</v>
      </c>
      <c r="J230" s="30"/>
    </row>
    <row r="231" spans="1:10">
      <c r="A231" s="30"/>
      <c r="B231" s="31"/>
      <c r="C231" s="31"/>
      <c r="D231" s="33" t="s">
        <v>420</v>
      </c>
      <c r="E231" s="24" t="s">
        <v>212</v>
      </c>
      <c r="F231" s="24" t="s">
        <v>421</v>
      </c>
      <c r="G231" s="25" t="s">
        <v>422</v>
      </c>
      <c r="H231" s="24" t="s">
        <v>423</v>
      </c>
      <c r="I231" s="28"/>
      <c r="J231" s="30"/>
    </row>
    <row r="232" spans="1:10">
      <c r="A232" s="30"/>
      <c r="B232" s="31"/>
      <c r="C232" s="31"/>
      <c r="D232" s="33" t="s">
        <v>424</v>
      </c>
      <c r="E232" s="24" t="s">
        <v>208</v>
      </c>
      <c r="F232" s="24" t="s">
        <v>425</v>
      </c>
      <c r="G232" s="25" t="s">
        <v>426</v>
      </c>
      <c r="H232" s="24" t="s">
        <v>427</v>
      </c>
      <c r="I232" s="28"/>
      <c r="J232" s="30"/>
    </row>
    <row r="233" spans="1:10">
      <c r="A233" s="30"/>
      <c r="B233" s="31"/>
      <c r="C233" s="31"/>
      <c r="D233" s="33" t="s">
        <v>428</v>
      </c>
      <c r="E233" s="24" t="s">
        <v>208</v>
      </c>
      <c r="F233" s="24" t="s">
        <v>429</v>
      </c>
      <c r="G233" s="25" t="s">
        <v>430</v>
      </c>
      <c r="H233" s="24" t="s">
        <v>431</v>
      </c>
      <c r="I233" s="28"/>
      <c r="J233" s="30"/>
    </row>
    <row r="234" spans="1:10">
      <c r="A234" s="30"/>
      <c r="B234" s="31"/>
      <c r="C234" s="31"/>
      <c r="D234" s="33" t="s">
        <v>432</v>
      </c>
      <c r="E234" s="24" t="s">
        <v>208</v>
      </c>
      <c r="F234" s="24" t="s">
        <v>433</v>
      </c>
      <c r="G234" s="25" t="s">
        <v>434</v>
      </c>
      <c r="H234" s="24" t="s">
        <v>435</v>
      </c>
      <c r="I234" s="28"/>
      <c r="J234" s="30"/>
    </row>
    <row r="235" spans="1:10">
      <c r="A235" s="30"/>
      <c r="B235" s="31"/>
      <c r="C235" s="31"/>
      <c r="D235" s="33" t="s">
        <v>436</v>
      </c>
      <c r="E235" s="24" t="s">
        <v>208</v>
      </c>
      <c r="F235" s="24" t="s">
        <v>437</v>
      </c>
      <c r="G235" s="25" t="s">
        <v>438</v>
      </c>
      <c r="H235" s="24" t="s">
        <v>439</v>
      </c>
      <c r="I235" s="28"/>
      <c r="J235" s="30"/>
    </row>
    <row r="236" spans="1:10">
      <c r="A236" s="30"/>
      <c r="B236" s="31"/>
      <c r="C236" s="31"/>
      <c r="D236" s="33" t="s">
        <v>440</v>
      </c>
      <c r="E236" s="24" t="s">
        <v>208</v>
      </c>
      <c r="F236" s="24" t="s">
        <v>441</v>
      </c>
      <c r="G236" s="25" t="s">
        <v>442</v>
      </c>
      <c r="H236" s="24" t="s">
        <v>443</v>
      </c>
      <c r="I236" s="28"/>
      <c r="J236" s="30"/>
    </row>
    <row r="237" spans="1:10" ht="25">
      <c r="A237" s="30"/>
      <c r="B237" s="31"/>
      <c r="C237" s="31"/>
      <c r="D237" s="33" t="s">
        <v>444</v>
      </c>
      <c r="E237" s="24" t="s">
        <v>208</v>
      </c>
      <c r="F237" s="24" t="s">
        <v>417</v>
      </c>
      <c r="G237" s="55" t="s">
        <v>445</v>
      </c>
      <c r="H237" s="34" t="s">
        <v>446</v>
      </c>
      <c r="I237" s="28"/>
      <c r="J237" s="30"/>
    </row>
    <row r="238" spans="1:10" ht="25">
      <c r="A238" s="30"/>
      <c r="B238" s="31"/>
      <c r="C238" s="31"/>
      <c r="D238" s="33" t="s">
        <v>447</v>
      </c>
      <c r="E238" s="24" t="s">
        <v>208</v>
      </c>
      <c r="F238" s="24" t="s">
        <v>448</v>
      </c>
      <c r="G238" s="14" t="s">
        <v>449</v>
      </c>
      <c r="H238" s="34" t="s">
        <v>450</v>
      </c>
      <c r="I238" s="28"/>
      <c r="J238" s="30"/>
    </row>
    <row r="239" spans="1:10">
      <c r="A239" s="30"/>
      <c r="B239" s="31"/>
      <c r="C239" s="31"/>
      <c r="D239" s="33" t="s">
        <v>451</v>
      </c>
      <c r="E239" s="24" t="s">
        <v>208</v>
      </c>
      <c r="F239" s="24" t="s">
        <v>452</v>
      </c>
      <c r="G239" s="25" t="s">
        <v>453</v>
      </c>
      <c r="H239" s="34" t="s">
        <v>454</v>
      </c>
      <c r="I239" s="28"/>
      <c r="J239" s="30"/>
    </row>
    <row r="240" spans="1:10">
      <c r="A240" s="30"/>
      <c r="B240" s="31"/>
      <c r="C240" s="31"/>
      <c r="D240" s="33" t="s">
        <v>455</v>
      </c>
      <c r="E240" s="24" t="s">
        <v>208</v>
      </c>
      <c r="F240" s="24" t="s">
        <v>380</v>
      </c>
      <c r="G240" s="25" t="s">
        <v>456</v>
      </c>
      <c r="H240" s="30" t="s">
        <v>457</v>
      </c>
      <c r="I240" s="28"/>
      <c r="J240" s="30"/>
    </row>
    <row r="241" spans="1:10">
      <c r="A241" s="30"/>
      <c r="B241" s="31"/>
      <c r="C241" s="31"/>
      <c r="D241" s="33" t="s">
        <v>458</v>
      </c>
      <c r="E241" s="24" t="s">
        <v>208</v>
      </c>
      <c r="F241" s="24" t="s">
        <v>417</v>
      </c>
      <c r="G241" s="25" t="s">
        <v>459</v>
      </c>
      <c r="H241" s="24" t="s">
        <v>460</v>
      </c>
      <c r="I241" s="28"/>
      <c r="J241" s="30"/>
    </row>
    <row r="242" spans="1:10">
      <c r="A242" s="30"/>
      <c r="B242" s="31"/>
      <c r="C242" s="31"/>
      <c r="D242" s="33" t="s">
        <v>461</v>
      </c>
      <c r="E242" s="24" t="s">
        <v>462</v>
      </c>
      <c r="F242" s="24" t="s">
        <v>463</v>
      </c>
      <c r="G242" s="25" t="s">
        <v>464</v>
      </c>
      <c r="H242" s="24" t="s">
        <v>465</v>
      </c>
      <c r="I242" s="28"/>
      <c r="J242" s="30"/>
    </row>
    <row r="243" spans="1:10">
      <c r="A243" s="30"/>
      <c r="B243" s="31"/>
      <c r="C243" s="31"/>
      <c r="D243" s="33" t="s">
        <v>466</v>
      </c>
      <c r="E243" s="24" t="s">
        <v>157</v>
      </c>
      <c r="F243" s="24" t="s">
        <v>467</v>
      </c>
      <c r="G243" s="25" t="s">
        <v>468</v>
      </c>
      <c r="H243" s="24"/>
      <c r="I243" s="28"/>
      <c r="J243" s="30"/>
    </row>
    <row r="244" spans="1:10">
      <c r="A244" s="30"/>
      <c r="B244" s="31"/>
      <c r="C244" s="31"/>
      <c r="D244" s="33" t="s">
        <v>469</v>
      </c>
      <c r="E244" s="24" t="s">
        <v>157</v>
      </c>
      <c r="F244" s="24" t="s">
        <v>470</v>
      </c>
      <c r="G244" s="25" t="s">
        <v>471</v>
      </c>
      <c r="H244" s="24" t="s">
        <v>472</v>
      </c>
      <c r="I244" s="28"/>
      <c r="J244" s="30"/>
    </row>
    <row r="245" spans="1:10">
      <c r="A245" s="30"/>
      <c r="B245" s="31"/>
      <c r="C245" s="31"/>
      <c r="D245" s="33" t="s">
        <v>473</v>
      </c>
      <c r="E245" s="24" t="s">
        <v>153</v>
      </c>
      <c r="F245" s="24" t="s">
        <v>154</v>
      </c>
      <c r="G245" s="25" t="s">
        <v>474</v>
      </c>
      <c r="H245" s="24" t="s">
        <v>475</v>
      </c>
      <c r="I245" s="28"/>
      <c r="J245" s="30"/>
    </row>
    <row r="246" spans="1:10">
      <c r="A246" s="30"/>
      <c r="B246" s="31"/>
      <c r="C246" s="31"/>
      <c r="D246" s="33" t="s">
        <v>476</v>
      </c>
      <c r="E246" s="24" t="s">
        <v>165</v>
      </c>
      <c r="F246" s="24" t="s">
        <v>477</v>
      </c>
      <c r="G246" s="25" t="s">
        <v>478</v>
      </c>
      <c r="H246" s="24" t="s">
        <v>479</v>
      </c>
      <c r="I246" s="28"/>
      <c r="J246" s="30"/>
    </row>
    <row r="247" spans="1:10">
      <c r="A247" s="30"/>
      <c r="B247" s="31"/>
      <c r="C247" s="31"/>
      <c r="D247" s="33" t="s">
        <v>480</v>
      </c>
      <c r="E247" s="24" t="s">
        <v>165</v>
      </c>
      <c r="F247" s="24" t="s">
        <v>481</v>
      </c>
      <c r="G247" s="25" t="s">
        <v>482</v>
      </c>
      <c r="H247" s="24" t="s">
        <v>483</v>
      </c>
      <c r="I247" s="28"/>
      <c r="J247" s="30"/>
    </row>
    <row r="248" spans="1:10">
      <c r="A248" s="30"/>
      <c r="B248" s="31"/>
      <c r="C248" s="31"/>
      <c r="D248" s="33" t="s">
        <v>484</v>
      </c>
      <c r="E248" s="24" t="s">
        <v>485</v>
      </c>
      <c r="F248" s="24" t="s">
        <v>486</v>
      </c>
      <c r="G248" s="25" t="s">
        <v>487</v>
      </c>
      <c r="H248" s="24" t="s">
        <v>488</v>
      </c>
      <c r="I248" s="28"/>
      <c r="J248" s="30"/>
    </row>
    <row r="249" spans="1:10">
      <c r="A249" s="30"/>
      <c r="B249" s="31"/>
      <c r="C249" s="31"/>
      <c r="D249" s="33" t="s">
        <v>489</v>
      </c>
      <c r="E249" s="24" t="s">
        <v>490</v>
      </c>
      <c r="F249" s="24" t="s">
        <v>491</v>
      </c>
      <c r="G249" s="25" t="s">
        <v>492</v>
      </c>
      <c r="H249" s="24" t="s">
        <v>493</v>
      </c>
      <c r="I249" s="28"/>
      <c r="J249" s="30"/>
    </row>
    <row r="250" spans="1:10">
      <c r="A250" s="30"/>
      <c r="B250" s="31"/>
      <c r="C250" s="31"/>
      <c r="D250" s="33" t="s">
        <v>494</v>
      </c>
      <c r="E250" s="24" t="s">
        <v>149</v>
      </c>
      <c r="F250" s="24" t="s">
        <v>495</v>
      </c>
      <c r="G250" s="25" t="s">
        <v>496</v>
      </c>
      <c r="H250" s="24" t="s">
        <v>497</v>
      </c>
      <c r="I250" s="28"/>
      <c r="J250" s="30"/>
    </row>
    <row r="251" spans="1:10">
      <c r="A251" s="30"/>
      <c r="B251" s="31"/>
      <c r="C251" s="31"/>
      <c r="D251" s="33" t="s">
        <v>498</v>
      </c>
      <c r="E251" s="24" t="s">
        <v>499</v>
      </c>
      <c r="F251" s="24" t="s">
        <v>500</v>
      </c>
      <c r="G251" s="25" t="s">
        <v>501</v>
      </c>
      <c r="H251" s="24" t="s">
        <v>502</v>
      </c>
      <c r="I251" s="28"/>
      <c r="J251" s="30"/>
    </row>
    <row r="252" spans="1:10">
      <c r="A252" s="30"/>
      <c r="B252" s="31"/>
      <c r="C252" s="31"/>
      <c r="D252" s="33" t="s">
        <v>503</v>
      </c>
      <c r="E252" s="24" t="s">
        <v>499</v>
      </c>
      <c r="F252" s="24" t="s">
        <v>504</v>
      </c>
      <c r="G252" s="25" t="s">
        <v>505</v>
      </c>
      <c r="H252" s="24" t="s">
        <v>506</v>
      </c>
      <c r="I252" s="28"/>
      <c r="J252" s="30"/>
    </row>
    <row r="253" spans="1:10">
      <c r="A253" s="30"/>
      <c r="B253" s="31"/>
      <c r="C253" s="31"/>
      <c r="D253" s="33" t="s">
        <v>507</v>
      </c>
      <c r="E253" s="24" t="s">
        <v>499</v>
      </c>
      <c r="F253" s="24" t="s">
        <v>508</v>
      </c>
      <c r="G253" s="25" t="s">
        <v>509</v>
      </c>
      <c r="H253" s="24" t="s">
        <v>510</v>
      </c>
      <c r="I253" s="28"/>
      <c r="J253" s="30"/>
    </row>
    <row r="254" spans="1:10">
      <c r="A254" s="30"/>
      <c r="B254" s="31"/>
      <c r="C254" s="31"/>
      <c r="D254" s="33" t="s">
        <v>511</v>
      </c>
      <c r="E254" s="24" t="s">
        <v>269</v>
      </c>
      <c r="F254" s="24" t="s">
        <v>270</v>
      </c>
      <c r="G254" s="25" t="s">
        <v>512</v>
      </c>
      <c r="H254" s="24" t="s">
        <v>513</v>
      </c>
      <c r="I254" s="28"/>
      <c r="J254" s="30"/>
    </row>
    <row r="255" spans="1:10">
      <c r="A255" s="30"/>
      <c r="B255" s="31"/>
      <c r="C255" s="31"/>
      <c r="D255" s="33" t="s">
        <v>514</v>
      </c>
      <c r="E255" s="24" t="s">
        <v>184</v>
      </c>
      <c r="F255" s="24" t="s">
        <v>185</v>
      </c>
      <c r="G255" s="25" t="s">
        <v>515</v>
      </c>
      <c r="H255" s="24" t="s">
        <v>516</v>
      </c>
      <c r="I255" s="28"/>
      <c r="J255" s="30"/>
    </row>
    <row r="256" spans="1:10">
      <c r="A256" s="30"/>
      <c r="B256" s="31"/>
      <c r="C256" s="31"/>
      <c r="D256" s="33" t="s">
        <v>517</v>
      </c>
      <c r="E256" s="24" t="s">
        <v>518</v>
      </c>
      <c r="F256" s="24" t="s">
        <v>519</v>
      </c>
      <c r="G256" s="25" t="s">
        <v>520</v>
      </c>
      <c r="H256" s="24" t="s">
        <v>521</v>
      </c>
      <c r="I256" s="28"/>
      <c r="J256" s="30"/>
    </row>
    <row r="257" spans="1:10">
      <c r="A257" s="30"/>
      <c r="B257" s="31"/>
      <c r="C257" s="31"/>
      <c r="D257" s="33" t="s">
        <v>522</v>
      </c>
      <c r="E257" s="24" t="s">
        <v>523</v>
      </c>
      <c r="F257" s="24" t="s">
        <v>524</v>
      </c>
      <c r="G257" s="25" t="s">
        <v>525</v>
      </c>
      <c r="H257" s="24" t="s">
        <v>526</v>
      </c>
      <c r="I257" s="28"/>
      <c r="J257" s="30"/>
    </row>
    <row r="258" spans="1:10">
      <c r="A258" s="30"/>
      <c r="B258" s="31"/>
      <c r="C258" s="31"/>
      <c r="D258" s="33" t="s">
        <v>527</v>
      </c>
      <c r="E258" s="24" t="s">
        <v>129</v>
      </c>
      <c r="F258" s="34" t="s">
        <v>528</v>
      </c>
      <c r="G258" s="25" t="s">
        <v>529</v>
      </c>
      <c r="H258" s="24" t="s">
        <v>530</v>
      </c>
      <c r="I258" s="28"/>
      <c r="J258" s="30"/>
    </row>
    <row r="259" spans="1:10">
      <c r="A259" s="30"/>
      <c r="B259" s="31"/>
      <c r="C259" s="31"/>
      <c r="D259" s="33" t="s">
        <v>531</v>
      </c>
      <c r="E259" s="24" t="s">
        <v>129</v>
      </c>
      <c r="F259" s="24" t="s">
        <v>532</v>
      </c>
      <c r="G259" s="25" t="s">
        <v>533</v>
      </c>
      <c r="H259" s="24"/>
      <c r="I259" s="28"/>
      <c r="J259" s="30"/>
    </row>
    <row r="260" spans="1:10">
      <c r="A260" s="30"/>
      <c r="B260" s="31"/>
      <c r="C260" s="31"/>
      <c r="D260" s="33" t="s">
        <v>534</v>
      </c>
      <c r="E260" s="24" t="s">
        <v>129</v>
      </c>
      <c r="F260" s="24" t="s">
        <v>535</v>
      </c>
      <c r="G260" s="25" t="s">
        <v>536</v>
      </c>
      <c r="H260" s="24" t="s">
        <v>537</v>
      </c>
      <c r="I260" s="28"/>
      <c r="J260" s="30"/>
    </row>
    <row r="261" spans="1:10">
      <c r="A261" s="30"/>
      <c r="B261" s="31"/>
      <c r="C261" s="31"/>
      <c r="D261" s="33" t="s">
        <v>538</v>
      </c>
      <c r="E261" s="24" t="s">
        <v>129</v>
      </c>
      <c r="F261" s="24" t="s">
        <v>539</v>
      </c>
      <c r="G261" s="25" t="s">
        <v>540</v>
      </c>
      <c r="H261" s="24" t="s">
        <v>541</v>
      </c>
      <c r="I261" s="28"/>
      <c r="J261" s="30"/>
    </row>
    <row r="262" spans="1:10">
      <c r="A262" s="30"/>
      <c r="B262" s="31"/>
      <c r="C262" s="31"/>
      <c r="D262" s="33" t="s">
        <v>542</v>
      </c>
      <c r="E262" s="24" t="s">
        <v>195</v>
      </c>
      <c r="F262" s="24" t="s">
        <v>543</v>
      </c>
      <c r="G262" s="25" t="s">
        <v>544</v>
      </c>
      <c r="H262" s="24" t="s">
        <v>545</v>
      </c>
      <c r="I262" s="28"/>
      <c r="J262" s="30"/>
    </row>
    <row r="263" spans="1:10">
      <c r="A263" s="30"/>
      <c r="B263" s="31"/>
      <c r="C263" s="31"/>
      <c r="D263" s="33" t="s">
        <v>546</v>
      </c>
      <c r="E263" s="24" t="s">
        <v>195</v>
      </c>
      <c r="F263" s="24" t="s">
        <v>547</v>
      </c>
      <c r="G263" s="25" t="s">
        <v>548</v>
      </c>
      <c r="H263" s="24" t="s">
        <v>549</v>
      </c>
      <c r="I263" s="28"/>
      <c r="J263" s="30"/>
    </row>
    <row r="264" spans="1:10">
      <c r="A264" s="30"/>
      <c r="B264" s="31"/>
      <c r="C264" s="31"/>
      <c r="D264" s="33" t="s">
        <v>550</v>
      </c>
      <c r="E264" s="24" t="s">
        <v>195</v>
      </c>
      <c r="F264" s="24" t="s">
        <v>551</v>
      </c>
      <c r="G264" s="25" t="s">
        <v>552</v>
      </c>
      <c r="H264" s="24"/>
      <c r="I264" s="28"/>
      <c r="J264" s="30"/>
    </row>
    <row r="265" spans="1:10">
      <c r="A265" s="30"/>
      <c r="B265" s="31"/>
      <c r="C265" s="31"/>
      <c r="D265" s="33" t="s">
        <v>553</v>
      </c>
      <c r="E265" s="24" t="s">
        <v>195</v>
      </c>
      <c r="F265" s="24" t="s">
        <v>554</v>
      </c>
      <c r="G265" s="25" t="s">
        <v>555</v>
      </c>
      <c r="H265" s="24" t="s">
        <v>556</v>
      </c>
      <c r="I265" s="28"/>
      <c r="J265" s="30"/>
    </row>
    <row r="266" spans="1:10">
      <c r="A266" s="30"/>
      <c r="B266" s="31"/>
      <c r="C266" s="31"/>
      <c r="D266" s="33" t="s">
        <v>557</v>
      </c>
      <c r="E266" s="24" t="s">
        <v>204</v>
      </c>
      <c r="F266" s="24" t="s">
        <v>558</v>
      </c>
      <c r="G266" s="25" t="s">
        <v>559</v>
      </c>
      <c r="H266" s="24" t="s">
        <v>560</v>
      </c>
      <c r="I266" s="28"/>
      <c r="J266" s="30"/>
    </row>
    <row r="267" spans="1:10">
      <c r="A267" s="30"/>
      <c r="B267" s="31"/>
      <c r="C267" s="31"/>
      <c r="D267" s="33" t="s">
        <v>561</v>
      </c>
      <c r="E267" s="24" t="s">
        <v>204</v>
      </c>
      <c r="F267" s="24" t="s">
        <v>562</v>
      </c>
      <c r="G267" s="25" t="s">
        <v>563</v>
      </c>
      <c r="H267" s="24" t="s">
        <v>564</v>
      </c>
      <c r="I267" s="28"/>
      <c r="J267" s="30"/>
    </row>
    <row r="268" spans="1:10">
      <c r="A268" s="30"/>
      <c r="B268" s="31"/>
      <c r="C268" s="31"/>
      <c r="D268" s="33" t="s">
        <v>565</v>
      </c>
      <c r="E268" s="24" t="s">
        <v>204</v>
      </c>
      <c r="F268" s="24" t="s">
        <v>566</v>
      </c>
      <c r="G268" s="25" t="s">
        <v>567</v>
      </c>
      <c r="H268" s="24" t="s">
        <v>568</v>
      </c>
      <c r="I268" s="28"/>
      <c r="J268" s="30"/>
    </row>
    <row r="269" spans="1:10">
      <c r="A269" s="30"/>
      <c r="B269" s="31"/>
      <c r="C269" s="31"/>
      <c r="D269" s="33" t="s">
        <v>569</v>
      </c>
      <c r="E269" s="24" t="s">
        <v>215</v>
      </c>
      <c r="F269" s="24" t="s">
        <v>570</v>
      </c>
      <c r="G269" s="25" t="s">
        <v>571</v>
      </c>
      <c r="H269" s="24" t="s">
        <v>572</v>
      </c>
      <c r="I269" s="28"/>
      <c r="J269" s="30"/>
    </row>
    <row r="270" spans="1:10" ht="13" thickBot="1">
      <c r="A270" s="30"/>
      <c r="B270" s="31"/>
      <c r="C270" s="31"/>
      <c r="D270" s="33" t="s">
        <v>573</v>
      </c>
      <c r="E270" s="24" t="s">
        <v>215</v>
      </c>
      <c r="F270" s="24" t="s">
        <v>574</v>
      </c>
      <c r="G270" s="25" t="s">
        <v>575</v>
      </c>
      <c r="H270" s="24"/>
      <c r="I270" s="28"/>
      <c r="J270" s="30"/>
    </row>
    <row r="271" spans="1:10" ht="13" thickBot="1">
      <c r="A271" s="30"/>
      <c r="B271" s="31"/>
      <c r="C271" s="31"/>
      <c r="D271" s="33" t="s">
        <v>576</v>
      </c>
      <c r="E271" s="66" t="s">
        <v>220</v>
      </c>
      <c r="F271" s="66" t="s">
        <v>577</v>
      </c>
      <c r="G271" s="66" t="s">
        <v>578</v>
      </c>
      <c r="H271" s="66" t="s">
        <v>579</v>
      </c>
      <c r="I271" s="28">
        <v>144</v>
      </c>
      <c r="J271" s="30"/>
    </row>
    <row r="272" spans="1:10">
      <c r="A272" s="30"/>
      <c r="B272" s="31"/>
      <c r="C272" s="31"/>
      <c r="D272" s="33" t="s">
        <v>580</v>
      </c>
      <c r="E272" s="24" t="s">
        <v>581</v>
      </c>
      <c r="F272" s="24" t="s">
        <v>582</v>
      </c>
      <c r="G272" s="25" t="s">
        <v>583</v>
      </c>
      <c r="H272" s="24" t="s">
        <v>584</v>
      </c>
      <c r="I272" s="28"/>
      <c r="J272" s="30"/>
    </row>
    <row r="273" spans="1:10">
      <c r="A273" s="30"/>
      <c r="B273" s="31"/>
      <c r="C273" s="31"/>
      <c r="D273" s="33" t="s">
        <v>585</v>
      </c>
      <c r="E273" s="24" t="s">
        <v>586</v>
      </c>
      <c r="F273" s="24" t="s">
        <v>587</v>
      </c>
      <c r="G273" s="25" t="s">
        <v>588</v>
      </c>
      <c r="H273" s="24" t="s">
        <v>589</v>
      </c>
      <c r="I273" s="28"/>
      <c r="J273" s="30"/>
    </row>
    <row r="274" spans="1:10">
      <c r="A274" s="30"/>
      <c r="B274" s="31"/>
      <c r="C274" s="31"/>
      <c r="D274" s="33" t="s">
        <v>590</v>
      </c>
      <c r="E274" s="24" t="s">
        <v>249</v>
      </c>
      <c r="F274" s="24" t="s">
        <v>591</v>
      </c>
      <c r="G274" s="25" t="s">
        <v>592</v>
      </c>
      <c r="H274" s="24" t="s">
        <v>593</v>
      </c>
      <c r="I274" s="28"/>
      <c r="J274" s="30"/>
    </row>
    <row r="275" spans="1:10">
      <c r="A275" s="30"/>
      <c r="B275" s="31"/>
      <c r="C275" s="31"/>
      <c r="D275" s="33" t="s">
        <v>594</v>
      </c>
      <c r="E275" s="24" t="s">
        <v>249</v>
      </c>
      <c r="F275" s="24" t="s">
        <v>595</v>
      </c>
      <c r="G275" s="25" t="s">
        <v>592</v>
      </c>
      <c r="H275" s="24" t="s">
        <v>596</v>
      </c>
      <c r="I275" s="28"/>
      <c r="J275" s="30"/>
    </row>
    <row r="276" spans="1:10">
      <c r="A276" s="30"/>
      <c r="B276" s="31"/>
      <c r="C276" s="31"/>
      <c r="D276" s="33" t="s">
        <v>597</v>
      </c>
      <c r="E276" s="24" t="s">
        <v>249</v>
      </c>
      <c r="F276" s="24" t="s">
        <v>598</v>
      </c>
      <c r="G276" s="25" t="s">
        <v>599</v>
      </c>
      <c r="H276" s="24" t="s">
        <v>600</v>
      </c>
      <c r="I276" s="28"/>
      <c r="J276" s="30"/>
    </row>
    <row r="277" spans="1:10">
      <c r="A277" s="30"/>
      <c r="B277" s="31"/>
      <c r="C277" s="31"/>
      <c r="D277" s="33" t="s">
        <v>601</v>
      </c>
      <c r="E277" s="24" t="s">
        <v>253</v>
      </c>
      <c r="F277" s="24" t="s">
        <v>602</v>
      </c>
      <c r="G277" s="25" t="s">
        <v>603</v>
      </c>
      <c r="H277" s="24" t="s">
        <v>604</v>
      </c>
      <c r="I277" s="28"/>
      <c r="J277" s="30"/>
    </row>
    <row r="278" spans="1:10">
      <c r="A278" s="30"/>
      <c r="B278" s="31"/>
      <c r="C278" s="31"/>
      <c r="D278" s="15" t="s">
        <v>605</v>
      </c>
      <c r="E278" s="16" t="s">
        <v>245</v>
      </c>
      <c r="F278" s="16" t="s">
        <v>246</v>
      </c>
      <c r="G278" s="17" t="s">
        <v>606</v>
      </c>
      <c r="H278" s="75" t="s">
        <v>607</v>
      </c>
      <c r="I278" s="28"/>
      <c r="J278" s="30"/>
    </row>
    <row r="279" spans="1:10">
      <c r="A279" s="30"/>
      <c r="B279" s="31"/>
      <c r="C279" s="31"/>
      <c r="D279" s="33" t="s">
        <v>608</v>
      </c>
      <c r="E279" s="24" t="s">
        <v>262</v>
      </c>
      <c r="F279" s="24" t="s">
        <v>609</v>
      </c>
      <c r="G279" s="25" t="s">
        <v>610</v>
      </c>
      <c r="H279" s="24" t="s">
        <v>611</v>
      </c>
      <c r="I279" s="28"/>
      <c r="J279" s="30"/>
    </row>
    <row r="280" spans="1:10">
      <c r="A280" s="30"/>
      <c r="B280" s="31"/>
      <c r="C280" s="31"/>
      <c r="D280" s="33" t="s">
        <v>612</v>
      </c>
      <c r="E280" s="24" t="s">
        <v>262</v>
      </c>
      <c r="F280" s="24" t="s">
        <v>263</v>
      </c>
      <c r="G280" s="25" t="s">
        <v>613</v>
      </c>
      <c r="H280" s="24" t="s">
        <v>614</v>
      </c>
      <c r="I280" s="28"/>
      <c r="J280" s="30"/>
    </row>
    <row r="281" spans="1:10">
      <c r="A281" s="30"/>
      <c r="B281" s="31"/>
      <c r="C281" s="31"/>
      <c r="D281" s="33" t="s">
        <v>615</v>
      </c>
      <c r="E281" s="24" t="s">
        <v>256</v>
      </c>
      <c r="F281" s="24" t="s">
        <v>616</v>
      </c>
      <c r="G281" s="25" t="s">
        <v>617</v>
      </c>
      <c r="H281" s="24" t="s">
        <v>618</v>
      </c>
      <c r="I281" s="28"/>
      <c r="J281" s="30"/>
    </row>
    <row r="282" spans="1:10">
      <c r="A282" s="30"/>
      <c r="B282" s="31"/>
      <c r="C282" s="31"/>
      <c r="D282" s="33" t="s">
        <v>619</v>
      </c>
      <c r="E282" s="24" t="s">
        <v>620</v>
      </c>
      <c r="F282" s="24" t="s">
        <v>621</v>
      </c>
      <c r="G282" s="25" t="s">
        <v>622</v>
      </c>
      <c r="H282" s="24" t="s">
        <v>623</v>
      </c>
      <c r="I282" s="28"/>
      <c r="J282" s="30"/>
    </row>
    <row r="283" spans="1:10">
      <c r="A283" s="30"/>
      <c r="B283" s="31"/>
      <c r="C283" s="31"/>
      <c r="D283" s="33" t="s">
        <v>624</v>
      </c>
      <c r="E283" s="24" t="s">
        <v>625</v>
      </c>
      <c r="F283" s="24" t="s">
        <v>626</v>
      </c>
      <c r="G283" s="25" t="s">
        <v>627</v>
      </c>
      <c r="H283" s="24" t="s">
        <v>628</v>
      </c>
      <c r="I283" s="28"/>
      <c r="J283" s="30"/>
    </row>
    <row r="284" spans="1:10">
      <c r="A284" s="30"/>
      <c r="B284" s="31"/>
      <c r="C284" s="31"/>
      <c r="D284" s="33" t="s">
        <v>629</v>
      </c>
      <c r="E284" s="24" t="s">
        <v>328</v>
      </c>
      <c r="F284" s="24" t="s">
        <v>329</v>
      </c>
      <c r="G284" s="25" t="s">
        <v>630</v>
      </c>
      <c r="H284" s="24" t="s">
        <v>631</v>
      </c>
      <c r="I284" s="28"/>
      <c r="J284" s="30"/>
    </row>
    <row r="285" spans="1:10">
      <c r="A285" s="30"/>
      <c r="B285" s="31"/>
      <c r="C285" s="31"/>
      <c r="D285" s="33" t="s">
        <v>632</v>
      </c>
      <c r="E285" s="24" t="s">
        <v>328</v>
      </c>
      <c r="F285" s="24" t="s">
        <v>633</v>
      </c>
      <c r="G285" s="25" t="s">
        <v>634</v>
      </c>
      <c r="H285" s="24" t="s">
        <v>635</v>
      </c>
      <c r="I285" s="28"/>
      <c r="J285" s="30"/>
    </row>
    <row r="286" spans="1:10">
      <c r="A286" s="30"/>
      <c r="B286" s="31"/>
      <c r="C286" s="31"/>
      <c r="D286" s="33" t="s">
        <v>636</v>
      </c>
      <c r="E286" s="24" t="s">
        <v>323</v>
      </c>
      <c r="F286" s="24" t="s">
        <v>324</v>
      </c>
      <c r="G286" s="25" t="s">
        <v>637</v>
      </c>
      <c r="H286" s="24" t="s">
        <v>638</v>
      </c>
      <c r="I286" s="28"/>
      <c r="J286" s="30"/>
    </row>
    <row r="287" spans="1:10">
      <c r="A287" s="30"/>
      <c r="B287" s="31"/>
      <c r="C287" s="31"/>
      <c r="D287" s="33" t="s">
        <v>639</v>
      </c>
      <c r="E287" s="24" t="s">
        <v>309</v>
      </c>
      <c r="F287" s="24" t="s">
        <v>640</v>
      </c>
      <c r="G287" s="25" t="s">
        <v>641</v>
      </c>
      <c r="H287" s="24" t="s">
        <v>642</v>
      </c>
      <c r="I287" s="28"/>
      <c r="J287" s="30"/>
    </row>
    <row r="288" spans="1:10">
      <c r="A288" s="30"/>
      <c r="B288" s="31"/>
      <c r="C288" s="31"/>
      <c r="D288" s="15" t="s">
        <v>643</v>
      </c>
      <c r="E288" s="16" t="s">
        <v>335</v>
      </c>
      <c r="F288" s="16" t="s">
        <v>644</v>
      </c>
      <c r="G288" s="17" t="s">
        <v>645</v>
      </c>
      <c r="H288" s="16" t="s">
        <v>646</v>
      </c>
      <c r="I288" s="28"/>
      <c r="J288" s="30"/>
    </row>
    <row r="289" spans="1:10">
      <c r="A289" s="30"/>
      <c r="B289" s="31"/>
      <c r="C289" s="31"/>
      <c r="D289" s="33" t="s">
        <v>647</v>
      </c>
      <c r="E289" s="24" t="s">
        <v>339</v>
      </c>
      <c r="F289" s="24" t="s">
        <v>648</v>
      </c>
      <c r="G289" s="25" t="s">
        <v>649</v>
      </c>
      <c r="H289" s="24" t="s">
        <v>650</v>
      </c>
      <c r="I289" s="28"/>
      <c r="J289" s="30"/>
    </row>
    <row r="290" spans="1:10">
      <c r="A290" s="30"/>
      <c r="B290" s="31"/>
      <c r="C290" s="31"/>
      <c r="D290" s="33" t="s">
        <v>651</v>
      </c>
      <c r="E290" s="24" t="s">
        <v>339</v>
      </c>
      <c r="F290" s="24" t="s">
        <v>652</v>
      </c>
      <c r="G290" s="25" t="s">
        <v>649</v>
      </c>
      <c r="H290" s="24" t="s">
        <v>653</v>
      </c>
      <c r="I290" s="28"/>
      <c r="J290" s="30"/>
    </row>
    <row r="291" spans="1:10">
      <c r="A291" s="30"/>
      <c r="B291" s="31"/>
      <c r="C291" s="31"/>
      <c r="D291" s="33" t="s">
        <v>654</v>
      </c>
      <c r="E291" s="24" t="s">
        <v>655</v>
      </c>
      <c r="F291" s="24" t="s">
        <v>656</v>
      </c>
      <c r="G291" s="25" t="s">
        <v>657</v>
      </c>
      <c r="H291" s="24" t="s">
        <v>658</v>
      </c>
      <c r="I291" s="28"/>
      <c r="J291" s="30"/>
    </row>
    <row r="292" spans="1:10" s="67" customFormat="1">
      <c r="A292" s="30"/>
      <c r="B292" s="31"/>
      <c r="C292" s="31"/>
      <c r="D292" s="69" t="s">
        <v>659</v>
      </c>
      <c r="E292" s="70" t="s">
        <v>224</v>
      </c>
      <c r="F292" s="70" t="s">
        <v>660</v>
      </c>
      <c r="G292" s="71" t="s">
        <v>661</v>
      </c>
      <c r="H292" s="70" t="s">
        <v>662</v>
      </c>
      <c r="I292" s="72" t="s">
        <v>663</v>
      </c>
    </row>
    <row r="293" spans="1:10" s="67" customFormat="1">
      <c r="A293" s="30"/>
      <c r="B293" s="31"/>
      <c r="C293" s="31"/>
      <c r="D293" s="69" t="s">
        <v>664</v>
      </c>
      <c r="E293" s="70" t="s">
        <v>224</v>
      </c>
      <c r="F293" s="70" t="s">
        <v>665</v>
      </c>
      <c r="G293" s="71" t="s">
        <v>666</v>
      </c>
      <c r="H293" s="70" t="s">
        <v>667</v>
      </c>
      <c r="I293" s="72" t="s">
        <v>668</v>
      </c>
    </row>
    <row r="294" spans="1:10" s="67" customFormat="1">
      <c r="B294" s="68"/>
      <c r="C294" s="68"/>
      <c r="D294" s="69" t="s">
        <v>669</v>
      </c>
      <c r="E294" s="70" t="s">
        <v>224</v>
      </c>
      <c r="F294" s="70" t="s">
        <v>670</v>
      </c>
      <c r="G294" s="71" t="s">
        <v>671</v>
      </c>
      <c r="H294" s="70" t="s">
        <v>672</v>
      </c>
      <c r="I294" s="72" t="s">
        <v>673</v>
      </c>
    </row>
    <row r="295" spans="1:10">
      <c r="A295" s="30"/>
      <c r="B295" s="31"/>
      <c r="C295" s="31"/>
      <c r="D295" s="15" t="s">
        <v>674</v>
      </c>
      <c r="E295" s="16" t="s">
        <v>224</v>
      </c>
      <c r="F295" s="16" t="s">
        <v>675</v>
      </c>
      <c r="G295" s="17" t="s">
        <v>676</v>
      </c>
      <c r="H295" s="16" t="s">
        <v>677</v>
      </c>
      <c r="I295" s="28"/>
      <c r="J295" s="30"/>
    </row>
    <row r="296" spans="1:10">
      <c r="A296" s="30"/>
      <c r="B296" s="31"/>
      <c r="C296" s="31"/>
      <c r="D296" s="15" t="s">
        <v>678</v>
      </c>
      <c r="E296" s="16" t="s">
        <v>224</v>
      </c>
      <c r="F296" s="16" t="s">
        <v>679</v>
      </c>
      <c r="G296" s="17" t="s">
        <v>676</v>
      </c>
      <c r="H296" s="16" t="s">
        <v>680</v>
      </c>
      <c r="I296" s="28"/>
      <c r="J296" s="30"/>
    </row>
    <row r="297" spans="1:10" s="67" customFormat="1">
      <c r="A297" s="30"/>
      <c r="B297" s="31"/>
      <c r="C297" s="31"/>
      <c r="D297" s="69" t="s">
        <v>681</v>
      </c>
      <c r="E297" s="70" t="s">
        <v>224</v>
      </c>
      <c r="F297" s="70" t="s">
        <v>682</v>
      </c>
      <c r="G297" s="71" t="s">
        <v>683</v>
      </c>
      <c r="H297" s="70" t="s">
        <v>684</v>
      </c>
      <c r="I297" s="72" t="s">
        <v>685</v>
      </c>
    </row>
    <row r="298" spans="1:10" s="67" customFormat="1">
      <c r="A298" s="30"/>
      <c r="B298" s="31"/>
      <c r="C298" s="31"/>
      <c r="D298" s="69" t="s">
        <v>686</v>
      </c>
      <c r="E298" s="70" t="s">
        <v>224</v>
      </c>
      <c r="F298" s="70" t="s">
        <v>687</v>
      </c>
      <c r="G298" s="71" t="s">
        <v>688</v>
      </c>
      <c r="H298" s="70" t="s">
        <v>689</v>
      </c>
      <c r="I298" s="72" t="s">
        <v>690</v>
      </c>
    </row>
    <row r="299" spans="1:10" s="67" customFormat="1">
      <c r="A299" s="30"/>
      <c r="B299" s="31"/>
      <c r="C299" s="31"/>
      <c r="D299" s="69" t="s">
        <v>691</v>
      </c>
      <c r="E299" s="70" t="s">
        <v>224</v>
      </c>
      <c r="F299" s="70" t="s">
        <v>692</v>
      </c>
      <c r="G299" s="71" t="s">
        <v>693</v>
      </c>
      <c r="H299" s="70" t="s">
        <v>694</v>
      </c>
      <c r="I299" s="72" t="s">
        <v>695</v>
      </c>
    </row>
    <row r="300" spans="1:10" s="67" customFormat="1">
      <c r="B300" s="68"/>
      <c r="C300" s="68"/>
      <c r="D300" s="69" t="s">
        <v>696</v>
      </c>
      <c r="E300" s="70" t="s">
        <v>224</v>
      </c>
      <c r="F300" s="70" t="s">
        <v>697</v>
      </c>
      <c r="G300" s="71" t="s">
        <v>698</v>
      </c>
      <c r="H300" s="70" t="s">
        <v>699</v>
      </c>
      <c r="I300" s="72" t="s">
        <v>700</v>
      </c>
    </row>
    <row r="301" spans="1:10">
      <c r="A301" s="30"/>
      <c r="B301" s="31"/>
      <c r="C301" s="31"/>
      <c r="D301" s="33" t="s">
        <v>701</v>
      </c>
      <c r="E301" s="24" t="s">
        <v>224</v>
      </c>
      <c r="F301" s="24" t="s">
        <v>702</v>
      </c>
      <c r="G301" s="25" t="s">
        <v>703</v>
      </c>
      <c r="H301" s="24" t="s">
        <v>704</v>
      </c>
      <c r="I301" s="28"/>
      <c r="J301" s="30"/>
    </row>
    <row r="302" spans="1:10">
      <c r="A302" s="30"/>
      <c r="B302" s="31"/>
      <c r="C302" s="31"/>
      <c r="D302" s="15" t="s">
        <v>705</v>
      </c>
      <c r="E302" s="16" t="s">
        <v>224</v>
      </c>
      <c r="F302" s="16" t="s">
        <v>706</v>
      </c>
      <c r="G302" s="17" t="s">
        <v>707</v>
      </c>
      <c r="H302" s="16" t="s">
        <v>708</v>
      </c>
      <c r="I302" s="29" t="s">
        <v>709</v>
      </c>
      <c r="J302" s="30"/>
    </row>
    <row r="303" spans="1:10" s="64" customFormat="1">
      <c r="B303" s="65"/>
      <c r="C303" s="65"/>
      <c r="D303" s="15" t="s">
        <v>710</v>
      </c>
      <c r="E303" s="16" t="s">
        <v>224</v>
      </c>
      <c r="F303" s="16" t="s">
        <v>711</v>
      </c>
      <c r="G303" s="17" t="s">
        <v>712</v>
      </c>
      <c r="H303" s="16" t="s">
        <v>713</v>
      </c>
      <c r="I303" s="29" t="s">
        <v>714</v>
      </c>
    </row>
    <row r="304" spans="1:10">
      <c r="A304" s="30"/>
      <c r="B304" s="31"/>
      <c r="C304" s="31"/>
      <c r="D304" s="15" t="s">
        <v>715</v>
      </c>
      <c r="E304" s="16" t="s">
        <v>224</v>
      </c>
      <c r="F304" s="16" t="s">
        <v>687</v>
      </c>
      <c r="G304" s="17" t="s">
        <v>716</v>
      </c>
      <c r="H304" s="16" t="s">
        <v>717</v>
      </c>
      <c r="I304" s="29" t="s">
        <v>690</v>
      </c>
      <c r="J304" s="30"/>
    </row>
    <row r="305" spans="1:10" s="67" customFormat="1">
      <c r="A305" s="30"/>
      <c r="B305" s="31"/>
      <c r="C305" s="31"/>
      <c r="D305" s="69" t="s">
        <v>718</v>
      </c>
      <c r="E305" s="70" t="s">
        <v>224</v>
      </c>
      <c r="F305" s="70" t="s">
        <v>225</v>
      </c>
      <c r="G305" s="71" t="s">
        <v>719</v>
      </c>
      <c r="H305" s="70" t="s">
        <v>720</v>
      </c>
      <c r="I305" s="72" t="s">
        <v>228</v>
      </c>
    </row>
    <row r="306" spans="1:10">
      <c r="A306" s="30"/>
      <c r="B306" s="31"/>
      <c r="C306" s="31"/>
      <c r="D306" s="33" t="s">
        <v>721</v>
      </c>
      <c r="E306" s="24"/>
      <c r="F306" s="24"/>
      <c r="G306" s="25"/>
      <c r="H306" s="24"/>
      <c r="I306" s="28"/>
      <c r="J306" s="30"/>
    </row>
    <row r="307" spans="1:10">
      <c r="A307" s="30"/>
      <c r="B307" s="31"/>
      <c r="C307" s="31"/>
      <c r="D307" s="33" t="s">
        <v>722</v>
      </c>
      <c r="E307" s="24"/>
      <c r="F307" s="24"/>
      <c r="G307" s="25"/>
      <c r="H307" s="24"/>
      <c r="I307" s="28"/>
      <c r="J307" s="30"/>
    </row>
    <row r="308" spans="1:10">
      <c r="A308" s="30"/>
      <c r="B308" s="31"/>
      <c r="C308" s="31"/>
      <c r="D308" s="33" t="s">
        <v>723</v>
      </c>
      <c r="E308" s="24"/>
      <c r="F308" s="24"/>
      <c r="G308" s="25"/>
      <c r="H308" s="24"/>
      <c r="I308" s="28"/>
      <c r="J308" s="30"/>
    </row>
    <row r="309" spans="1:10">
      <c r="A309" s="30"/>
      <c r="B309" s="31"/>
      <c r="C309" s="31"/>
      <c r="D309" s="33" t="s">
        <v>724</v>
      </c>
      <c r="E309" s="24"/>
      <c r="F309" s="24"/>
      <c r="G309" s="25"/>
      <c r="H309" s="24"/>
      <c r="I309" s="28"/>
      <c r="J309" s="30"/>
    </row>
    <row r="310" spans="1:10">
      <c r="A310" s="30"/>
      <c r="B310" s="31"/>
      <c r="C310" s="31"/>
      <c r="D310" s="25">
        <v>90</v>
      </c>
      <c r="E310" s="24" t="s">
        <v>208</v>
      </c>
      <c r="F310" s="24" t="s">
        <v>725</v>
      </c>
      <c r="G310" s="25" t="s">
        <v>726</v>
      </c>
      <c r="H310" s="24" t="s">
        <v>727</v>
      </c>
      <c r="I310" s="28"/>
      <c r="J310" s="30"/>
    </row>
    <row r="311" spans="1:10">
      <c r="A311" s="30"/>
      <c r="B311" s="31"/>
      <c r="C311" s="31"/>
      <c r="D311" s="25">
        <v>91</v>
      </c>
      <c r="E311" s="24" t="s">
        <v>208</v>
      </c>
      <c r="F311" s="24" t="s">
        <v>728</v>
      </c>
      <c r="G311" s="25" t="s">
        <v>729</v>
      </c>
      <c r="H311" s="24" t="s">
        <v>730</v>
      </c>
      <c r="I311" s="28"/>
      <c r="J311" s="30"/>
    </row>
    <row r="312" spans="1:10">
      <c r="A312" s="30"/>
      <c r="B312" s="31"/>
      <c r="C312" s="31"/>
      <c r="D312" s="17">
        <v>92</v>
      </c>
      <c r="E312" s="16" t="s">
        <v>208</v>
      </c>
      <c r="F312" s="16" t="s">
        <v>731</v>
      </c>
      <c r="G312" s="17" t="s">
        <v>732</v>
      </c>
      <c r="H312" s="16" t="s">
        <v>733</v>
      </c>
      <c r="I312" s="28"/>
      <c r="J312" s="30"/>
    </row>
    <row r="313" spans="1:10">
      <c r="A313" s="30"/>
      <c r="B313" s="31"/>
      <c r="C313" s="31"/>
      <c r="D313" s="17">
        <v>93</v>
      </c>
      <c r="E313" s="16" t="s">
        <v>208</v>
      </c>
      <c r="F313" s="16" t="s">
        <v>734</v>
      </c>
      <c r="G313" s="17" t="s">
        <v>735</v>
      </c>
      <c r="H313" s="16" t="s">
        <v>736</v>
      </c>
      <c r="I313" s="28"/>
      <c r="J313" s="30"/>
    </row>
    <row r="314" spans="1:10">
      <c r="A314" s="30"/>
      <c r="B314" s="31"/>
      <c r="C314" s="31"/>
      <c r="D314" s="17">
        <v>94</v>
      </c>
      <c r="E314" s="16" t="s">
        <v>208</v>
      </c>
      <c r="F314" s="16" t="s">
        <v>737</v>
      </c>
      <c r="G314" s="17" t="s">
        <v>738</v>
      </c>
      <c r="H314" s="16" t="s">
        <v>739</v>
      </c>
      <c r="I314" s="28"/>
      <c r="J314" s="30"/>
    </row>
    <row r="315" spans="1:10">
      <c r="A315" s="30"/>
      <c r="B315" s="31"/>
      <c r="C315" s="31"/>
      <c r="D315" s="25">
        <v>95</v>
      </c>
      <c r="E315" s="24" t="s">
        <v>208</v>
      </c>
      <c r="F315" s="24" t="s">
        <v>417</v>
      </c>
      <c r="G315" s="25" t="s">
        <v>740</v>
      </c>
      <c r="H315" s="24" t="s">
        <v>741</v>
      </c>
      <c r="I315" s="28"/>
      <c r="J315" s="30"/>
    </row>
    <row r="316" spans="1:10">
      <c r="A316" s="30"/>
      <c r="B316" s="31"/>
      <c r="C316" s="31"/>
      <c r="D316" s="25">
        <v>96</v>
      </c>
      <c r="E316" s="24" t="s">
        <v>208</v>
      </c>
      <c r="F316" s="24" t="s">
        <v>417</v>
      </c>
      <c r="G316" s="25" t="s">
        <v>742</v>
      </c>
      <c r="H316" s="24" t="s">
        <v>743</v>
      </c>
      <c r="I316" s="28">
        <v>560087</v>
      </c>
      <c r="J316" s="30"/>
    </row>
    <row r="317" spans="1:10">
      <c r="A317" s="30"/>
      <c r="B317" s="31"/>
      <c r="C317" s="31"/>
      <c r="D317" s="25">
        <v>97</v>
      </c>
      <c r="E317" s="24" t="s">
        <v>208</v>
      </c>
      <c r="F317" s="24" t="s">
        <v>744</v>
      </c>
      <c r="G317" s="25" t="s">
        <v>745</v>
      </c>
      <c r="H317" s="24" t="s">
        <v>746</v>
      </c>
      <c r="I317" s="28">
        <v>635115</v>
      </c>
      <c r="J317" s="30"/>
    </row>
    <row r="318" spans="1:10">
      <c r="A318" s="30"/>
      <c r="B318" s="31"/>
      <c r="C318" s="31"/>
      <c r="D318" s="25">
        <v>98</v>
      </c>
      <c r="E318" s="24"/>
      <c r="F318" s="24"/>
      <c r="G318" s="25"/>
      <c r="H318" s="24"/>
      <c r="I318" s="28"/>
      <c r="J318" s="30"/>
    </row>
    <row r="319" spans="1:10">
      <c r="A319" s="30"/>
      <c r="B319" s="31"/>
      <c r="C319" s="31"/>
      <c r="D319" s="25">
        <v>99</v>
      </c>
      <c r="E319" s="24"/>
      <c r="F319" s="24"/>
      <c r="G319" s="25"/>
      <c r="H319" s="24"/>
      <c r="I319" s="28"/>
      <c r="J319" s="30"/>
    </row>
    <row r="320" spans="1:10">
      <c r="A320" s="30"/>
      <c r="B320" s="31"/>
      <c r="C320" s="31"/>
      <c r="D320" s="25" t="s">
        <v>747</v>
      </c>
      <c r="E320" s="24"/>
      <c r="F320" s="24"/>
      <c r="G320" s="25"/>
      <c r="H320" s="24"/>
      <c r="I320" s="28"/>
      <c r="J320" s="30"/>
    </row>
    <row r="321" spans="1:10">
      <c r="A321" s="30"/>
      <c r="B321" s="31"/>
      <c r="C321" s="31"/>
      <c r="D321" s="25" t="s">
        <v>748</v>
      </c>
      <c r="E321" s="24"/>
      <c r="F321" s="24"/>
      <c r="G321" s="25"/>
      <c r="H321" s="24"/>
      <c r="I321" s="28"/>
      <c r="J321" s="30"/>
    </row>
    <row r="322" spans="1:10">
      <c r="A322" s="30"/>
      <c r="B322" s="31"/>
      <c r="C322" s="31"/>
      <c r="D322" s="25" t="s">
        <v>749</v>
      </c>
      <c r="E322" s="24"/>
      <c r="F322" s="24"/>
      <c r="G322" s="25"/>
      <c r="H322" s="24"/>
      <c r="I322" s="28"/>
      <c r="J322" s="30"/>
    </row>
    <row r="323" spans="1:10">
      <c r="A323" s="30"/>
      <c r="B323" s="31"/>
      <c r="C323" s="31"/>
      <c r="D323" s="25" t="s">
        <v>750</v>
      </c>
      <c r="E323" s="24"/>
      <c r="F323" s="24"/>
      <c r="G323" s="25"/>
      <c r="H323" s="24"/>
      <c r="I323" s="28"/>
      <c r="J323" s="30"/>
    </row>
    <row r="324" spans="1:10">
      <c r="A324" s="30"/>
      <c r="B324" s="31"/>
      <c r="C324" s="31"/>
      <c r="D324" s="25" t="s">
        <v>751</v>
      </c>
      <c r="E324" s="24"/>
      <c r="F324" s="24"/>
      <c r="G324" s="25"/>
      <c r="H324" s="24"/>
      <c r="I324" s="28"/>
      <c r="J324" s="30"/>
    </row>
    <row r="325" spans="1:10">
      <c r="A325" s="30"/>
      <c r="B325" s="31"/>
      <c r="C325" s="31"/>
      <c r="D325" s="25" t="s">
        <v>752</v>
      </c>
      <c r="E325" s="24"/>
      <c r="F325" s="24"/>
      <c r="G325" s="25"/>
      <c r="H325" s="24"/>
      <c r="I325" s="28"/>
      <c r="J325" s="30"/>
    </row>
    <row r="326" spans="1:10">
      <c r="A326" s="30"/>
      <c r="B326" s="31"/>
      <c r="C326" s="31"/>
      <c r="D326" s="25" t="s">
        <v>753</v>
      </c>
      <c r="E326" s="24"/>
      <c r="F326" s="24"/>
      <c r="G326" s="25"/>
      <c r="H326" s="24"/>
      <c r="I326" s="28"/>
      <c r="J326" s="30"/>
    </row>
    <row r="327" spans="1:10">
      <c r="A327" s="30"/>
      <c r="B327" s="31"/>
      <c r="C327" s="31"/>
      <c r="D327" s="25" t="s">
        <v>754</v>
      </c>
      <c r="E327" s="24"/>
      <c r="F327" s="24"/>
      <c r="G327" s="25"/>
      <c r="H327" s="24"/>
      <c r="I327" s="28"/>
      <c r="J327" s="30"/>
    </row>
    <row r="328" spans="1:10">
      <c r="A328" s="30"/>
      <c r="B328" s="31"/>
      <c r="C328" s="31"/>
      <c r="D328" s="25" t="s">
        <v>755</v>
      </c>
      <c r="E328" s="24"/>
      <c r="F328" s="24"/>
      <c r="G328" s="25"/>
      <c r="H328" s="24"/>
      <c r="I328" s="28"/>
      <c r="J328" s="30"/>
    </row>
    <row r="329" spans="1:10">
      <c r="A329" s="30"/>
      <c r="B329" s="31"/>
      <c r="C329" s="31"/>
      <c r="D329" s="25" t="s">
        <v>756</v>
      </c>
      <c r="E329" s="24"/>
      <c r="F329" s="24"/>
      <c r="G329" s="25"/>
      <c r="H329" s="24"/>
      <c r="I329" s="28"/>
      <c r="J329" s="30"/>
    </row>
    <row r="330" spans="1:10">
      <c r="A330" s="30"/>
      <c r="B330" s="31"/>
      <c r="C330" s="31"/>
      <c r="D330" s="25" t="s">
        <v>757</v>
      </c>
      <c r="E330" s="24"/>
      <c r="F330" s="24"/>
      <c r="G330" s="25"/>
      <c r="H330" s="24"/>
      <c r="I330" s="28"/>
      <c r="J330" s="30"/>
    </row>
    <row r="331" spans="1:10">
      <c r="A331" s="30"/>
      <c r="B331" s="31"/>
      <c r="C331" s="31"/>
      <c r="D331" s="25" t="s">
        <v>758</v>
      </c>
      <c r="E331" s="24"/>
      <c r="F331" s="24"/>
      <c r="G331" s="25"/>
      <c r="H331" s="24"/>
      <c r="I331" s="28"/>
      <c r="J331" s="30"/>
    </row>
    <row r="332" spans="1:10">
      <c r="A332" s="30"/>
      <c r="B332" s="31"/>
      <c r="C332" s="31"/>
      <c r="D332" s="25" t="s">
        <v>759</v>
      </c>
      <c r="E332" s="24"/>
      <c r="F332" s="24"/>
      <c r="G332" s="25"/>
      <c r="H332" s="24"/>
      <c r="I332" s="28"/>
      <c r="J332" s="30"/>
    </row>
    <row r="333" spans="1:10">
      <c r="A333" s="30"/>
      <c r="B333" s="31"/>
      <c r="C333" s="31"/>
      <c r="D333" s="25" t="s">
        <v>760</v>
      </c>
      <c r="E333" s="24"/>
      <c r="F333" s="24"/>
      <c r="G333" s="25"/>
      <c r="H333" s="24"/>
      <c r="I333" s="28"/>
      <c r="J333" s="30"/>
    </row>
    <row r="334" spans="1:10">
      <c r="A334" s="30"/>
      <c r="B334" s="31"/>
      <c r="C334" s="31"/>
      <c r="D334" s="25" t="s">
        <v>761</v>
      </c>
      <c r="E334" s="24"/>
      <c r="F334" s="24"/>
      <c r="G334" s="25"/>
      <c r="H334" s="24"/>
      <c r="I334" s="28"/>
      <c r="J334" s="30"/>
    </row>
    <row r="335" spans="1:10">
      <c r="A335" s="30"/>
      <c r="B335" s="31"/>
      <c r="C335" s="31"/>
      <c r="D335" s="25" t="s">
        <v>762</v>
      </c>
      <c r="E335" s="24"/>
      <c r="F335" s="24"/>
      <c r="G335" s="25"/>
      <c r="H335" s="24"/>
      <c r="I335" s="28"/>
      <c r="J335" s="30"/>
    </row>
    <row r="336" spans="1:10">
      <c r="A336" s="30"/>
      <c r="B336" s="31"/>
      <c r="C336" s="31"/>
      <c r="D336" s="25" t="s">
        <v>763</v>
      </c>
      <c r="E336" s="24"/>
      <c r="F336" s="24"/>
      <c r="G336" s="25"/>
      <c r="H336" s="24"/>
      <c r="I336" s="28"/>
      <c r="J336" s="30"/>
    </row>
    <row r="337" spans="1:10">
      <c r="A337" s="30"/>
      <c r="B337" s="31"/>
      <c r="C337" s="31"/>
      <c r="D337" s="25" t="s">
        <v>764</v>
      </c>
      <c r="E337" s="24"/>
      <c r="F337" s="24"/>
      <c r="G337" s="25"/>
      <c r="H337" s="24"/>
      <c r="I337" s="28"/>
      <c r="J337" s="30"/>
    </row>
    <row r="338" spans="1:10">
      <c r="A338" s="30"/>
      <c r="B338" s="31"/>
      <c r="C338" s="31"/>
      <c r="D338" s="25" t="s">
        <v>765</v>
      </c>
      <c r="E338" s="24"/>
      <c r="F338" s="24"/>
      <c r="G338" s="25"/>
      <c r="H338" s="24"/>
      <c r="I338" s="28"/>
      <c r="J338" s="30"/>
    </row>
    <row r="339" spans="1:10">
      <c r="A339" s="30"/>
      <c r="B339" s="31"/>
      <c r="C339" s="31"/>
      <c r="D339" s="25" t="s">
        <v>766</v>
      </c>
      <c r="E339" s="24"/>
      <c r="F339" s="24"/>
      <c r="G339" s="25"/>
      <c r="H339" s="24"/>
      <c r="I339" s="28"/>
      <c r="J339" s="30"/>
    </row>
    <row r="340" spans="1:10">
      <c r="A340" s="30"/>
      <c r="B340" s="31"/>
      <c r="C340" s="31"/>
      <c r="D340" s="25" t="s">
        <v>767</v>
      </c>
      <c r="E340" s="24"/>
      <c r="F340" s="24"/>
      <c r="G340" s="25"/>
      <c r="H340" s="24"/>
      <c r="I340" s="28"/>
      <c r="J340" s="30"/>
    </row>
    <row r="341" spans="1:10">
      <c r="A341" s="30"/>
      <c r="B341" s="31"/>
      <c r="C341" s="31"/>
      <c r="D341" s="25" t="s">
        <v>768</v>
      </c>
      <c r="E341" s="24"/>
      <c r="F341" s="24"/>
      <c r="G341" s="25"/>
      <c r="H341" s="24"/>
      <c r="I341" s="28"/>
      <c r="J341" s="30"/>
    </row>
    <row r="342" spans="1:10">
      <c r="A342" s="30"/>
      <c r="B342" s="31"/>
      <c r="C342" s="31"/>
      <c r="D342" s="25" t="s">
        <v>769</v>
      </c>
      <c r="E342" s="24"/>
      <c r="F342" s="24"/>
      <c r="G342" s="25"/>
      <c r="H342" s="24"/>
      <c r="I342" s="28"/>
      <c r="J342" s="30"/>
    </row>
    <row r="343" spans="1:10">
      <c r="A343" s="30"/>
      <c r="B343" s="31"/>
      <c r="C343" s="31"/>
      <c r="D343" s="25" t="s">
        <v>770</v>
      </c>
      <c r="E343" s="24"/>
      <c r="F343" s="24"/>
      <c r="G343" s="25"/>
      <c r="H343" s="24"/>
      <c r="I343" s="28"/>
      <c r="J343" s="30"/>
    </row>
    <row r="344" spans="1:10">
      <c r="A344" s="30"/>
      <c r="B344" s="31"/>
      <c r="C344" s="31"/>
      <c r="D344" s="24" t="s">
        <v>771</v>
      </c>
      <c r="E344" s="24" t="s">
        <v>772</v>
      </c>
      <c r="F344" s="24" t="s">
        <v>772</v>
      </c>
      <c r="G344" s="25" t="s">
        <v>773</v>
      </c>
      <c r="H344" s="24" t="s">
        <v>774</v>
      </c>
      <c r="I344" s="28"/>
      <c r="J344" s="30"/>
    </row>
    <row r="345" spans="1:10" ht="16">
      <c r="A345" s="30"/>
      <c r="B345" s="31"/>
      <c r="C345" s="31"/>
      <c r="D345" s="56" t="s">
        <v>775</v>
      </c>
      <c r="E345" s="56" t="s">
        <v>776</v>
      </c>
      <c r="F345" s="56" t="s">
        <v>772</v>
      </c>
      <c r="G345" s="56" t="s">
        <v>777</v>
      </c>
      <c r="H345" s="56" t="s">
        <v>774</v>
      </c>
      <c r="I345" s="18"/>
      <c r="J345" s="30"/>
    </row>
    <row r="346" spans="1:10" ht="16">
      <c r="A346" s="30"/>
      <c r="B346" s="31"/>
      <c r="C346" s="31"/>
      <c r="D346" s="56" t="s">
        <v>778</v>
      </c>
      <c r="E346" s="56" t="s">
        <v>779</v>
      </c>
      <c r="F346" s="56" t="s">
        <v>772</v>
      </c>
      <c r="G346" s="56" t="s">
        <v>780</v>
      </c>
      <c r="H346" s="56" t="s">
        <v>774</v>
      </c>
      <c r="I346" s="18"/>
      <c r="J346" s="30"/>
    </row>
    <row r="347" spans="1:10" ht="16">
      <c r="A347" s="30"/>
      <c r="B347" s="31"/>
      <c r="C347" s="31"/>
      <c r="D347" s="56" t="s">
        <v>781</v>
      </c>
      <c r="E347" s="56" t="s">
        <v>782</v>
      </c>
      <c r="F347" s="56" t="s">
        <v>772</v>
      </c>
      <c r="G347" s="56" t="s">
        <v>783</v>
      </c>
      <c r="H347" s="56" t="s">
        <v>774</v>
      </c>
      <c r="I347" s="18"/>
      <c r="J347" s="30"/>
    </row>
    <row r="348" spans="1:10" ht="16">
      <c r="A348" s="30"/>
      <c r="B348" s="31"/>
      <c r="C348" s="31"/>
      <c r="D348" s="56" t="s">
        <v>784</v>
      </c>
      <c r="E348" s="56" t="s">
        <v>785</v>
      </c>
      <c r="F348" s="56" t="s">
        <v>772</v>
      </c>
      <c r="G348" s="56" t="s">
        <v>786</v>
      </c>
      <c r="H348" s="56" t="s">
        <v>774</v>
      </c>
      <c r="I348" s="18"/>
      <c r="J348" s="30"/>
    </row>
    <row r="349" spans="1:10" ht="16">
      <c r="A349" s="30"/>
      <c r="B349" s="31"/>
      <c r="C349" s="31"/>
      <c r="D349" s="56" t="s">
        <v>787</v>
      </c>
      <c r="E349" s="56" t="s">
        <v>788</v>
      </c>
      <c r="F349" s="56" t="s">
        <v>772</v>
      </c>
      <c r="G349" s="56" t="s">
        <v>789</v>
      </c>
      <c r="H349" s="56" t="s">
        <v>774</v>
      </c>
      <c r="I349" s="18"/>
      <c r="J349" s="30"/>
    </row>
    <row r="350" spans="1:10" ht="16">
      <c r="A350" s="30"/>
      <c r="B350" s="31"/>
      <c r="C350" s="31"/>
      <c r="D350" s="56" t="s">
        <v>790</v>
      </c>
      <c r="E350" s="56" t="s">
        <v>791</v>
      </c>
      <c r="F350" s="56" t="s">
        <v>772</v>
      </c>
      <c r="G350" s="56" t="s">
        <v>786</v>
      </c>
      <c r="H350" s="56" t="s">
        <v>774</v>
      </c>
      <c r="I350" s="18"/>
      <c r="J350" s="30"/>
    </row>
    <row r="351" spans="1:10" ht="16">
      <c r="A351" s="30"/>
      <c r="B351" s="31"/>
      <c r="C351" s="31"/>
      <c r="D351" s="56" t="s">
        <v>792</v>
      </c>
      <c r="E351" s="56" t="s">
        <v>793</v>
      </c>
      <c r="F351" s="56" t="s">
        <v>772</v>
      </c>
      <c r="G351" s="56" t="s">
        <v>794</v>
      </c>
      <c r="H351" s="56" t="s">
        <v>774</v>
      </c>
      <c r="I351" s="18"/>
      <c r="J351" s="30"/>
    </row>
    <row r="352" spans="1:10" ht="16">
      <c r="A352" s="30"/>
      <c r="B352" s="31"/>
      <c r="C352" s="31"/>
      <c r="D352" s="56" t="s">
        <v>795</v>
      </c>
      <c r="E352" s="56" t="s">
        <v>796</v>
      </c>
      <c r="F352" s="56" t="s">
        <v>772</v>
      </c>
      <c r="G352" s="56" t="s">
        <v>797</v>
      </c>
      <c r="H352" s="56" t="s">
        <v>774</v>
      </c>
      <c r="I352" s="18"/>
      <c r="J352" s="30"/>
    </row>
    <row r="353" spans="1:10" ht="25">
      <c r="A353" s="30"/>
      <c r="B353" s="31"/>
      <c r="C353" s="31"/>
      <c r="D353" s="56" t="s">
        <v>798</v>
      </c>
      <c r="E353" s="56" t="s">
        <v>799</v>
      </c>
      <c r="F353" s="56" t="s">
        <v>772</v>
      </c>
      <c r="G353" s="56" t="s">
        <v>800</v>
      </c>
      <c r="H353" s="56" t="s">
        <v>774</v>
      </c>
      <c r="I353" s="18"/>
      <c r="J353" s="30"/>
    </row>
    <row r="354" spans="1:10" ht="13.5">
      <c r="A354" s="30"/>
      <c r="B354" s="31"/>
      <c r="C354" s="31"/>
      <c r="D354" s="19" t="s">
        <v>801</v>
      </c>
      <c r="E354" s="24" t="s">
        <v>788</v>
      </c>
      <c r="F354" s="24" t="s">
        <v>772</v>
      </c>
      <c r="G354" s="24" t="s">
        <v>802</v>
      </c>
      <c r="H354" s="24" t="s">
        <v>803</v>
      </c>
      <c r="I354" s="24"/>
      <c r="J354" s="30"/>
    </row>
    <row r="355" spans="1:10">
      <c r="A355" s="30"/>
      <c r="B355" s="31"/>
      <c r="C355" s="31"/>
      <c r="D355" s="24" t="s">
        <v>804</v>
      </c>
      <c r="E355" s="24"/>
      <c r="F355" s="24"/>
      <c r="G355" s="25"/>
      <c r="H355" s="24"/>
      <c r="I355" s="28"/>
      <c r="J355" s="30"/>
    </row>
    <row r="356" spans="1:10">
      <c r="A356" s="30"/>
      <c r="B356" s="31"/>
      <c r="C356" s="31"/>
      <c r="D356" s="24" t="s">
        <v>805</v>
      </c>
      <c r="E356" s="24"/>
      <c r="F356" s="24"/>
      <c r="G356" s="25"/>
      <c r="H356" s="24"/>
      <c r="I356" s="28"/>
      <c r="J356" s="30"/>
    </row>
    <row r="357" spans="1:10">
      <c r="A357" s="30"/>
      <c r="B357" s="31"/>
      <c r="C357" s="31"/>
      <c r="D357" s="24" t="s">
        <v>806</v>
      </c>
      <c r="E357" s="24"/>
      <c r="F357" s="24"/>
      <c r="G357" s="25"/>
      <c r="H357" s="24"/>
      <c r="I357" s="28"/>
      <c r="J357" s="30"/>
    </row>
    <row r="358" spans="1:10">
      <c r="A358" s="30"/>
      <c r="B358" s="31"/>
      <c r="C358" s="31"/>
      <c r="D358" s="24" t="s">
        <v>807</v>
      </c>
      <c r="E358" s="24"/>
      <c r="F358" s="24"/>
      <c r="G358" s="25"/>
      <c r="H358" s="24"/>
      <c r="I358" s="28"/>
      <c r="J358" s="30"/>
    </row>
    <row r="359" spans="1:10">
      <c r="A359" s="30"/>
      <c r="B359" s="31"/>
      <c r="C359" s="31"/>
      <c r="D359" s="24" t="s">
        <v>808</v>
      </c>
      <c r="E359" s="24"/>
      <c r="F359" s="24"/>
      <c r="G359" s="25"/>
      <c r="H359" s="24"/>
      <c r="I359" s="28"/>
      <c r="J359" s="30"/>
    </row>
    <row r="360" spans="1:10">
      <c r="A360" s="30"/>
      <c r="B360" s="31"/>
      <c r="C360" s="31"/>
      <c r="D360" s="24" t="s">
        <v>809</v>
      </c>
      <c r="E360" s="24"/>
      <c r="F360" s="24"/>
      <c r="G360" s="25"/>
      <c r="H360" s="24"/>
      <c r="I360" s="28"/>
      <c r="J360" s="30"/>
    </row>
    <row r="361" spans="1:10">
      <c r="A361" s="30"/>
      <c r="B361" s="31"/>
      <c r="C361" s="31"/>
      <c r="D361" s="24" t="s">
        <v>810</v>
      </c>
      <c r="E361" s="24"/>
      <c r="F361" s="24"/>
      <c r="G361" s="25"/>
      <c r="H361" s="24"/>
      <c r="I361" s="28"/>
      <c r="J361" s="30"/>
    </row>
    <row r="362" spans="1:10">
      <c r="A362" s="30"/>
      <c r="B362" s="31"/>
      <c r="C362" s="31"/>
      <c r="D362" s="24" t="s">
        <v>811</v>
      </c>
      <c r="E362" s="24"/>
      <c r="F362" s="24"/>
      <c r="G362" s="25"/>
      <c r="H362" s="24"/>
      <c r="I362" s="28"/>
      <c r="J362" s="30"/>
    </row>
    <row r="363" spans="1:10">
      <c r="A363" s="30"/>
      <c r="B363" s="31"/>
      <c r="C363" s="31"/>
      <c r="D363" s="24" t="s">
        <v>812</v>
      </c>
      <c r="E363" s="24"/>
      <c r="F363" s="24"/>
      <c r="G363" s="25"/>
      <c r="H363" s="24"/>
      <c r="I363" s="28"/>
      <c r="J363" s="30"/>
    </row>
    <row r="364" spans="1:10">
      <c r="A364" s="30"/>
      <c r="B364" s="31"/>
      <c r="C364" s="31"/>
      <c r="D364" s="24" t="s">
        <v>813</v>
      </c>
      <c r="E364" s="24"/>
      <c r="F364" s="24"/>
      <c r="G364" s="25"/>
      <c r="H364" s="24"/>
      <c r="I364" s="28"/>
      <c r="J364" s="30"/>
    </row>
    <row r="365" spans="1:10">
      <c r="A365" s="30"/>
      <c r="B365" s="31"/>
      <c r="C365" s="31"/>
      <c r="D365" s="24" t="s">
        <v>814</v>
      </c>
      <c r="E365" s="24"/>
      <c r="F365" s="24"/>
      <c r="G365" s="25"/>
      <c r="H365" s="24"/>
      <c r="I365" s="28"/>
      <c r="J365" s="30"/>
    </row>
    <row r="366" spans="1:10">
      <c r="A366" s="30"/>
      <c r="B366" s="31"/>
      <c r="C366" s="31"/>
      <c r="D366" s="24" t="s">
        <v>815</v>
      </c>
      <c r="E366" s="24" t="s">
        <v>772</v>
      </c>
      <c r="F366" s="24" t="s">
        <v>816</v>
      </c>
      <c r="G366" s="25" t="s">
        <v>817</v>
      </c>
      <c r="H366" s="24"/>
      <c r="I366" s="28"/>
      <c r="J366" s="30"/>
    </row>
    <row r="367" spans="1:10">
      <c r="A367" s="30"/>
      <c r="B367" s="31"/>
      <c r="C367" s="31"/>
      <c r="D367" s="24" t="s">
        <v>818</v>
      </c>
      <c r="E367" s="24" t="s">
        <v>772</v>
      </c>
      <c r="F367" s="24" t="s">
        <v>819</v>
      </c>
      <c r="G367" s="25" t="s">
        <v>820</v>
      </c>
      <c r="H367" s="24"/>
      <c r="I367" s="28"/>
      <c r="J367" s="30"/>
    </row>
    <row r="368" spans="1:10">
      <c r="A368" s="30"/>
      <c r="B368" s="31"/>
      <c r="C368" s="31"/>
      <c r="D368" s="24" t="s">
        <v>821</v>
      </c>
      <c r="E368" s="24"/>
      <c r="F368" s="24"/>
      <c r="G368" s="25"/>
      <c r="H368" s="24"/>
      <c r="I368" s="28"/>
      <c r="J368" s="30"/>
    </row>
    <row r="369" spans="1:10">
      <c r="A369" s="30"/>
      <c r="B369" s="31"/>
      <c r="C369" s="31"/>
      <c r="D369" s="24" t="s">
        <v>822</v>
      </c>
      <c r="E369" s="24"/>
      <c r="F369" s="24"/>
      <c r="G369" s="25"/>
      <c r="H369" s="24"/>
      <c r="I369" s="28"/>
      <c r="J369" s="30"/>
    </row>
    <row r="370" spans="1:10">
      <c r="A370" s="30"/>
      <c r="B370" s="31"/>
      <c r="C370" s="31"/>
      <c r="D370" s="24" t="s">
        <v>823</v>
      </c>
      <c r="E370" s="24"/>
      <c r="F370" s="24"/>
      <c r="G370" s="25"/>
      <c r="H370" s="24"/>
      <c r="I370" s="28"/>
      <c r="J370" s="30"/>
    </row>
    <row r="371" spans="1:10">
      <c r="A371" s="30"/>
      <c r="B371" s="31"/>
      <c r="C371" s="31"/>
      <c r="D371" s="24" t="s">
        <v>824</v>
      </c>
      <c r="E371" s="24"/>
      <c r="F371" s="24"/>
      <c r="G371" s="25"/>
      <c r="H371" s="24"/>
      <c r="I371" s="28"/>
      <c r="J371" s="30"/>
    </row>
    <row r="372" spans="1:10">
      <c r="A372" s="30"/>
      <c r="B372" s="31"/>
      <c r="C372" s="31"/>
      <c r="D372" s="24" t="s">
        <v>825</v>
      </c>
      <c r="E372" s="24"/>
      <c r="F372" s="24"/>
      <c r="G372" s="25"/>
      <c r="H372" s="24"/>
      <c r="I372" s="28"/>
      <c r="J372" s="30"/>
    </row>
    <row r="373" spans="1:10">
      <c r="A373" s="30"/>
      <c r="B373" s="31"/>
      <c r="C373" s="31"/>
      <c r="D373" s="24" t="s">
        <v>826</v>
      </c>
      <c r="E373" s="24"/>
      <c r="F373" s="24"/>
      <c r="G373" s="25"/>
      <c r="H373" s="24"/>
      <c r="I373" s="28"/>
      <c r="J373" s="30"/>
    </row>
    <row r="374" spans="1:10">
      <c r="A374" s="30"/>
      <c r="B374" s="31"/>
      <c r="C374" s="31"/>
      <c r="D374" s="24" t="s">
        <v>827</v>
      </c>
      <c r="E374" s="24"/>
      <c r="F374" s="24"/>
      <c r="G374" s="25"/>
      <c r="H374" s="24"/>
      <c r="I374" s="28"/>
      <c r="J374" s="30"/>
    </row>
    <row r="375" spans="1:10">
      <c r="A375" s="30"/>
      <c r="B375" s="31"/>
      <c r="C375" s="31"/>
      <c r="D375" s="24" t="s">
        <v>828</v>
      </c>
      <c r="E375" s="24"/>
      <c r="F375" s="24"/>
      <c r="G375" s="25"/>
      <c r="H375" s="24"/>
      <c r="I375" s="28"/>
      <c r="J375" s="30"/>
    </row>
    <row r="376" spans="1:10">
      <c r="A376" s="30"/>
      <c r="B376" s="31"/>
      <c r="C376" s="31"/>
      <c r="D376" s="24" t="s">
        <v>829</v>
      </c>
      <c r="E376" s="24"/>
      <c r="F376" s="24"/>
      <c r="G376" s="25"/>
      <c r="H376" s="24"/>
      <c r="I376" s="28"/>
      <c r="J376" s="30"/>
    </row>
    <row r="377" spans="1:10">
      <c r="A377" s="30"/>
      <c r="B377" s="31"/>
      <c r="C377" s="31"/>
      <c r="D377" s="24" t="s">
        <v>830</v>
      </c>
      <c r="E377" s="24"/>
      <c r="F377" s="24"/>
      <c r="G377" s="25"/>
      <c r="H377" s="24"/>
      <c r="I377" s="28"/>
      <c r="J377" s="30"/>
    </row>
    <row r="378" spans="1:10">
      <c r="A378" s="30"/>
      <c r="B378" s="31"/>
      <c r="C378" s="31"/>
      <c r="D378" s="24" t="s">
        <v>831</v>
      </c>
      <c r="E378" s="24"/>
      <c r="F378" s="24"/>
      <c r="G378" s="25"/>
      <c r="H378" s="24"/>
      <c r="I378" s="28"/>
      <c r="J378" s="30"/>
    </row>
    <row r="379" spans="1:10">
      <c r="A379" s="30"/>
      <c r="B379" s="31"/>
      <c r="C379" s="31"/>
      <c r="D379" s="24" t="s">
        <v>832</v>
      </c>
      <c r="E379" s="24" t="s">
        <v>772</v>
      </c>
      <c r="F379" s="24" t="s">
        <v>400</v>
      </c>
      <c r="G379" s="25" t="s">
        <v>833</v>
      </c>
      <c r="H379" s="24"/>
      <c r="I379" s="28"/>
      <c r="J379" s="30"/>
    </row>
    <row r="380" spans="1:10">
      <c r="A380" s="30"/>
      <c r="B380" s="31"/>
      <c r="C380" s="31"/>
      <c r="D380" s="24" t="s">
        <v>834</v>
      </c>
      <c r="E380" s="24" t="s">
        <v>835</v>
      </c>
      <c r="F380" s="24" t="s">
        <v>136</v>
      </c>
      <c r="G380" s="25" t="s">
        <v>836</v>
      </c>
      <c r="H380" s="24"/>
      <c r="I380" s="28"/>
      <c r="J380" s="30"/>
    </row>
    <row r="381" spans="1:10">
      <c r="A381" s="30"/>
      <c r="B381" s="31"/>
      <c r="C381" s="31"/>
      <c r="D381" s="24" t="s">
        <v>837</v>
      </c>
      <c r="E381" s="24" t="s">
        <v>195</v>
      </c>
      <c r="F381" s="24" t="s">
        <v>838</v>
      </c>
      <c r="G381" s="25" t="s">
        <v>839</v>
      </c>
      <c r="H381" s="24"/>
      <c r="I381" s="28"/>
      <c r="J381" s="30"/>
    </row>
    <row r="382" spans="1:10" s="67" customFormat="1">
      <c r="B382" s="68"/>
      <c r="C382" s="68"/>
      <c r="D382" s="70" t="s">
        <v>840</v>
      </c>
      <c r="E382" s="70" t="s">
        <v>224</v>
      </c>
      <c r="F382" s="70" t="s">
        <v>225</v>
      </c>
      <c r="G382" s="71" t="s">
        <v>836</v>
      </c>
      <c r="H382" s="70"/>
      <c r="I382" s="72"/>
    </row>
    <row r="383" spans="1:10">
      <c r="A383" s="30"/>
      <c r="B383" s="31"/>
      <c r="C383" s="31"/>
      <c r="D383" s="24" t="s">
        <v>841</v>
      </c>
      <c r="E383" s="24" t="s">
        <v>129</v>
      </c>
      <c r="F383" s="24" t="s">
        <v>842</v>
      </c>
      <c r="G383" s="25" t="s">
        <v>843</v>
      </c>
      <c r="H383" s="24"/>
      <c r="I383" s="28"/>
      <c r="J383" s="30"/>
    </row>
    <row r="384" spans="1:10" s="67" customFormat="1">
      <c r="B384" s="68"/>
      <c r="C384" s="68"/>
      <c r="D384" s="70" t="s">
        <v>844</v>
      </c>
      <c r="E384" s="70" t="s">
        <v>224</v>
      </c>
      <c r="F384" s="70" t="s">
        <v>225</v>
      </c>
      <c r="G384" s="71" t="s">
        <v>843</v>
      </c>
      <c r="H384" s="70"/>
      <c r="I384" s="72"/>
    </row>
    <row r="385" spans="1:10">
      <c r="A385" s="30"/>
      <c r="B385" s="31"/>
      <c r="C385" s="31"/>
      <c r="D385" s="24" t="s">
        <v>845</v>
      </c>
      <c r="E385" s="24" t="s">
        <v>195</v>
      </c>
      <c r="F385" s="24" t="s">
        <v>846</v>
      </c>
      <c r="G385" s="25" t="s">
        <v>847</v>
      </c>
      <c r="H385" s="24" t="s">
        <v>848</v>
      </c>
      <c r="I385" s="28"/>
      <c r="J385" s="30"/>
    </row>
    <row r="386" spans="1:10">
      <c r="A386" s="30"/>
      <c r="B386" s="31"/>
      <c r="C386" s="31"/>
      <c r="D386" s="24" t="s">
        <v>849</v>
      </c>
      <c r="E386" s="24"/>
      <c r="F386" s="24"/>
      <c r="G386" s="25"/>
      <c r="H386" s="24"/>
      <c r="I386" s="28"/>
      <c r="J386" s="30"/>
    </row>
    <row r="387" spans="1:10">
      <c r="A387" s="30"/>
      <c r="B387" s="31"/>
      <c r="C387" s="31"/>
      <c r="D387" s="24" t="s">
        <v>850</v>
      </c>
      <c r="E387" s="24"/>
      <c r="F387" s="24"/>
      <c r="G387" s="25"/>
      <c r="H387" s="24"/>
      <c r="I387" s="28"/>
      <c r="J387" s="30"/>
    </row>
    <row r="388" spans="1:10">
      <c r="A388" s="30"/>
      <c r="B388" s="31"/>
      <c r="C388" s="31"/>
      <c r="D388" s="24" t="s">
        <v>851</v>
      </c>
      <c r="E388" s="24"/>
      <c r="F388" s="24"/>
      <c r="G388" s="25"/>
      <c r="H388" s="24"/>
      <c r="I388" s="28"/>
      <c r="J388" s="30"/>
    </row>
    <row r="389" spans="1:10">
      <c r="A389" s="30"/>
      <c r="B389" s="31"/>
      <c r="C389" s="31"/>
      <c r="D389" s="24" t="s">
        <v>852</v>
      </c>
      <c r="E389" s="24"/>
      <c r="F389" s="24"/>
      <c r="G389" s="25"/>
      <c r="H389" s="24"/>
      <c r="I389" s="28"/>
      <c r="J389" s="30"/>
    </row>
    <row r="390" spans="1:10">
      <c r="A390" s="30"/>
      <c r="B390" s="31"/>
      <c r="C390" s="31"/>
      <c r="D390" s="16" t="s">
        <v>853</v>
      </c>
      <c r="E390" s="16" t="s">
        <v>184</v>
      </c>
      <c r="F390" s="16" t="s">
        <v>854</v>
      </c>
      <c r="G390" s="17" t="s">
        <v>855</v>
      </c>
      <c r="H390" s="16" t="s">
        <v>856</v>
      </c>
      <c r="I390" s="28"/>
      <c r="J390" s="30"/>
    </row>
    <row r="391" spans="1:10">
      <c r="A391" s="30"/>
      <c r="B391" s="31"/>
      <c r="C391" s="31"/>
      <c r="D391" s="24" t="s">
        <v>857</v>
      </c>
      <c r="E391" s="24" t="s">
        <v>523</v>
      </c>
      <c r="F391" s="24" t="s">
        <v>524</v>
      </c>
      <c r="G391" s="25" t="s">
        <v>858</v>
      </c>
      <c r="H391" s="24" t="s">
        <v>859</v>
      </c>
      <c r="I391" s="28"/>
      <c r="J391" s="30"/>
    </row>
    <row r="392" spans="1:10">
      <c r="A392" s="30"/>
      <c r="B392" s="31"/>
      <c r="C392" s="31"/>
      <c r="D392" s="24" t="s">
        <v>860</v>
      </c>
      <c r="E392" s="24" t="s">
        <v>245</v>
      </c>
      <c r="F392" s="24" t="s">
        <v>861</v>
      </c>
      <c r="G392" s="25" t="s">
        <v>862</v>
      </c>
      <c r="H392" s="24" t="s">
        <v>863</v>
      </c>
      <c r="I392" s="28"/>
      <c r="J392" s="30"/>
    </row>
    <row r="393" spans="1:10">
      <c r="A393" s="30"/>
      <c r="B393" s="31"/>
      <c r="C393" s="31"/>
      <c r="D393" s="16" t="s">
        <v>864</v>
      </c>
      <c r="E393" s="16" t="s">
        <v>335</v>
      </c>
      <c r="F393" s="16" t="s">
        <v>865</v>
      </c>
      <c r="G393" s="17" t="s">
        <v>866</v>
      </c>
      <c r="H393" s="16" t="s">
        <v>867</v>
      </c>
      <c r="I393" s="28"/>
      <c r="J393" s="30"/>
    </row>
    <row r="394" spans="1:10">
      <c r="A394" s="30"/>
      <c r="B394" s="31"/>
      <c r="C394" s="31"/>
      <c r="D394" s="24" t="s">
        <v>868</v>
      </c>
      <c r="E394" s="24" t="s">
        <v>195</v>
      </c>
      <c r="F394" s="24" t="s">
        <v>869</v>
      </c>
      <c r="G394" s="25" t="s">
        <v>870</v>
      </c>
      <c r="H394" s="24" t="s">
        <v>871</v>
      </c>
      <c r="I394" s="28"/>
      <c r="J394" s="30"/>
    </row>
    <row r="395" spans="1:10">
      <c r="A395" s="30"/>
      <c r="B395" s="31"/>
      <c r="C395" s="31"/>
      <c r="D395" s="24" t="s">
        <v>872</v>
      </c>
      <c r="E395" s="24" t="s">
        <v>195</v>
      </c>
      <c r="F395" s="24" t="s">
        <v>873</v>
      </c>
      <c r="G395" s="25" t="s">
        <v>874</v>
      </c>
      <c r="H395" s="24" t="s">
        <v>875</v>
      </c>
      <c r="I395" s="28"/>
      <c r="J395" s="30"/>
    </row>
    <row r="396" spans="1:10">
      <c r="A396" s="30"/>
      <c r="B396" s="31"/>
      <c r="C396" s="31"/>
      <c r="D396" s="24" t="s">
        <v>876</v>
      </c>
      <c r="E396" s="24" t="s">
        <v>195</v>
      </c>
      <c r="F396" s="24" t="s">
        <v>877</v>
      </c>
      <c r="G396" s="25" t="s">
        <v>878</v>
      </c>
      <c r="H396" s="24" t="s">
        <v>879</v>
      </c>
      <c r="I396" s="28"/>
      <c r="J396" s="30"/>
    </row>
    <row r="397" spans="1:10">
      <c r="A397" s="30"/>
      <c r="B397" s="31"/>
      <c r="C397" s="31"/>
      <c r="D397" s="24" t="s">
        <v>880</v>
      </c>
      <c r="E397" s="24" t="s">
        <v>881</v>
      </c>
      <c r="F397" s="24"/>
      <c r="G397" s="25" t="s">
        <v>882</v>
      </c>
      <c r="H397" s="24" t="s">
        <v>883</v>
      </c>
      <c r="I397" s="28"/>
      <c r="J397" s="30"/>
    </row>
    <row r="398" spans="1:10">
      <c r="A398" s="30"/>
      <c r="B398" s="31"/>
      <c r="C398" s="31"/>
      <c r="D398" s="24" t="s">
        <v>884</v>
      </c>
      <c r="E398" s="24" t="s">
        <v>346</v>
      </c>
      <c r="F398" s="24" t="s">
        <v>885</v>
      </c>
      <c r="G398" s="25" t="s">
        <v>886</v>
      </c>
      <c r="H398" s="24" t="s">
        <v>887</v>
      </c>
      <c r="I398" s="28"/>
      <c r="J398" s="30"/>
    </row>
    <row r="399" spans="1:10">
      <c r="A399" s="30"/>
      <c r="B399" s="31"/>
      <c r="C399" s="31"/>
      <c r="D399" s="24" t="s">
        <v>888</v>
      </c>
      <c r="E399" s="24" t="s">
        <v>215</v>
      </c>
      <c r="F399" s="24" t="s">
        <v>889</v>
      </c>
      <c r="G399" s="25" t="s">
        <v>890</v>
      </c>
      <c r="H399" s="24" t="s">
        <v>891</v>
      </c>
      <c r="I399" s="28"/>
      <c r="J399" s="30"/>
    </row>
    <row r="400" spans="1:10">
      <c r="A400" s="30"/>
      <c r="B400" s="31"/>
      <c r="C400" s="31"/>
      <c r="D400" s="24" t="s">
        <v>892</v>
      </c>
      <c r="E400" s="24" t="s">
        <v>165</v>
      </c>
      <c r="F400" s="24" t="s">
        <v>893</v>
      </c>
      <c r="G400" s="25" t="s">
        <v>894</v>
      </c>
      <c r="H400" s="24" t="s">
        <v>895</v>
      </c>
      <c r="I400" s="28"/>
      <c r="J400" s="30"/>
    </row>
    <row r="401" spans="1:10">
      <c r="A401" s="30"/>
      <c r="B401" s="31"/>
      <c r="C401" s="31"/>
      <c r="D401" s="24" t="s">
        <v>896</v>
      </c>
      <c r="E401" s="24" t="s">
        <v>249</v>
      </c>
      <c r="F401" s="24" t="s">
        <v>897</v>
      </c>
      <c r="G401" s="25" t="s">
        <v>898</v>
      </c>
      <c r="H401" s="24" t="s">
        <v>899</v>
      </c>
      <c r="I401" s="28"/>
      <c r="J401" s="30"/>
    </row>
    <row r="402" spans="1:10">
      <c r="A402" s="30"/>
      <c r="B402" s="31"/>
      <c r="C402" s="31"/>
      <c r="D402" s="24" t="s">
        <v>900</v>
      </c>
      <c r="E402" s="24" t="s">
        <v>339</v>
      </c>
      <c r="F402" s="24" t="s">
        <v>901</v>
      </c>
      <c r="G402" s="25" t="s">
        <v>902</v>
      </c>
      <c r="H402" s="24" t="s">
        <v>903</v>
      </c>
      <c r="I402" s="28"/>
      <c r="J402" s="30"/>
    </row>
    <row r="403" spans="1:10">
      <c r="A403" s="30"/>
      <c r="B403" s="31"/>
      <c r="C403" s="31"/>
      <c r="D403" s="24" t="s">
        <v>904</v>
      </c>
      <c r="E403" s="24" t="s">
        <v>220</v>
      </c>
      <c r="F403" s="24" t="s">
        <v>905</v>
      </c>
      <c r="G403" s="25" t="s">
        <v>906</v>
      </c>
      <c r="H403" s="24" t="s">
        <v>907</v>
      </c>
      <c r="I403" s="28"/>
      <c r="J403" s="30"/>
    </row>
    <row r="404" spans="1:10">
      <c r="A404" s="30"/>
      <c r="B404" s="31"/>
      <c r="C404" s="31"/>
      <c r="D404" s="24" t="s">
        <v>908</v>
      </c>
      <c r="E404" s="24" t="s">
        <v>909</v>
      </c>
      <c r="F404" s="24" t="s">
        <v>910</v>
      </c>
      <c r="G404" s="25" t="s">
        <v>911</v>
      </c>
      <c r="H404" s="24" t="s">
        <v>912</v>
      </c>
      <c r="I404" s="28"/>
      <c r="J404" s="30"/>
    </row>
    <row r="405" spans="1:10">
      <c r="A405" s="30"/>
      <c r="B405" s="31"/>
      <c r="C405" s="31"/>
      <c r="D405" s="24" t="s">
        <v>913</v>
      </c>
      <c r="E405" s="24" t="s">
        <v>914</v>
      </c>
      <c r="F405" s="24" t="s">
        <v>915</v>
      </c>
      <c r="G405" s="24" t="s">
        <v>916</v>
      </c>
      <c r="H405" s="24" t="s">
        <v>917</v>
      </c>
      <c r="I405" s="28"/>
      <c r="J405" s="30"/>
    </row>
    <row r="406" spans="1:10">
      <c r="A406" s="30"/>
      <c r="B406" s="31"/>
      <c r="C406" s="31"/>
      <c r="D406" s="24" t="s">
        <v>918</v>
      </c>
      <c r="E406" s="24" t="s">
        <v>919</v>
      </c>
      <c r="F406" s="24" t="s">
        <v>920</v>
      </c>
      <c r="G406" s="24" t="s">
        <v>921</v>
      </c>
      <c r="H406" s="24" t="s">
        <v>922</v>
      </c>
      <c r="I406" s="28"/>
      <c r="J406" s="30"/>
    </row>
    <row r="407" spans="1:10">
      <c r="A407" s="30"/>
      <c r="B407" s="31"/>
      <c r="C407" s="31"/>
      <c r="D407" s="24" t="s">
        <v>923</v>
      </c>
      <c r="E407" s="24" t="s">
        <v>204</v>
      </c>
      <c r="F407" s="24" t="s">
        <v>558</v>
      </c>
      <c r="G407" s="24" t="s">
        <v>924</v>
      </c>
      <c r="H407" s="20" t="s">
        <v>925</v>
      </c>
      <c r="I407" s="28"/>
      <c r="J407" s="30"/>
    </row>
    <row r="408" spans="1:10">
      <c r="A408" s="30"/>
      <c r="B408" s="31"/>
      <c r="C408" s="31"/>
      <c r="D408" s="24" t="s">
        <v>926</v>
      </c>
      <c r="E408" s="24" t="s">
        <v>927</v>
      </c>
      <c r="F408" s="24" t="s">
        <v>928</v>
      </c>
      <c r="G408" s="24" t="s">
        <v>929</v>
      </c>
      <c r="H408" s="20" t="s">
        <v>930</v>
      </c>
      <c r="I408" s="28"/>
      <c r="J408" s="30"/>
    </row>
    <row r="409" spans="1:10">
      <c r="A409" s="30"/>
      <c r="B409" s="31"/>
      <c r="C409" s="31"/>
      <c r="D409" s="24" t="s">
        <v>931</v>
      </c>
      <c r="E409" s="24" t="s">
        <v>932</v>
      </c>
      <c r="F409" s="24" t="s">
        <v>861</v>
      </c>
      <c r="G409" s="24" t="s">
        <v>933</v>
      </c>
      <c r="H409" s="25" t="s">
        <v>934</v>
      </c>
      <c r="I409" s="28"/>
      <c r="J409" s="30"/>
    </row>
    <row r="410" spans="1:10">
      <c r="A410" s="30"/>
      <c r="B410" s="31"/>
      <c r="C410" s="31"/>
      <c r="D410" s="24" t="s">
        <v>935</v>
      </c>
      <c r="E410" s="24" t="s">
        <v>936</v>
      </c>
      <c r="F410" s="24" t="s">
        <v>937</v>
      </c>
      <c r="G410" s="24" t="s">
        <v>938</v>
      </c>
      <c r="H410" s="20" t="s">
        <v>939</v>
      </c>
      <c r="I410" s="28"/>
      <c r="J410" s="30"/>
    </row>
    <row r="411" spans="1:10">
      <c r="A411" s="30"/>
      <c r="B411" s="31"/>
      <c r="C411" s="31"/>
      <c r="D411" s="24" t="s">
        <v>940</v>
      </c>
      <c r="E411" s="24" t="s">
        <v>655</v>
      </c>
      <c r="F411" s="24" t="s">
        <v>941</v>
      </c>
      <c r="G411" s="24" t="s">
        <v>942</v>
      </c>
      <c r="H411" s="25" t="s">
        <v>943</v>
      </c>
      <c r="I411" s="28"/>
      <c r="J411" s="30"/>
    </row>
    <row r="412" spans="1:10">
      <c r="A412" s="30"/>
      <c r="B412" s="31"/>
      <c r="C412" s="31"/>
      <c r="D412" s="24" t="s">
        <v>944</v>
      </c>
      <c r="E412" s="24" t="s">
        <v>400</v>
      </c>
      <c r="F412" s="24" t="s">
        <v>945</v>
      </c>
      <c r="G412" s="24" t="s">
        <v>946</v>
      </c>
      <c r="H412" s="25" t="s">
        <v>947</v>
      </c>
      <c r="I412" s="28"/>
      <c r="J412" s="30"/>
    </row>
    <row r="413" spans="1:10">
      <c r="A413" s="30"/>
      <c r="B413" s="31"/>
      <c r="C413" s="31"/>
      <c r="D413" s="24" t="s">
        <v>948</v>
      </c>
      <c r="E413" s="24" t="s">
        <v>655</v>
      </c>
      <c r="F413" s="24" t="s">
        <v>949</v>
      </c>
      <c r="G413" s="24" t="s">
        <v>950</v>
      </c>
      <c r="H413" s="25" t="s">
        <v>951</v>
      </c>
      <c r="I413" s="28"/>
      <c r="J413" s="30"/>
    </row>
    <row r="414" spans="1:10">
      <c r="A414" s="30"/>
      <c r="B414" s="31"/>
      <c r="C414" s="31"/>
      <c r="D414" s="24" t="s">
        <v>952</v>
      </c>
      <c r="E414" s="24" t="s">
        <v>274</v>
      </c>
      <c r="F414" s="24" t="s">
        <v>275</v>
      </c>
      <c r="G414" s="24" t="s">
        <v>953</v>
      </c>
      <c r="H414" s="25" t="s">
        <v>954</v>
      </c>
      <c r="I414" s="28"/>
      <c r="J414" s="30"/>
    </row>
    <row r="415" spans="1:10">
      <c r="A415" s="30"/>
      <c r="B415" s="31"/>
      <c r="C415" s="31"/>
      <c r="D415" s="24" t="s">
        <v>955</v>
      </c>
      <c r="E415" s="24" t="s">
        <v>956</v>
      </c>
      <c r="F415" s="24" t="s">
        <v>957</v>
      </c>
      <c r="G415" s="24" t="s">
        <v>958</v>
      </c>
      <c r="H415" s="25" t="s">
        <v>959</v>
      </c>
      <c r="I415" s="28"/>
      <c r="J415" s="30"/>
    </row>
    <row r="416" spans="1:10">
      <c r="A416" s="30"/>
      <c r="B416" s="31"/>
      <c r="C416" s="31"/>
      <c r="D416" s="24" t="s">
        <v>960</v>
      </c>
      <c r="E416" s="24" t="s">
        <v>961</v>
      </c>
      <c r="F416" s="24" t="s">
        <v>962</v>
      </c>
      <c r="G416" s="24" t="s">
        <v>963</v>
      </c>
      <c r="H416" s="25" t="s">
        <v>964</v>
      </c>
      <c r="I416" s="28"/>
      <c r="J416" s="30"/>
    </row>
    <row r="417" spans="1:10">
      <c r="A417" s="30"/>
      <c r="B417" s="31"/>
      <c r="C417" s="31"/>
      <c r="D417" s="24" t="s">
        <v>965</v>
      </c>
      <c r="E417" s="24" t="s">
        <v>220</v>
      </c>
      <c r="F417" s="24" t="s">
        <v>966</v>
      </c>
      <c r="G417" s="24" t="s">
        <v>967</v>
      </c>
      <c r="H417" s="25" t="s">
        <v>968</v>
      </c>
      <c r="I417" s="28"/>
      <c r="J417" s="30"/>
    </row>
    <row r="418" spans="1:10">
      <c r="A418" s="30"/>
      <c r="B418" s="31"/>
      <c r="C418" s="31"/>
      <c r="D418" s="24" t="s">
        <v>969</v>
      </c>
      <c r="E418" s="24" t="s">
        <v>16</v>
      </c>
      <c r="F418" s="24" t="s">
        <v>970</v>
      </c>
      <c r="G418" s="24" t="s">
        <v>971</v>
      </c>
      <c r="H418" s="25" t="s">
        <v>972</v>
      </c>
      <c r="I418" s="28"/>
      <c r="J418" s="30"/>
    </row>
    <row r="419" spans="1:10">
      <c r="A419" s="30"/>
      <c r="B419" s="31"/>
      <c r="C419" s="31"/>
      <c r="D419" s="24" t="s">
        <v>973</v>
      </c>
      <c r="E419" s="24" t="s">
        <v>16</v>
      </c>
      <c r="F419" s="24" t="s">
        <v>970</v>
      </c>
      <c r="G419" s="24" t="s">
        <v>974</v>
      </c>
      <c r="H419" s="25" t="s">
        <v>975</v>
      </c>
      <c r="I419" s="28"/>
      <c r="J419" s="30"/>
    </row>
    <row r="420" spans="1:10">
      <c r="A420" s="30"/>
      <c r="B420" s="31"/>
      <c r="C420" s="31"/>
      <c r="D420" s="24" t="s">
        <v>976</v>
      </c>
      <c r="E420" s="24" t="s">
        <v>301</v>
      </c>
      <c r="F420" s="24" t="s">
        <v>977</v>
      </c>
      <c r="G420" s="24" t="s">
        <v>978</v>
      </c>
      <c r="H420" s="25" t="s">
        <v>979</v>
      </c>
      <c r="I420" s="28"/>
      <c r="J420" s="30"/>
    </row>
    <row r="421" spans="1:10">
      <c r="A421" s="30"/>
      <c r="B421" s="31"/>
      <c r="C421" s="31"/>
      <c r="D421" s="24" t="s">
        <v>980</v>
      </c>
      <c r="E421" s="24" t="s">
        <v>981</v>
      </c>
      <c r="F421" s="24" t="s">
        <v>240</v>
      </c>
      <c r="G421" s="24" t="s">
        <v>982</v>
      </c>
      <c r="H421" s="25" t="s">
        <v>983</v>
      </c>
      <c r="I421" s="28"/>
      <c r="J421" s="30"/>
    </row>
    <row r="422" spans="1:10">
      <c r="A422" s="30"/>
      <c r="B422" s="31"/>
      <c r="C422" s="31"/>
      <c r="D422" s="24" t="s">
        <v>984</v>
      </c>
      <c r="E422" s="24" t="s">
        <v>215</v>
      </c>
      <c r="F422" s="24" t="s">
        <v>985</v>
      </c>
      <c r="G422" s="24" t="s">
        <v>986</v>
      </c>
      <c r="H422" s="25" t="s">
        <v>987</v>
      </c>
      <c r="I422" s="28"/>
      <c r="J422" s="30"/>
    </row>
    <row r="423" spans="1:10">
      <c r="A423" s="30"/>
      <c r="B423" s="31"/>
      <c r="C423" s="31"/>
      <c r="D423" s="24" t="s">
        <v>988</v>
      </c>
      <c r="E423" s="24" t="s">
        <v>208</v>
      </c>
      <c r="F423" s="24" t="s">
        <v>989</v>
      </c>
      <c r="G423" s="24" t="s">
        <v>990</v>
      </c>
      <c r="H423" s="25" t="s">
        <v>991</v>
      </c>
      <c r="I423" s="28"/>
      <c r="J423" s="30"/>
    </row>
    <row r="424" spans="1:10">
      <c r="A424" s="30"/>
      <c r="B424" s="31"/>
      <c r="C424" s="31"/>
      <c r="D424" s="24" t="s">
        <v>992</v>
      </c>
      <c r="E424" s="24" t="s">
        <v>993</v>
      </c>
      <c r="F424" s="24" t="s">
        <v>994</v>
      </c>
      <c r="G424" s="24" t="s">
        <v>995</v>
      </c>
      <c r="H424" s="25" t="s">
        <v>996</v>
      </c>
      <c r="I424" s="28"/>
      <c r="J424" s="30"/>
    </row>
    <row r="425" spans="1:10">
      <c r="A425" s="30"/>
      <c r="B425" s="31"/>
      <c r="C425" s="31"/>
      <c r="D425" s="24" t="s">
        <v>997</v>
      </c>
      <c r="E425" s="24" t="s">
        <v>175</v>
      </c>
      <c r="F425" s="24" t="s">
        <v>998</v>
      </c>
      <c r="G425" s="24" t="s">
        <v>999</v>
      </c>
      <c r="H425" s="20" t="s">
        <v>1000</v>
      </c>
      <c r="I425" s="28"/>
      <c r="J425" s="30"/>
    </row>
    <row r="426" spans="1:10">
      <c r="A426" s="30"/>
      <c r="B426" s="31"/>
      <c r="C426" s="31"/>
      <c r="D426" s="24" t="s">
        <v>1001</v>
      </c>
      <c r="E426" s="24" t="s">
        <v>932</v>
      </c>
      <c r="F426" s="24" t="s">
        <v>1002</v>
      </c>
      <c r="G426" s="25" t="s">
        <v>1003</v>
      </c>
      <c r="H426" s="24" t="s">
        <v>1004</v>
      </c>
      <c r="I426" s="28"/>
      <c r="J426" s="30"/>
    </row>
    <row r="427" spans="1:10">
      <c r="A427" s="30"/>
      <c r="B427" s="31"/>
      <c r="C427" s="31"/>
      <c r="D427" s="24" t="s">
        <v>1005</v>
      </c>
      <c r="E427" s="24" t="s">
        <v>1006</v>
      </c>
      <c r="F427" s="24" t="s">
        <v>1007</v>
      </c>
      <c r="G427" s="25" t="s">
        <v>1008</v>
      </c>
      <c r="H427" s="21" t="s">
        <v>1009</v>
      </c>
      <c r="I427" s="28"/>
      <c r="J427" s="30"/>
    </row>
    <row r="428" spans="1:10">
      <c r="A428" s="30"/>
      <c r="B428" s="31"/>
      <c r="C428" s="31"/>
      <c r="D428" s="24" t="s">
        <v>1010</v>
      </c>
      <c r="E428" s="24" t="s">
        <v>1011</v>
      </c>
      <c r="F428" s="24" t="s">
        <v>1012</v>
      </c>
      <c r="G428" s="25" t="s">
        <v>1013</v>
      </c>
      <c r="H428" s="21" t="s">
        <v>1014</v>
      </c>
      <c r="I428" s="28"/>
      <c r="J428" s="30"/>
    </row>
    <row r="429" spans="1:10">
      <c r="A429" s="30"/>
      <c r="B429" s="31"/>
      <c r="C429" s="31"/>
      <c r="D429" s="24" t="s">
        <v>1015</v>
      </c>
      <c r="E429" s="24" t="s">
        <v>256</v>
      </c>
      <c r="F429" s="24" t="s">
        <v>1016</v>
      </c>
      <c r="G429" s="25" t="s">
        <v>1017</v>
      </c>
      <c r="H429" s="24" t="s">
        <v>1018</v>
      </c>
      <c r="I429" s="28"/>
      <c r="J429" s="30"/>
    </row>
    <row r="430" spans="1:10">
      <c r="A430" s="30"/>
      <c r="B430" s="31"/>
      <c r="C430" s="31"/>
      <c r="D430" s="24" t="s">
        <v>1019</v>
      </c>
      <c r="E430" s="24" t="s">
        <v>256</v>
      </c>
      <c r="F430" s="24" t="s">
        <v>1016</v>
      </c>
      <c r="G430" s="25" t="s">
        <v>1020</v>
      </c>
      <c r="H430" s="24" t="s">
        <v>1021</v>
      </c>
      <c r="I430" s="28"/>
      <c r="J430" s="30"/>
    </row>
    <row r="431" spans="1:10">
      <c r="A431" s="30"/>
      <c r="B431" s="31"/>
      <c r="C431" s="31"/>
      <c r="D431" s="24" t="s">
        <v>1022</v>
      </c>
      <c r="E431" s="24" t="s">
        <v>323</v>
      </c>
      <c r="F431" s="24" t="s">
        <v>324</v>
      </c>
      <c r="G431" s="25" t="s">
        <v>1023</v>
      </c>
      <c r="H431" s="24" t="s">
        <v>1024</v>
      </c>
      <c r="I431" s="28"/>
      <c r="J431" s="30"/>
    </row>
    <row r="432" spans="1:10">
      <c r="A432" s="30"/>
      <c r="B432" s="31"/>
      <c r="C432" s="31"/>
      <c r="D432" s="24" t="s">
        <v>1025</v>
      </c>
      <c r="E432" s="24" t="s">
        <v>309</v>
      </c>
      <c r="F432" s="24" t="s">
        <v>640</v>
      </c>
      <c r="G432" s="25" t="s">
        <v>1026</v>
      </c>
      <c r="H432" s="24" t="s">
        <v>1027</v>
      </c>
      <c r="I432" s="28"/>
      <c r="J432" s="30"/>
    </row>
    <row r="433" spans="1:10">
      <c r="A433" s="30"/>
      <c r="B433" s="31"/>
      <c r="C433" s="31"/>
      <c r="D433" s="24" t="s">
        <v>1028</v>
      </c>
      <c r="E433" s="24" t="s">
        <v>881</v>
      </c>
      <c r="F433" s="24" t="s">
        <v>881</v>
      </c>
      <c r="G433" s="25" t="s">
        <v>1029</v>
      </c>
      <c r="H433" s="24" t="s">
        <v>1030</v>
      </c>
      <c r="I433" s="28"/>
      <c r="J433" s="30"/>
    </row>
    <row r="434" spans="1:10">
      <c r="A434" s="30"/>
      <c r="B434" s="31"/>
      <c r="C434" s="31"/>
      <c r="D434" s="24" t="s">
        <v>1031</v>
      </c>
      <c r="E434" s="24" t="s">
        <v>129</v>
      </c>
      <c r="F434" s="24" t="s">
        <v>1032</v>
      </c>
      <c r="G434" s="25" t="s">
        <v>1033</v>
      </c>
      <c r="H434" s="24" t="s">
        <v>1034</v>
      </c>
      <c r="I434" s="28"/>
      <c r="J434" s="30"/>
    </row>
    <row r="435" spans="1:10">
      <c r="A435" s="30"/>
      <c r="B435" s="31"/>
      <c r="C435" s="31"/>
      <c r="D435" s="24" t="s">
        <v>1035</v>
      </c>
      <c r="E435" s="24" t="s">
        <v>1036</v>
      </c>
      <c r="F435" s="24" t="s">
        <v>1037</v>
      </c>
      <c r="G435" s="25" t="s">
        <v>1038</v>
      </c>
      <c r="H435" s="24" t="s">
        <v>1039</v>
      </c>
      <c r="I435" s="28"/>
      <c r="J435" s="30"/>
    </row>
    <row r="436" spans="1:10">
      <c r="A436" s="30"/>
      <c r="B436" s="31"/>
      <c r="C436" s="31"/>
      <c r="D436" s="24" t="s">
        <v>1040</v>
      </c>
      <c r="E436" s="24" t="s">
        <v>149</v>
      </c>
      <c r="F436" s="24" t="s">
        <v>1041</v>
      </c>
      <c r="G436" s="25" t="s">
        <v>1042</v>
      </c>
      <c r="H436" s="24" t="s">
        <v>1043</v>
      </c>
      <c r="I436" s="28"/>
      <c r="J436" s="30"/>
    </row>
    <row r="437" spans="1:10">
      <c r="A437" s="30"/>
      <c r="B437" s="31"/>
      <c r="C437" s="31"/>
      <c r="D437" s="24" t="s">
        <v>1044</v>
      </c>
      <c r="E437" s="24" t="s">
        <v>301</v>
      </c>
      <c r="F437" s="24" t="s">
        <v>302</v>
      </c>
      <c r="G437" s="25" t="s">
        <v>1045</v>
      </c>
      <c r="H437" s="24" t="s">
        <v>1046</v>
      </c>
      <c r="I437" s="28"/>
      <c r="J437" s="30"/>
    </row>
    <row r="438" spans="1:10">
      <c r="A438" s="30"/>
      <c r="B438" s="31"/>
      <c r="C438" s="31"/>
      <c r="D438" s="24" t="s">
        <v>1047</v>
      </c>
      <c r="E438" s="24" t="s">
        <v>625</v>
      </c>
      <c r="F438" s="24" t="s">
        <v>626</v>
      </c>
      <c r="G438" s="25" t="s">
        <v>1048</v>
      </c>
      <c r="H438" s="24" t="s">
        <v>1049</v>
      </c>
      <c r="I438" s="28"/>
      <c r="J438" s="30"/>
    </row>
    <row r="439" spans="1:10">
      <c r="A439" s="30"/>
      <c r="B439" s="31"/>
      <c r="C439" s="31"/>
      <c r="D439" s="24" t="s">
        <v>1050</v>
      </c>
      <c r="E439" s="24" t="s">
        <v>256</v>
      </c>
      <c r="F439" s="24" t="s">
        <v>260</v>
      </c>
      <c r="G439" s="25" t="s">
        <v>1051</v>
      </c>
      <c r="H439" s="24" t="s">
        <v>1052</v>
      </c>
      <c r="I439" s="28"/>
      <c r="J439" s="30"/>
    </row>
    <row r="440" spans="1:10" ht="13">
      <c r="A440" s="30"/>
      <c r="B440" s="31"/>
      <c r="C440" s="31"/>
      <c r="D440" s="24" t="s">
        <v>1053</v>
      </c>
      <c r="E440" s="22" t="s">
        <v>175</v>
      </c>
      <c r="F440" s="24" t="s">
        <v>1054</v>
      </c>
      <c r="G440" s="25" t="s">
        <v>1055</v>
      </c>
      <c r="H440" s="24" t="s">
        <v>1056</v>
      </c>
      <c r="I440" s="28"/>
      <c r="J440" s="30"/>
    </row>
    <row r="441" spans="1:10">
      <c r="A441" s="30"/>
      <c r="B441" s="31"/>
      <c r="C441" s="31"/>
      <c r="D441" s="24" t="s">
        <v>1057</v>
      </c>
      <c r="E441" s="24" t="s">
        <v>919</v>
      </c>
      <c r="F441" s="24" t="s">
        <v>1058</v>
      </c>
      <c r="G441" s="25" t="s">
        <v>921</v>
      </c>
      <c r="H441" s="24" t="s">
        <v>1059</v>
      </c>
      <c r="I441" s="28"/>
      <c r="J441" s="30"/>
    </row>
    <row r="442" spans="1:10">
      <c r="A442" s="30"/>
      <c r="B442" s="31"/>
      <c r="C442" s="31"/>
      <c r="D442" s="24" t="s">
        <v>1060</v>
      </c>
      <c r="E442" s="24" t="s">
        <v>1061</v>
      </c>
      <c r="F442" s="24" t="s">
        <v>1062</v>
      </c>
      <c r="G442" s="25" t="s">
        <v>1063</v>
      </c>
      <c r="H442" s="24" t="s">
        <v>1064</v>
      </c>
      <c r="I442" s="28"/>
      <c r="J442" s="30"/>
    </row>
    <row r="443" spans="1:10">
      <c r="A443" s="30"/>
      <c r="B443" s="31"/>
      <c r="C443" s="31"/>
      <c r="D443" s="24" t="s">
        <v>1065</v>
      </c>
      <c r="E443" s="24" t="s">
        <v>262</v>
      </c>
      <c r="F443" s="24" t="s">
        <v>263</v>
      </c>
      <c r="G443" s="25" t="s">
        <v>1066</v>
      </c>
      <c r="H443" s="24" t="s">
        <v>1067</v>
      </c>
      <c r="I443" s="28"/>
      <c r="J443" s="30"/>
    </row>
    <row r="444" spans="1:10">
      <c r="A444" s="30"/>
      <c r="B444" s="31"/>
      <c r="C444" s="31"/>
      <c r="D444" s="24" t="s">
        <v>1065</v>
      </c>
      <c r="E444" s="24" t="s">
        <v>1068</v>
      </c>
      <c r="F444" s="24" t="s">
        <v>1069</v>
      </c>
      <c r="G444" s="25" t="s">
        <v>1070</v>
      </c>
      <c r="H444" s="24" t="s">
        <v>1071</v>
      </c>
      <c r="I444" s="28"/>
      <c r="J444" s="30"/>
    </row>
    <row r="445" spans="1:10">
      <c r="A445" s="30"/>
      <c r="B445" s="31"/>
      <c r="C445" s="31"/>
      <c r="D445" s="24" t="s">
        <v>1072</v>
      </c>
      <c r="E445" s="24"/>
      <c r="F445" s="24"/>
      <c r="G445" s="25"/>
      <c r="H445" s="24"/>
      <c r="I445" s="28"/>
      <c r="J445" s="30"/>
    </row>
    <row r="446" spans="1:10">
      <c r="A446" s="30"/>
      <c r="B446" s="31"/>
      <c r="C446" s="31"/>
      <c r="D446" s="24" t="s">
        <v>1073</v>
      </c>
      <c r="E446" s="24"/>
      <c r="F446" s="24"/>
      <c r="G446" s="25"/>
      <c r="H446" s="24"/>
      <c r="I446" s="28"/>
      <c r="J446" s="30"/>
    </row>
    <row r="447" spans="1:10">
      <c r="A447" s="30"/>
      <c r="B447" s="31"/>
      <c r="C447" s="31"/>
      <c r="D447" s="24" t="s">
        <v>1074</v>
      </c>
      <c r="E447" s="24"/>
      <c r="F447" s="24"/>
      <c r="G447" s="25"/>
      <c r="H447" s="24"/>
      <c r="I447" s="28"/>
      <c r="J447" s="30"/>
    </row>
    <row r="448" spans="1:10">
      <c r="A448" s="30"/>
      <c r="B448" s="31"/>
      <c r="C448" s="31"/>
      <c r="D448" s="24" t="s">
        <v>1075</v>
      </c>
      <c r="E448" s="24"/>
      <c r="F448" s="24"/>
      <c r="G448" s="25"/>
      <c r="H448" s="24"/>
      <c r="I448" s="28"/>
      <c r="J448" s="30"/>
    </row>
    <row r="449" spans="1:10">
      <c r="A449" s="30"/>
      <c r="B449" s="31"/>
      <c r="C449" s="31"/>
      <c r="D449" s="24" t="s">
        <v>1076</v>
      </c>
      <c r="E449" s="24"/>
      <c r="F449" s="24"/>
      <c r="G449" s="25"/>
      <c r="H449" s="24"/>
      <c r="I449" s="28"/>
      <c r="J449" s="30"/>
    </row>
    <row r="450" spans="1:10">
      <c r="A450" s="30"/>
      <c r="B450" s="31"/>
      <c r="C450" s="31"/>
      <c r="D450" s="24" t="s">
        <v>1077</v>
      </c>
      <c r="E450" s="24"/>
      <c r="F450" s="24"/>
      <c r="G450" s="25"/>
      <c r="H450" s="24"/>
      <c r="I450" s="28"/>
      <c r="J450" s="30"/>
    </row>
    <row r="451" spans="1:10">
      <c r="A451" s="30"/>
      <c r="B451" s="31"/>
      <c r="C451" s="31"/>
      <c r="D451" s="24" t="s">
        <v>1078</v>
      </c>
      <c r="E451" s="24"/>
      <c r="F451" s="24"/>
      <c r="G451" s="25"/>
      <c r="H451" s="24"/>
      <c r="I451" s="28"/>
      <c r="J451" s="30"/>
    </row>
    <row r="452" spans="1:10">
      <c r="A452" s="30"/>
      <c r="B452" s="31"/>
      <c r="C452" s="31"/>
      <c r="D452" s="24" t="s">
        <v>1079</v>
      </c>
      <c r="E452" s="24"/>
      <c r="F452" s="24"/>
      <c r="G452" s="25"/>
      <c r="H452" s="24"/>
      <c r="I452" s="28"/>
      <c r="J452" s="30"/>
    </row>
    <row r="453" spans="1:10">
      <c r="A453" s="30"/>
      <c r="B453" s="31"/>
      <c r="C453" s="31"/>
      <c r="D453" s="24" t="s">
        <v>1080</v>
      </c>
      <c r="E453" s="23" t="s">
        <v>772</v>
      </c>
      <c r="F453" s="23" t="s">
        <v>772</v>
      </c>
      <c r="G453" s="25" t="s">
        <v>1081</v>
      </c>
      <c r="H453" s="23" t="s">
        <v>1082</v>
      </c>
      <c r="I453" s="28"/>
      <c r="J453" s="30"/>
    </row>
    <row r="454" spans="1:10">
      <c r="A454" s="30"/>
      <c r="B454" s="31"/>
      <c r="C454" s="31"/>
      <c r="D454" s="24" t="s">
        <v>1083</v>
      </c>
      <c r="E454" s="23" t="s">
        <v>1084</v>
      </c>
      <c r="F454" s="23" t="s">
        <v>772</v>
      </c>
      <c r="G454" s="25" t="s">
        <v>1085</v>
      </c>
      <c r="H454" s="23" t="s">
        <v>1082</v>
      </c>
      <c r="I454" s="28"/>
      <c r="J454" s="30"/>
    </row>
    <row r="455" spans="1:10">
      <c r="A455" s="30"/>
      <c r="B455" s="31"/>
      <c r="C455" s="31"/>
      <c r="D455" s="24" t="s">
        <v>1086</v>
      </c>
      <c r="E455" s="24" t="s">
        <v>1087</v>
      </c>
      <c r="F455" s="24" t="s">
        <v>772</v>
      </c>
      <c r="G455" s="25" t="s">
        <v>1085</v>
      </c>
      <c r="H455" s="23" t="s">
        <v>1082</v>
      </c>
      <c r="I455" s="28"/>
      <c r="J455" s="30"/>
    </row>
    <row r="456" spans="1:10">
      <c r="A456" s="30"/>
      <c r="B456" s="31"/>
      <c r="C456" s="31"/>
      <c r="D456" s="24" t="s">
        <v>1088</v>
      </c>
      <c r="E456" s="24" t="s">
        <v>1089</v>
      </c>
      <c r="F456" s="24" t="s">
        <v>772</v>
      </c>
      <c r="G456" s="25" t="s">
        <v>1081</v>
      </c>
      <c r="H456" s="74" t="s">
        <v>1082</v>
      </c>
      <c r="I456" s="28"/>
      <c r="J456" s="30"/>
    </row>
    <row r="457" spans="1:10">
      <c r="A457" s="30"/>
      <c r="B457" s="31"/>
      <c r="C457" s="31"/>
      <c r="D457" s="24" t="s">
        <v>1090</v>
      </c>
      <c r="E457" s="24" t="s">
        <v>1091</v>
      </c>
      <c r="F457" s="24" t="s">
        <v>772</v>
      </c>
      <c r="G457" s="25" t="s">
        <v>1081</v>
      </c>
      <c r="H457" s="23" t="s">
        <v>1082</v>
      </c>
      <c r="I457" s="28"/>
      <c r="J457" s="30"/>
    </row>
    <row r="458" spans="1:10">
      <c r="A458" s="30"/>
      <c r="B458" s="31"/>
      <c r="C458" s="31"/>
      <c r="D458" s="24" t="s">
        <v>1092</v>
      </c>
      <c r="E458" s="24" t="s">
        <v>1093</v>
      </c>
      <c r="F458" s="24" t="s">
        <v>1094</v>
      </c>
      <c r="G458" s="25" t="s">
        <v>1095</v>
      </c>
      <c r="H458" s="24" t="s">
        <v>1082</v>
      </c>
      <c r="I458" s="28"/>
      <c r="J458" s="30"/>
    </row>
    <row r="459" spans="1:10">
      <c r="A459" s="30"/>
      <c r="B459" s="31"/>
      <c r="C459" s="31"/>
      <c r="D459" s="24" t="s">
        <v>1096</v>
      </c>
      <c r="E459" s="24" t="s">
        <v>1097</v>
      </c>
      <c r="F459" s="24" t="s">
        <v>772</v>
      </c>
      <c r="G459" s="25" t="s">
        <v>1081</v>
      </c>
      <c r="H459" s="23" t="s">
        <v>1082</v>
      </c>
      <c r="I459" s="28"/>
      <c r="J459" s="30"/>
    </row>
    <row r="460" spans="1:10">
      <c r="A460" s="30"/>
      <c r="B460" s="31"/>
      <c r="C460" s="31"/>
      <c r="D460" s="24" t="s">
        <v>1098</v>
      </c>
      <c r="E460" s="24"/>
      <c r="F460" s="24"/>
      <c r="G460" s="25"/>
      <c r="H460" s="24"/>
      <c r="I460" s="28"/>
      <c r="J460" s="30"/>
    </row>
    <row r="461" spans="1:10">
      <c r="A461" s="30"/>
      <c r="B461" s="31"/>
      <c r="C461" s="31"/>
      <c r="D461" s="24" t="s">
        <v>1099</v>
      </c>
      <c r="E461" s="24"/>
      <c r="F461" s="24"/>
      <c r="G461" s="25"/>
      <c r="H461" s="24"/>
      <c r="I461" s="28"/>
      <c r="J461" s="30"/>
    </row>
    <row r="462" spans="1:10">
      <c r="A462" s="30"/>
      <c r="B462" s="31"/>
      <c r="C462" s="31"/>
      <c r="D462" s="24" t="s">
        <v>1100</v>
      </c>
      <c r="E462" s="24"/>
      <c r="F462" s="24"/>
      <c r="G462" s="25"/>
      <c r="H462" s="24"/>
      <c r="I462" s="28"/>
      <c r="J462" s="30"/>
    </row>
    <row r="463" spans="1:10">
      <c r="A463" s="30"/>
      <c r="B463" s="31"/>
      <c r="C463" s="31"/>
      <c r="D463" s="24" t="s">
        <v>1101</v>
      </c>
      <c r="E463" s="24"/>
      <c r="F463" s="24"/>
      <c r="G463" s="25"/>
      <c r="H463" s="24"/>
      <c r="I463" s="28"/>
      <c r="J463" s="30"/>
    </row>
    <row r="464" spans="1:10">
      <c r="A464" s="30"/>
      <c r="B464" s="31"/>
      <c r="C464" s="31"/>
      <c r="D464" s="24" t="s">
        <v>1102</v>
      </c>
      <c r="E464" s="24"/>
      <c r="F464" s="24"/>
      <c r="G464" s="25"/>
      <c r="H464" s="24"/>
      <c r="I464" s="28"/>
      <c r="J464" s="30"/>
    </row>
    <row r="465" spans="1:10">
      <c r="A465" s="30"/>
      <c r="B465" s="31"/>
      <c r="C465" s="31"/>
      <c r="D465" s="24" t="s">
        <v>1103</v>
      </c>
      <c r="E465" s="24"/>
      <c r="F465" s="24"/>
      <c r="G465" s="25"/>
      <c r="H465" s="24"/>
      <c r="I465" s="28"/>
      <c r="J465" s="30"/>
    </row>
    <row r="466" spans="1:10">
      <c r="A466" s="30"/>
      <c r="B466" s="31"/>
      <c r="C466" s="31"/>
      <c r="D466" s="24" t="s">
        <v>1103</v>
      </c>
      <c r="E466" s="24"/>
      <c r="F466" s="24"/>
      <c r="G466" s="25"/>
      <c r="H466" s="24"/>
      <c r="I466" s="28"/>
      <c r="J466" s="30"/>
    </row>
    <row r="467" spans="1:10">
      <c r="A467" s="30"/>
      <c r="B467" s="31"/>
      <c r="C467" s="31"/>
      <c r="D467" s="24" t="s">
        <v>1104</v>
      </c>
      <c r="E467" s="24"/>
      <c r="F467" s="24"/>
      <c r="G467" s="25"/>
      <c r="H467" s="24"/>
      <c r="I467" s="28"/>
      <c r="J467" s="30"/>
    </row>
    <row r="468" spans="1:10">
      <c r="A468" s="30"/>
      <c r="B468" s="31"/>
      <c r="C468" s="31"/>
      <c r="D468" s="24" t="s">
        <v>1105</v>
      </c>
      <c r="E468" s="24"/>
      <c r="F468" s="24"/>
      <c r="G468" s="25"/>
      <c r="H468" s="24"/>
      <c r="I468" s="28"/>
      <c r="J468" s="30"/>
    </row>
    <row r="469" spans="1:10">
      <c r="A469" s="30"/>
      <c r="B469" s="31"/>
      <c r="C469" s="31"/>
      <c r="D469" s="24" t="s">
        <v>1106</v>
      </c>
      <c r="E469" s="24"/>
      <c r="F469" s="24"/>
      <c r="G469" s="25"/>
      <c r="H469" s="24"/>
      <c r="I469" s="28"/>
      <c r="J469" s="30"/>
    </row>
    <row r="470" spans="1:10">
      <c r="A470" s="30"/>
      <c r="B470" s="31"/>
      <c r="C470" s="31"/>
      <c r="D470" s="24" t="s">
        <v>1107</v>
      </c>
      <c r="E470" s="24"/>
      <c r="F470" s="24"/>
      <c r="G470" s="25"/>
      <c r="H470" s="24"/>
      <c r="I470" s="28"/>
      <c r="J470" s="30"/>
    </row>
    <row r="471" spans="1:10">
      <c r="A471" s="30"/>
      <c r="B471" s="31"/>
      <c r="C471" s="31"/>
      <c r="D471" s="24" t="s">
        <v>1108</v>
      </c>
      <c r="E471" s="24"/>
      <c r="F471" s="24"/>
      <c r="G471" s="25"/>
      <c r="H471" s="24"/>
      <c r="I471" s="28"/>
      <c r="J471" s="30"/>
    </row>
    <row r="472" spans="1:10">
      <c r="A472" s="30"/>
      <c r="B472" s="31"/>
      <c r="C472" s="31"/>
      <c r="D472" s="24" t="s">
        <v>1109</v>
      </c>
      <c r="E472" s="24"/>
      <c r="F472" s="24"/>
      <c r="G472" s="25"/>
      <c r="H472" s="24"/>
      <c r="I472" s="28"/>
      <c r="J472" s="30"/>
    </row>
    <row r="473" spans="1:10">
      <c r="A473" s="30"/>
      <c r="B473" s="31"/>
      <c r="C473" s="31"/>
      <c r="D473" s="24" t="s">
        <v>1110</v>
      </c>
      <c r="E473" s="24"/>
      <c r="F473" s="24"/>
      <c r="G473" s="25"/>
      <c r="H473" s="24"/>
      <c r="I473" s="28"/>
      <c r="J473" s="30"/>
    </row>
    <row r="474" spans="1:10">
      <c r="A474" s="30"/>
      <c r="B474" s="31"/>
      <c r="C474" s="31"/>
      <c r="D474" s="24" t="s">
        <v>1111</v>
      </c>
      <c r="E474" s="24"/>
      <c r="F474" s="24"/>
      <c r="G474" s="25"/>
      <c r="H474" s="24"/>
      <c r="I474" s="28"/>
      <c r="J474" s="30"/>
    </row>
    <row r="475" spans="1:10">
      <c r="A475" s="30"/>
      <c r="B475" s="31"/>
      <c r="C475" s="31"/>
      <c r="D475" s="24" t="s">
        <v>1112</v>
      </c>
      <c r="E475" s="24"/>
      <c r="F475" s="24"/>
      <c r="G475" s="25"/>
      <c r="H475" s="24"/>
      <c r="I475" s="28"/>
      <c r="J475" s="30"/>
    </row>
    <row r="476" spans="1:10">
      <c r="A476" s="30"/>
      <c r="B476" s="31"/>
      <c r="C476" s="31"/>
      <c r="D476" s="24" t="s">
        <v>1113</v>
      </c>
      <c r="E476" s="24"/>
      <c r="F476" s="24"/>
      <c r="G476" s="25"/>
      <c r="H476" s="24"/>
      <c r="I476" s="28"/>
      <c r="J476" s="30"/>
    </row>
    <row r="477" spans="1:10">
      <c r="A477" s="30"/>
      <c r="B477" s="31"/>
      <c r="C477" s="31"/>
      <c r="D477" s="24" t="s">
        <v>1114</v>
      </c>
      <c r="E477" s="24"/>
      <c r="F477" s="24"/>
      <c r="G477" s="25"/>
      <c r="H477" s="24"/>
      <c r="I477" s="28"/>
      <c r="J477" s="30"/>
    </row>
    <row r="478" spans="1:10">
      <c r="A478" s="30"/>
      <c r="B478" s="31"/>
      <c r="C478" s="31"/>
      <c r="D478" s="24" t="s">
        <v>1115</v>
      </c>
      <c r="E478" s="24"/>
      <c r="F478" s="24"/>
      <c r="G478" s="25"/>
      <c r="H478" s="24"/>
      <c r="I478" s="28"/>
      <c r="J478" s="30"/>
    </row>
    <row r="479" spans="1:10">
      <c r="A479" s="30"/>
      <c r="B479" s="31"/>
      <c r="C479" s="31"/>
      <c r="D479" s="24" t="s">
        <v>1116</v>
      </c>
      <c r="E479" s="24"/>
      <c r="F479" s="24"/>
      <c r="G479" s="25"/>
      <c r="H479" s="24"/>
      <c r="I479" s="28"/>
      <c r="J479" s="30"/>
    </row>
    <row r="480" spans="1:10">
      <c r="A480" s="30"/>
      <c r="B480" s="31"/>
      <c r="C480" s="31"/>
      <c r="D480" s="24" t="s">
        <v>1117</v>
      </c>
      <c r="E480" s="24"/>
      <c r="F480" s="24"/>
      <c r="G480" s="25"/>
      <c r="H480" s="24"/>
      <c r="I480" s="28"/>
      <c r="J480" s="30"/>
    </row>
    <row r="481" spans="1:10">
      <c r="A481" s="30"/>
      <c r="B481" s="31"/>
      <c r="C481" s="31"/>
      <c r="D481" s="24" t="s">
        <v>1117</v>
      </c>
      <c r="E481" s="24"/>
      <c r="F481" s="24"/>
      <c r="G481" s="25"/>
      <c r="H481" s="24"/>
      <c r="I481" s="28"/>
      <c r="J481" s="30"/>
    </row>
    <row r="482" spans="1:10">
      <c r="A482" s="30"/>
      <c r="B482" s="31"/>
      <c r="C482" s="31"/>
      <c r="D482" s="24" t="s">
        <v>1118</v>
      </c>
      <c r="E482" s="24"/>
      <c r="F482" s="24"/>
      <c r="G482" s="25"/>
      <c r="H482" s="24"/>
      <c r="I482" s="28"/>
      <c r="J482" s="30"/>
    </row>
    <row r="483" spans="1:10">
      <c r="A483" s="30"/>
      <c r="B483" s="31"/>
      <c r="C483" s="31"/>
      <c r="D483" s="24" t="s">
        <v>1119</v>
      </c>
      <c r="E483" s="24"/>
      <c r="F483" s="24"/>
      <c r="G483" s="25"/>
      <c r="H483" s="24"/>
      <c r="I483" s="28"/>
      <c r="J483" s="30"/>
    </row>
    <row r="484" spans="1:10">
      <c r="A484" s="30"/>
      <c r="B484" s="31"/>
      <c r="C484" s="31"/>
      <c r="D484" s="24" t="s">
        <v>1120</v>
      </c>
      <c r="E484" s="24"/>
      <c r="F484" s="24"/>
      <c r="G484" s="25"/>
      <c r="H484" s="24"/>
      <c r="I484" s="28"/>
      <c r="J484" s="30"/>
    </row>
    <row r="485" spans="1:10">
      <c r="A485" s="30"/>
      <c r="B485" s="31"/>
      <c r="C485" s="31"/>
      <c r="D485" s="24" t="s">
        <v>1121</v>
      </c>
      <c r="E485" s="24"/>
      <c r="F485" s="24"/>
      <c r="G485" s="25"/>
      <c r="H485" s="24"/>
      <c r="I485" s="28"/>
      <c r="J485" s="30"/>
    </row>
    <row r="486" spans="1:10">
      <c r="A486" s="30"/>
      <c r="B486" s="31"/>
      <c r="C486" s="31"/>
      <c r="D486" s="24" t="s">
        <v>1122</v>
      </c>
      <c r="E486" s="24"/>
      <c r="F486" s="24"/>
      <c r="G486" s="25"/>
      <c r="H486" s="24"/>
      <c r="I486" s="28"/>
      <c r="J486" s="30"/>
    </row>
    <row r="487" spans="1:10">
      <c r="A487" s="30"/>
      <c r="B487" s="31"/>
      <c r="C487" s="31"/>
      <c r="D487" s="24" t="s">
        <v>1123</v>
      </c>
      <c r="E487" s="24"/>
      <c r="F487" s="24"/>
      <c r="G487" s="25"/>
      <c r="H487" s="24"/>
      <c r="I487" s="28"/>
      <c r="J487" s="30"/>
    </row>
    <row r="488" spans="1:10">
      <c r="A488" s="30"/>
      <c r="B488" s="31"/>
      <c r="C488" s="31"/>
      <c r="D488" s="24" t="s">
        <v>1124</v>
      </c>
      <c r="E488" s="24"/>
      <c r="F488" s="24"/>
      <c r="G488" s="25"/>
      <c r="H488" s="24"/>
      <c r="I488" s="28"/>
      <c r="J488" s="30"/>
    </row>
    <row r="489" spans="1:10">
      <c r="A489" s="30"/>
      <c r="B489" s="31"/>
      <c r="C489" s="31"/>
      <c r="D489" s="24" t="s">
        <v>1125</v>
      </c>
      <c r="E489" s="24"/>
      <c r="F489" s="24"/>
      <c r="G489" s="25"/>
      <c r="H489" s="24"/>
      <c r="I489" s="28"/>
      <c r="J489" s="30"/>
    </row>
    <row r="490" spans="1:10">
      <c r="A490" s="30"/>
      <c r="B490" s="31"/>
      <c r="C490" s="31"/>
      <c r="D490" s="34" t="s">
        <v>1126</v>
      </c>
      <c r="E490" s="57" t="s">
        <v>238</v>
      </c>
      <c r="F490" s="57" t="s">
        <v>1127</v>
      </c>
      <c r="G490" s="57" t="s">
        <v>1128</v>
      </c>
      <c r="H490" s="57" t="s">
        <v>1129</v>
      </c>
      <c r="I490" s="57">
        <v>16000</v>
      </c>
      <c r="J490" s="30"/>
    </row>
    <row r="491" spans="1:10">
      <c r="A491" s="30"/>
      <c r="B491" s="31"/>
      <c r="C491" s="31"/>
      <c r="D491" s="58" t="s">
        <v>1130</v>
      </c>
      <c r="E491" s="59" t="s">
        <v>956</v>
      </c>
      <c r="F491" s="59" t="s">
        <v>1131</v>
      </c>
      <c r="G491" s="59" t="s">
        <v>1132</v>
      </c>
      <c r="H491" s="59" t="s">
        <v>1133</v>
      </c>
      <c r="I491" s="59">
        <v>11511</v>
      </c>
      <c r="J491" s="30"/>
    </row>
    <row r="492" spans="1:10">
      <c r="A492" s="30"/>
      <c r="B492" s="31"/>
      <c r="C492" s="31"/>
      <c r="D492" s="58" t="s">
        <v>1134</v>
      </c>
      <c r="E492" s="59" t="s">
        <v>932</v>
      </c>
      <c r="F492" s="59" t="s">
        <v>1002</v>
      </c>
      <c r="G492" s="59" t="s">
        <v>1135</v>
      </c>
      <c r="H492" s="59" t="s">
        <v>1136</v>
      </c>
      <c r="I492" s="59">
        <v>34347</v>
      </c>
      <c r="J492" s="30"/>
    </row>
    <row r="493" spans="1:10">
      <c r="A493" s="30"/>
      <c r="B493" s="31"/>
      <c r="C493" s="31"/>
      <c r="D493" s="58" t="s">
        <v>1137</v>
      </c>
      <c r="E493" s="59" t="s">
        <v>932</v>
      </c>
      <c r="F493" s="59" t="s">
        <v>1002</v>
      </c>
      <c r="G493" s="59" t="s">
        <v>1138</v>
      </c>
      <c r="H493" s="59" t="s">
        <v>1139</v>
      </c>
      <c r="I493" s="59">
        <v>41420</v>
      </c>
      <c r="J493" s="30"/>
    </row>
    <row r="494" spans="1:10">
      <c r="A494" s="30"/>
      <c r="B494" s="31"/>
      <c r="C494" s="31"/>
      <c r="D494" s="58" t="s">
        <v>1140</v>
      </c>
      <c r="E494" s="59" t="s">
        <v>85</v>
      </c>
      <c r="F494" s="59" t="s">
        <v>1141</v>
      </c>
      <c r="G494" s="59" t="s">
        <v>1142</v>
      </c>
      <c r="H494" s="59" t="s">
        <v>1143</v>
      </c>
      <c r="I494" s="59">
        <v>694</v>
      </c>
      <c r="J494" s="30"/>
    </row>
    <row r="495" spans="1:10">
      <c r="A495" s="30"/>
      <c r="B495" s="31"/>
      <c r="C495" s="31"/>
      <c r="D495" s="58" t="s">
        <v>1144</v>
      </c>
      <c r="E495" s="59" t="s">
        <v>85</v>
      </c>
      <c r="F495" s="59" t="s">
        <v>1145</v>
      </c>
      <c r="G495" s="59" t="s">
        <v>1146</v>
      </c>
      <c r="H495" s="59" t="s">
        <v>1147</v>
      </c>
      <c r="I495" s="59">
        <v>617</v>
      </c>
      <c r="J495" s="30"/>
    </row>
    <row r="496" spans="1:10">
      <c r="A496" s="30"/>
      <c r="B496" s="31"/>
      <c r="C496" s="31"/>
      <c r="D496" s="58" t="s">
        <v>1148</v>
      </c>
      <c r="E496" s="59" t="s">
        <v>215</v>
      </c>
      <c r="F496" s="59" t="s">
        <v>1149</v>
      </c>
      <c r="G496" s="59" t="s">
        <v>1150</v>
      </c>
      <c r="H496" s="59" t="s">
        <v>1151</v>
      </c>
      <c r="I496" s="59" t="s">
        <v>1152</v>
      </c>
      <c r="J496" s="30"/>
    </row>
    <row r="497" spans="1:10">
      <c r="A497" s="30"/>
      <c r="B497" s="31"/>
      <c r="C497" s="31"/>
      <c r="D497" s="58" t="s">
        <v>1153</v>
      </c>
      <c r="E497" s="59" t="s">
        <v>400</v>
      </c>
      <c r="F497" s="59" t="s">
        <v>1154</v>
      </c>
      <c r="G497" s="59" t="s">
        <v>1155</v>
      </c>
      <c r="H497" s="59" t="s">
        <v>1156</v>
      </c>
      <c r="I497" s="59">
        <v>116600</v>
      </c>
      <c r="J497" s="30"/>
    </row>
    <row r="498" spans="1:10">
      <c r="A498" s="30"/>
      <c r="B498" s="31"/>
      <c r="C498" s="31"/>
      <c r="D498" s="58" t="s">
        <v>1157</v>
      </c>
      <c r="E498" s="59" t="s">
        <v>1152</v>
      </c>
      <c r="F498" s="59" t="s">
        <v>1152</v>
      </c>
      <c r="G498" s="59" t="s">
        <v>1152</v>
      </c>
      <c r="H498" s="59" t="s">
        <v>1152</v>
      </c>
      <c r="I498" s="59" t="s">
        <v>1152</v>
      </c>
      <c r="J498" s="30"/>
    </row>
    <row r="499" spans="1:10">
      <c r="A499" s="30"/>
      <c r="B499" s="31"/>
      <c r="C499" s="31"/>
      <c r="D499" s="58" t="s">
        <v>1158</v>
      </c>
      <c r="E499" s="59" t="s">
        <v>1006</v>
      </c>
      <c r="F499" s="59" t="s">
        <v>1159</v>
      </c>
      <c r="G499" s="59" t="s">
        <v>1160</v>
      </c>
      <c r="H499" s="59" t="s">
        <v>1161</v>
      </c>
      <c r="I499" s="59" t="s">
        <v>1152</v>
      </c>
      <c r="J499" s="30"/>
    </row>
    <row r="500" spans="1:10">
      <c r="A500" s="30"/>
      <c r="B500" s="31"/>
      <c r="C500" s="31"/>
      <c r="D500" s="62" t="s">
        <v>1162</v>
      </c>
      <c r="E500" s="63" t="s">
        <v>1006</v>
      </c>
      <c r="F500" s="63" t="s">
        <v>1007</v>
      </c>
      <c r="G500" s="63" t="s">
        <v>1163</v>
      </c>
      <c r="H500" s="63" t="s">
        <v>1164</v>
      </c>
      <c r="I500" s="59" t="s">
        <v>1152</v>
      </c>
      <c r="J500" s="30"/>
    </row>
    <row r="501" spans="1:10">
      <c r="A501" s="30"/>
      <c r="B501" s="31"/>
      <c r="C501" s="31"/>
      <c r="D501" s="62" t="s">
        <v>1165</v>
      </c>
      <c r="E501" s="63" t="s">
        <v>400</v>
      </c>
      <c r="F501" s="63" t="s">
        <v>945</v>
      </c>
      <c r="G501" s="63" t="s">
        <v>1166</v>
      </c>
      <c r="H501" s="63" t="s">
        <v>1167</v>
      </c>
      <c r="I501" s="59" t="s">
        <v>1152</v>
      </c>
      <c r="J501" s="30"/>
    </row>
    <row r="502" spans="1:10">
      <c r="A502" s="30"/>
      <c r="B502" s="31"/>
      <c r="C502" s="31"/>
      <c r="D502" s="62" t="s">
        <v>1168</v>
      </c>
      <c r="E502" s="63" t="s">
        <v>1169</v>
      </c>
      <c r="F502" s="63" t="s">
        <v>1170</v>
      </c>
      <c r="G502" s="63" t="s">
        <v>1171</v>
      </c>
      <c r="H502" s="63" t="s">
        <v>1172</v>
      </c>
      <c r="I502" s="59" t="s">
        <v>1152</v>
      </c>
      <c r="J502" s="30"/>
    </row>
    <row r="503" spans="1:10">
      <c r="A503" s="30"/>
      <c r="B503" s="31"/>
      <c r="C503" s="31"/>
      <c r="D503" s="62" t="s">
        <v>1173</v>
      </c>
      <c r="E503" s="63" t="s">
        <v>249</v>
      </c>
      <c r="F503" s="63" t="s">
        <v>1174</v>
      </c>
      <c r="G503" s="63" t="s">
        <v>1175</v>
      </c>
      <c r="H503" s="63" t="s">
        <v>1176</v>
      </c>
      <c r="I503" s="59" t="s">
        <v>1152</v>
      </c>
      <c r="J503" s="30"/>
    </row>
    <row r="504" spans="1:10">
      <c r="A504" s="30"/>
      <c r="B504" s="31"/>
      <c r="C504" s="31"/>
      <c r="D504" s="62" t="s">
        <v>1177</v>
      </c>
      <c r="E504" s="63" t="s">
        <v>400</v>
      </c>
      <c r="F504" s="63" t="s">
        <v>409</v>
      </c>
      <c r="G504" s="63" t="s">
        <v>1178</v>
      </c>
      <c r="H504" s="63" t="s">
        <v>1179</v>
      </c>
      <c r="I504" s="59" t="s">
        <v>1152</v>
      </c>
      <c r="J504" s="30"/>
    </row>
    <row r="505" spans="1:10">
      <c r="A505" s="30"/>
      <c r="B505" s="31"/>
      <c r="C505" s="31"/>
      <c r="D505" s="62" t="s">
        <v>1180</v>
      </c>
      <c r="E505" s="63" t="s">
        <v>956</v>
      </c>
      <c r="F505" s="63" t="s">
        <v>1181</v>
      </c>
      <c r="G505" s="63" t="s">
        <v>1182</v>
      </c>
      <c r="H505" s="63" t="s">
        <v>1183</v>
      </c>
      <c r="I505" s="59" t="s">
        <v>1152</v>
      </c>
      <c r="J505" s="30"/>
    </row>
    <row r="506" spans="1:10">
      <c r="A506" s="30"/>
      <c r="B506" s="31"/>
      <c r="C506" s="31"/>
      <c r="D506" s="62" t="s">
        <v>1184</v>
      </c>
      <c r="E506" s="63" t="s">
        <v>932</v>
      </c>
      <c r="F506" s="63" t="s">
        <v>1185</v>
      </c>
      <c r="G506" s="63" t="s">
        <v>1186</v>
      </c>
      <c r="H506" s="63" t="s">
        <v>1187</v>
      </c>
      <c r="I506" s="59" t="s">
        <v>1152</v>
      </c>
      <c r="J506" s="30"/>
    </row>
    <row r="507" spans="1:10">
      <c r="A507" s="30"/>
      <c r="B507" s="31"/>
      <c r="C507" s="31"/>
      <c r="D507" s="62" t="s">
        <v>1188</v>
      </c>
      <c r="E507" s="63" t="s">
        <v>1189</v>
      </c>
      <c r="F507" s="63" t="s">
        <v>1190</v>
      </c>
      <c r="G507" s="63" t="s">
        <v>1191</v>
      </c>
      <c r="H507" s="63" t="s">
        <v>1192</v>
      </c>
      <c r="I507" s="59" t="s">
        <v>1152</v>
      </c>
      <c r="J507" s="30"/>
    </row>
    <row r="508" spans="1:10">
      <c r="A508" s="30"/>
      <c r="B508" s="31"/>
      <c r="C508" s="31"/>
      <c r="D508" s="62" t="s">
        <v>1193</v>
      </c>
      <c r="E508" s="63" t="s">
        <v>981</v>
      </c>
      <c r="F508" s="63" t="s">
        <v>240</v>
      </c>
      <c r="G508" s="63" t="s">
        <v>1194</v>
      </c>
      <c r="H508" s="63" t="s">
        <v>1195</v>
      </c>
      <c r="I508" s="59" t="s">
        <v>1152</v>
      </c>
      <c r="J508" s="30"/>
    </row>
    <row r="509" spans="1:10">
      <c r="A509" s="30"/>
      <c r="B509" s="31"/>
      <c r="C509" s="31"/>
      <c r="D509" s="62" t="s">
        <v>1196</v>
      </c>
      <c r="E509" s="63" t="s">
        <v>1197</v>
      </c>
      <c r="F509" s="63" t="s">
        <v>1198</v>
      </c>
      <c r="G509" s="63" t="s">
        <v>1199</v>
      </c>
      <c r="H509" s="63" t="s">
        <v>1200</v>
      </c>
      <c r="I509" s="59" t="s">
        <v>1152</v>
      </c>
      <c r="J509" s="30"/>
    </row>
    <row r="510" spans="1:10">
      <c r="A510" s="30"/>
      <c r="B510" s="31"/>
      <c r="C510" s="31"/>
      <c r="D510" s="62" t="s">
        <v>1201</v>
      </c>
      <c r="E510" s="63" t="s">
        <v>1061</v>
      </c>
      <c r="F510" s="63" t="s">
        <v>1202</v>
      </c>
      <c r="G510" s="63" t="s">
        <v>1203</v>
      </c>
      <c r="H510" s="63" t="s">
        <v>1204</v>
      </c>
      <c r="I510" s="59" t="s">
        <v>1152</v>
      </c>
      <c r="J510" s="30"/>
    </row>
    <row r="511" spans="1:10">
      <c r="A511" s="30"/>
      <c r="B511" s="31"/>
      <c r="C511" s="31"/>
      <c r="D511" s="62" t="s">
        <v>1205</v>
      </c>
      <c r="E511" s="63" t="s">
        <v>961</v>
      </c>
      <c r="F511" s="63" t="s">
        <v>1206</v>
      </c>
      <c r="G511" s="63" t="s">
        <v>1207</v>
      </c>
      <c r="H511" s="63" t="s">
        <v>1208</v>
      </c>
      <c r="I511" s="59" t="s">
        <v>1152</v>
      </c>
      <c r="J511" s="30"/>
    </row>
    <row r="512" spans="1:10">
      <c r="A512" s="30"/>
      <c r="B512" s="31"/>
      <c r="C512" s="31"/>
      <c r="D512" s="62" t="s">
        <v>1209</v>
      </c>
      <c r="E512" s="63" t="s">
        <v>1210</v>
      </c>
      <c r="F512" s="63" t="s">
        <v>816</v>
      </c>
      <c r="G512" s="63" t="s">
        <v>1211</v>
      </c>
      <c r="H512" s="63" t="s">
        <v>1212</v>
      </c>
      <c r="I512" s="59" t="s">
        <v>1152</v>
      </c>
      <c r="J512" s="30"/>
    </row>
    <row r="513" spans="1:10">
      <c r="A513" s="30"/>
      <c r="B513" s="31"/>
      <c r="C513" s="31"/>
      <c r="D513" s="62" t="s">
        <v>1213</v>
      </c>
      <c r="E513" s="63" t="s">
        <v>164</v>
      </c>
      <c r="F513" s="63" t="s">
        <v>1214</v>
      </c>
      <c r="G513" s="63" t="s">
        <v>1215</v>
      </c>
      <c r="H513" s="63" t="s">
        <v>1216</v>
      </c>
      <c r="I513" s="59" t="s">
        <v>1152</v>
      </c>
      <c r="J513" s="30"/>
    </row>
    <row r="514" spans="1:10">
      <c r="A514" s="30"/>
      <c r="B514" s="31"/>
      <c r="C514" s="31"/>
      <c r="D514" s="58" t="s">
        <v>1217</v>
      </c>
      <c r="E514" s="59" t="s">
        <v>956</v>
      </c>
      <c r="F514" s="59" t="s">
        <v>957</v>
      </c>
      <c r="G514" s="59" t="s">
        <v>1218</v>
      </c>
      <c r="H514" s="59" t="s">
        <v>1219</v>
      </c>
      <c r="I514" s="59" t="s">
        <v>1152</v>
      </c>
      <c r="J514" s="30"/>
    </row>
    <row r="515" spans="1:10">
      <c r="A515" s="30"/>
      <c r="B515" s="31"/>
      <c r="C515" s="31"/>
      <c r="D515" s="58" t="s">
        <v>1220</v>
      </c>
      <c r="E515" s="59" t="s">
        <v>1189</v>
      </c>
      <c r="F515" s="59" t="s">
        <v>1221</v>
      </c>
      <c r="G515" s="59" t="s">
        <v>1222</v>
      </c>
      <c r="H515" s="59" t="s">
        <v>1223</v>
      </c>
      <c r="I515" s="59" t="s">
        <v>1152</v>
      </c>
      <c r="J515" s="30"/>
    </row>
    <row r="516" spans="1:10">
      <c r="A516" s="30"/>
      <c r="B516" s="31"/>
      <c r="C516" s="31"/>
      <c r="D516" s="58" t="s">
        <v>1224</v>
      </c>
      <c r="E516" s="59" t="s">
        <v>919</v>
      </c>
      <c r="F516" s="59" t="s">
        <v>1225</v>
      </c>
      <c r="G516" s="59" t="s">
        <v>1226</v>
      </c>
      <c r="H516" s="59" t="s">
        <v>1227</v>
      </c>
      <c r="I516" s="59" t="s">
        <v>1152</v>
      </c>
      <c r="J516" s="30"/>
    </row>
    <row r="517" spans="1:10">
      <c r="A517" s="30"/>
      <c r="B517" s="31"/>
      <c r="C517" s="31"/>
      <c r="D517" s="58" t="s">
        <v>1228</v>
      </c>
      <c r="E517" s="59" t="s">
        <v>919</v>
      </c>
      <c r="F517" s="59" t="s">
        <v>1229</v>
      </c>
      <c r="G517" s="59" t="s">
        <v>1230</v>
      </c>
      <c r="H517" s="59" t="s">
        <v>1231</v>
      </c>
      <c r="I517" s="59" t="s">
        <v>1152</v>
      </c>
      <c r="J517" s="30"/>
    </row>
    <row r="518" spans="1:10">
      <c r="A518" s="30"/>
      <c r="B518" s="31"/>
      <c r="C518" s="31"/>
      <c r="D518" s="58" t="s">
        <v>1232</v>
      </c>
      <c r="E518" s="59" t="s">
        <v>164</v>
      </c>
      <c r="F518" s="59" t="s">
        <v>1233</v>
      </c>
      <c r="G518" s="59" t="s">
        <v>1234</v>
      </c>
      <c r="H518" s="59" t="s">
        <v>1235</v>
      </c>
      <c r="I518" s="59" t="s">
        <v>1152</v>
      </c>
      <c r="J518" s="30"/>
    </row>
    <row r="519" spans="1:10">
      <c r="A519" s="30"/>
      <c r="B519" s="31"/>
      <c r="C519" s="31"/>
      <c r="D519" s="58" t="s">
        <v>1236</v>
      </c>
      <c r="E519" s="59" t="s">
        <v>164</v>
      </c>
      <c r="F519" s="59" t="s">
        <v>1237</v>
      </c>
      <c r="G519" s="59" t="s">
        <v>1238</v>
      </c>
      <c r="H519" s="59" t="s">
        <v>1239</v>
      </c>
      <c r="I519" s="59" t="s">
        <v>1152</v>
      </c>
      <c r="J519" s="30"/>
    </row>
    <row r="520" spans="1:10">
      <c r="A520" s="30"/>
      <c r="B520" s="31"/>
      <c r="C520" s="31"/>
      <c r="D520" s="58" t="s">
        <v>1240</v>
      </c>
      <c r="E520" s="59" t="s">
        <v>914</v>
      </c>
      <c r="F520" s="59" t="s">
        <v>915</v>
      </c>
      <c r="G520" s="59" t="s">
        <v>1241</v>
      </c>
      <c r="H520" s="59" t="s">
        <v>1242</v>
      </c>
      <c r="I520" s="59" t="s">
        <v>1152</v>
      </c>
      <c r="J520" s="30"/>
    </row>
    <row r="521" spans="1:10">
      <c r="A521" s="30"/>
      <c r="B521" s="31"/>
      <c r="C521" s="31"/>
      <c r="D521" s="58" t="s">
        <v>1243</v>
      </c>
      <c r="E521" s="59" t="s">
        <v>1197</v>
      </c>
      <c r="F521" s="59" t="s">
        <v>1244</v>
      </c>
      <c r="G521" s="59" t="s">
        <v>1245</v>
      </c>
      <c r="H521" s="59" t="s">
        <v>1246</v>
      </c>
      <c r="I521" s="59" t="s">
        <v>1152</v>
      </c>
      <c r="J521" s="30"/>
    </row>
    <row r="522" spans="1:10">
      <c r="A522" s="30"/>
      <c r="B522" s="31"/>
      <c r="C522" s="31"/>
      <c r="D522" s="58" t="s">
        <v>1247</v>
      </c>
      <c r="E522" s="59" t="s">
        <v>301</v>
      </c>
      <c r="F522" s="59" t="s">
        <v>302</v>
      </c>
      <c r="G522" s="59" t="s">
        <v>1248</v>
      </c>
      <c r="H522" s="59" t="s">
        <v>1249</v>
      </c>
      <c r="I522" s="59" t="s">
        <v>1152</v>
      </c>
      <c r="J522" s="30"/>
    </row>
    <row r="523" spans="1:10">
      <c r="A523" s="30"/>
      <c r="B523" s="31"/>
      <c r="C523" s="31"/>
      <c r="D523" s="58" t="s">
        <v>1250</v>
      </c>
      <c r="E523" s="59" t="s">
        <v>163</v>
      </c>
      <c r="F523" s="59" t="s">
        <v>163</v>
      </c>
      <c r="G523" s="59" t="s">
        <v>1251</v>
      </c>
      <c r="H523" s="59" t="s">
        <v>1252</v>
      </c>
      <c r="I523" s="59" t="s">
        <v>1152</v>
      </c>
      <c r="J523" s="30"/>
    </row>
    <row r="524" spans="1:10">
      <c r="A524" s="30"/>
      <c r="B524" s="31"/>
      <c r="C524" s="31"/>
      <c r="D524" s="58" t="s">
        <v>1253</v>
      </c>
      <c r="E524" s="59" t="s">
        <v>400</v>
      </c>
      <c r="F524" s="59" t="s">
        <v>1254</v>
      </c>
      <c r="G524" s="59" t="s">
        <v>1255</v>
      </c>
      <c r="H524" s="59" t="s">
        <v>1256</v>
      </c>
      <c r="I524" s="59" t="s">
        <v>1152</v>
      </c>
      <c r="J524" s="30"/>
    </row>
    <row r="525" spans="1:10">
      <c r="A525" s="30"/>
      <c r="B525" s="31"/>
      <c r="C525" s="31"/>
      <c r="D525" s="58" t="s">
        <v>1257</v>
      </c>
      <c r="E525" s="59" t="s">
        <v>400</v>
      </c>
      <c r="F525" s="57" t="s">
        <v>409</v>
      </c>
      <c r="G525" s="60" t="s">
        <v>1258</v>
      </c>
      <c r="H525" s="60" t="s">
        <v>1259</v>
      </c>
      <c r="I525" s="59">
        <v>200131</v>
      </c>
      <c r="J525" s="30"/>
    </row>
    <row r="526" spans="1:10" ht="25">
      <c r="A526" s="30"/>
      <c r="B526" s="31"/>
      <c r="C526" s="31"/>
      <c r="D526" s="58" t="s">
        <v>1260</v>
      </c>
      <c r="E526" s="59" t="s">
        <v>301</v>
      </c>
      <c r="F526" s="59" t="s">
        <v>302</v>
      </c>
      <c r="G526" s="59" t="s">
        <v>1261</v>
      </c>
      <c r="H526" s="59" t="s">
        <v>1262</v>
      </c>
      <c r="I526" s="59">
        <v>143080</v>
      </c>
      <c r="J526" s="30"/>
    </row>
    <row r="527" spans="1:10">
      <c r="A527" s="30"/>
      <c r="B527" s="31"/>
      <c r="C527" s="31"/>
      <c r="D527" s="58" t="s">
        <v>1263</v>
      </c>
      <c r="E527" s="59" t="s">
        <v>1152</v>
      </c>
      <c r="F527" s="59" t="s">
        <v>1152</v>
      </c>
      <c r="G527" s="59" t="s">
        <v>1152</v>
      </c>
      <c r="H527" s="59" t="s">
        <v>1152</v>
      </c>
      <c r="I527" s="59" t="s">
        <v>1152</v>
      </c>
      <c r="J527" s="30"/>
    </row>
    <row r="528" spans="1:10">
      <c r="A528" s="30"/>
      <c r="B528" s="31"/>
      <c r="C528" s="31"/>
      <c r="D528" s="58" t="s">
        <v>1264</v>
      </c>
      <c r="E528" s="59" t="s">
        <v>1152</v>
      </c>
      <c r="F528" s="59" t="s">
        <v>1152</v>
      </c>
      <c r="G528" s="59" t="s">
        <v>1152</v>
      </c>
      <c r="H528" s="59" t="s">
        <v>1152</v>
      </c>
      <c r="I528" s="59" t="s">
        <v>1152</v>
      </c>
      <c r="J528" s="30"/>
    </row>
    <row r="529" spans="1:10">
      <c r="A529" s="30"/>
      <c r="B529" s="31"/>
      <c r="C529" s="31"/>
      <c r="D529" s="58" t="s">
        <v>1265</v>
      </c>
      <c r="E529" s="59" t="s">
        <v>1152</v>
      </c>
      <c r="F529" s="59" t="s">
        <v>1152</v>
      </c>
      <c r="G529" s="59" t="s">
        <v>1152</v>
      </c>
      <c r="H529" s="59" t="s">
        <v>1152</v>
      </c>
      <c r="I529" s="59" t="s">
        <v>1152</v>
      </c>
      <c r="J529" s="30"/>
    </row>
    <row r="530" spans="1:10">
      <c r="A530" s="30"/>
      <c r="B530" s="31"/>
      <c r="C530" s="31"/>
      <c r="D530" s="58" t="s">
        <v>1266</v>
      </c>
      <c r="E530" s="59" t="s">
        <v>1152</v>
      </c>
      <c r="F530" s="59" t="s">
        <v>1152</v>
      </c>
      <c r="G530" s="59" t="s">
        <v>1152</v>
      </c>
      <c r="H530" s="59" t="s">
        <v>1152</v>
      </c>
      <c r="I530" s="59" t="s">
        <v>1152</v>
      </c>
      <c r="J530" s="30"/>
    </row>
    <row r="531" spans="1:10">
      <c r="A531" s="30"/>
      <c r="B531" s="31"/>
      <c r="C531" s="31"/>
      <c r="D531" s="58" t="s">
        <v>1267</v>
      </c>
      <c r="E531" s="59" t="s">
        <v>1152</v>
      </c>
      <c r="F531" s="59" t="s">
        <v>1152</v>
      </c>
      <c r="G531" s="59" t="s">
        <v>1152</v>
      </c>
      <c r="H531" s="59" t="s">
        <v>1152</v>
      </c>
      <c r="I531" s="59" t="s">
        <v>1152</v>
      </c>
      <c r="J531" s="30"/>
    </row>
    <row r="532" spans="1:10">
      <c r="A532" s="30"/>
      <c r="B532" s="31"/>
      <c r="C532" s="31"/>
      <c r="D532" s="58" t="s">
        <v>1268</v>
      </c>
      <c r="E532" s="59" t="s">
        <v>1269</v>
      </c>
      <c r="F532" s="59" t="s">
        <v>1270</v>
      </c>
      <c r="G532" s="59" t="s">
        <v>1271</v>
      </c>
      <c r="H532" s="59" t="s">
        <v>1272</v>
      </c>
      <c r="I532" s="59" t="s">
        <v>1152</v>
      </c>
      <c r="J532" s="30"/>
    </row>
    <row r="533" spans="1:10">
      <c r="A533" s="30"/>
      <c r="B533" s="31"/>
      <c r="C533" s="31"/>
      <c r="D533" s="58" t="s">
        <v>1273</v>
      </c>
      <c r="E533" s="59" t="s">
        <v>1274</v>
      </c>
      <c r="F533" s="59" t="s">
        <v>1275</v>
      </c>
      <c r="G533" s="59" t="s">
        <v>1276</v>
      </c>
      <c r="H533" s="59" t="s">
        <v>1277</v>
      </c>
      <c r="I533" s="59" t="s">
        <v>1152</v>
      </c>
      <c r="J533" s="30"/>
    </row>
    <row r="534" spans="1:10">
      <c r="A534" s="30"/>
      <c r="B534" s="31"/>
      <c r="C534" s="31"/>
      <c r="D534" s="58" t="s">
        <v>1278</v>
      </c>
      <c r="E534" s="59" t="s">
        <v>1152</v>
      </c>
      <c r="F534" s="59" t="s">
        <v>1152</v>
      </c>
      <c r="G534" s="59" t="s">
        <v>1152</v>
      </c>
      <c r="H534" s="59" t="s">
        <v>1152</v>
      </c>
      <c r="I534" s="59" t="s">
        <v>1152</v>
      </c>
      <c r="J534" s="30"/>
    </row>
    <row r="535" spans="1:10">
      <c r="A535" s="30"/>
      <c r="B535" s="31"/>
      <c r="C535" s="31"/>
      <c r="D535" s="58" t="s">
        <v>1279</v>
      </c>
      <c r="E535" s="59" t="s">
        <v>1152</v>
      </c>
      <c r="F535" s="59" t="s">
        <v>1152</v>
      </c>
      <c r="G535" s="59" t="s">
        <v>1152</v>
      </c>
      <c r="H535" s="59" t="s">
        <v>1152</v>
      </c>
      <c r="I535" s="59" t="s">
        <v>1152</v>
      </c>
      <c r="J535" s="30"/>
    </row>
    <row r="536" spans="1:10">
      <c r="A536" s="30"/>
      <c r="B536" s="31"/>
      <c r="C536" s="31"/>
      <c r="D536" s="58" t="s">
        <v>1280</v>
      </c>
      <c r="E536" s="59" t="s">
        <v>1152</v>
      </c>
      <c r="F536" s="59" t="s">
        <v>1152</v>
      </c>
      <c r="G536" s="59" t="s">
        <v>1152</v>
      </c>
      <c r="H536" s="59" t="s">
        <v>1152</v>
      </c>
      <c r="I536" s="59" t="s">
        <v>1152</v>
      </c>
      <c r="J536" s="30"/>
    </row>
    <row r="537" spans="1:10">
      <c r="A537" s="30"/>
      <c r="B537" s="31"/>
      <c r="C537" s="31"/>
      <c r="D537" s="58" t="s">
        <v>1281</v>
      </c>
      <c r="E537" s="59" t="s">
        <v>1152</v>
      </c>
      <c r="F537" s="59" t="s">
        <v>1152</v>
      </c>
      <c r="G537" s="59" t="s">
        <v>1152</v>
      </c>
      <c r="H537" s="59" t="s">
        <v>1152</v>
      </c>
      <c r="I537" s="59" t="s">
        <v>1152</v>
      </c>
      <c r="J537" s="30"/>
    </row>
    <row r="538" spans="1:10">
      <c r="A538" s="30"/>
      <c r="B538" s="31"/>
      <c r="C538" s="31"/>
      <c r="D538" s="58" t="s">
        <v>1282</v>
      </c>
      <c r="E538" s="59" t="s">
        <v>1152</v>
      </c>
      <c r="F538" s="59" t="s">
        <v>1152</v>
      </c>
      <c r="G538" s="59" t="s">
        <v>1152</v>
      </c>
      <c r="H538" s="59" t="s">
        <v>1152</v>
      </c>
      <c r="I538" s="59" t="s">
        <v>1152</v>
      </c>
      <c r="J538" s="30"/>
    </row>
    <row r="539" spans="1:10">
      <c r="A539" s="30"/>
      <c r="B539" s="31"/>
      <c r="C539" s="31"/>
      <c r="D539" s="58" t="s">
        <v>1283</v>
      </c>
      <c r="E539" s="59" t="s">
        <v>1152</v>
      </c>
      <c r="F539" s="59" t="s">
        <v>1152</v>
      </c>
      <c r="G539" s="59" t="s">
        <v>1152</v>
      </c>
      <c r="H539" s="59" t="s">
        <v>1152</v>
      </c>
      <c r="I539" s="59" t="s">
        <v>1152</v>
      </c>
      <c r="J539" s="30"/>
    </row>
    <row r="540" spans="1:10">
      <c r="A540" s="30"/>
      <c r="B540" s="31"/>
      <c r="C540" s="31"/>
      <c r="D540" s="58" t="s">
        <v>1284</v>
      </c>
      <c r="E540" s="59" t="s">
        <v>1152</v>
      </c>
      <c r="F540" s="59" t="s">
        <v>1152</v>
      </c>
      <c r="G540" s="59" t="s">
        <v>1152</v>
      </c>
      <c r="H540" s="59" t="s">
        <v>1152</v>
      </c>
      <c r="I540" s="59" t="s">
        <v>1152</v>
      </c>
      <c r="J540" s="30"/>
    </row>
    <row r="541" spans="1:10">
      <c r="A541" s="30"/>
      <c r="B541" s="31"/>
      <c r="C541" s="31"/>
      <c r="D541" s="58" t="s">
        <v>1285</v>
      </c>
      <c r="E541" s="59" t="s">
        <v>1152</v>
      </c>
      <c r="F541" s="59" t="s">
        <v>1152</v>
      </c>
      <c r="G541" s="59" t="s">
        <v>1152</v>
      </c>
      <c r="H541" s="59" t="s">
        <v>1152</v>
      </c>
      <c r="I541" s="59" t="s">
        <v>1152</v>
      </c>
      <c r="J541" s="30"/>
    </row>
    <row r="542" spans="1:10">
      <c r="A542" s="30"/>
      <c r="B542" s="31"/>
      <c r="C542" s="31"/>
      <c r="D542" s="58" t="s">
        <v>1286</v>
      </c>
      <c r="E542" s="59" t="s">
        <v>1152</v>
      </c>
      <c r="F542" s="59" t="s">
        <v>1152</v>
      </c>
      <c r="G542" s="59" t="s">
        <v>1152</v>
      </c>
      <c r="H542" s="59" t="s">
        <v>1152</v>
      </c>
      <c r="I542" s="59" t="s">
        <v>1152</v>
      </c>
      <c r="J542" s="30"/>
    </row>
    <row r="543" spans="1:10">
      <c r="A543" s="30"/>
      <c r="B543" s="31"/>
      <c r="C543" s="31"/>
      <c r="D543" s="58" t="s">
        <v>1287</v>
      </c>
      <c r="E543" s="59" t="s">
        <v>1152</v>
      </c>
      <c r="F543" s="59" t="s">
        <v>1152</v>
      </c>
      <c r="G543" s="59" t="s">
        <v>1152</v>
      </c>
      <c r="H543" s="59" t="s">
        <v>1152</v>
      </c>
      <c r="I543" s="59" t="s">
        <v>1152</v>
      </c>
      <c r="J543" s="30"/>
    </row>
    <row r="544" spans="1:10">
      <c r="A544" s="30"/>
      <c r="B544" s="31"/>
      <c r="C544" s="31"/>
      <c r="D544" s="58" t="s">
        <v>1288</v>
      </c>
      <c r="E544" s="59" t="s">
        <v>1152</v>
      </c>
      <c r="F544" s="59" t="s">
        <v>1152</v>
      </c>
      <c r="G544" s="59" t="s">
        <v>1152</v>
      </c>
      <c r="H544" s="59" t="s">
        <v>1152</v>
      </c>
      <c r="I544" s="59" t="s">
        <v>1152</v>
      </c>
      <c r="J544" s="30"/>
    </row>
    <row r="545" spans="1:10">
      <c r="A545" s="30"/>
      <c r="B545" s="31"/>
      <c r="C545" s="31"/>
      <c r="D545" s="58" t="s">
        <v>1289</v>
      </c>
      <c r="E545" s="59" t="s">
        <v>1152</v>
      </c>
      <c r="F545" s="59" t="s">
        <v>1152</v>
      </c>
      <c r="G545" s="59" t="s">
        <v>1152</v>
      </c>
      <c r="H545" s="59" t="s">
        <v>1152</v>
      </c>
      <c r="I545" s="59" t="s">
        <v>1152</v>
      </c>
      <c r="J545" s="30"/>
    </row>
    <row r="546" spans="1:10">
      <c r="A546" s="30"/>
      <c r="B546" s="31"/>
      <c r="C546" s="31"/>
      <c r="D546" s="58" t="s">
        <v>1290</v>
      </c>
      <c r="E546" s="59" t="s">
        <v>1152</v>
      </c>
      <c r="F546" s="59" t="s">
        <v>1152</v>
      </c>
      <c r="G546" s="59" t="s">
        <v>1152</v>
      </c>
      <c r="H546" s="59" t="s">
        <v>1152</v>
      </c>
      <c r="I546" s="59" t="s">
        <v>1152</v>
      </c>
      <c r="J546" s="30"/>
    </row>
    <row r="547" spans="1:10">
      <c r="A547" s="30"/>
      <c r="B547" s="31"/>
      <c r="C547" s="31"/>
      <c r="D547" s="58" t="s">
        <v>1291</v>
      </c>
      <c r="E547" s="59" t="s">
        <v>1152</v>
      </c>
      <c r="F547" s="59" t="s">
        <v>1152</v>
      </c>
      <c r="G547" s="59" t="s">
        <v>1152</v>
      </c>
      <c r="H547" s="59" t="s">
        <v>1152</v>
      </c>
      <c r="I547" s="59" t="s">
        <v>1152</v>
      </c>
      <c r="J547" s="30"/>
    </row>
    <row r="548" spans="1:10">
      <c r="A548" s="30"/>
      <c r="B548" s="31"/>
      <c r="C548" s="31"/>
      <c r="D548" s="58" t="s">
        <v>1292</v>
      </c>
      <c r="E548" s="59" t="s">
        <v>1152</v>
      </c>
      <c r="F548" s="59" t="s">
        <v>1152</v>
      </c>
      <c r="G548" s="59" t="s">
        <v>1152</v>
      </c>
      <c r="H548" s="59" t="s">
        <v>1152</v>
      </c>
      <c r="I548" s="59" t="s">
        <v>1152</v>
      </c>
      <c r="J548" s="30"/>
    </row>
    <row r="549" spans="1:10">
      <c r="A549" s="30"/>
      <c r="B549" s="31"/>
      <c r="C549" s="31"/>
      <c r="D549" s="58" t="s">
        <v>1293</v>
      </c>
      <c r="E549" s="59" t="s">
        <v>1152</v>
      </c>
      <c r="F549" s="59" t="s">
        <v>1152</v>
      </c>
      <c r="G549" s="59" t="s">
        <v>1152</v>
      </c>
      <c r="H549" s="59" t="s">
        <v>1152</v>
      </c>
      <c r="I549" s="59" t="s">
        <v>1152</v>
      </c>
      <c r="J549" s="30"/>
    </row>
    <row r="550" spans="1:10">
      <c r="A550" s="30"/>
      <c r="B550" s="31"/>
      <c r="C550" s="31"/>
      <c r="D550" s="58" t="s">
        <v>1294</v>
      </c>
      <c r="E550" s="59" t="s">
        <v>1152</v>
      </c>
      <c r="F550" s="59" t="s">
        <v>1152</v>
      </c>
      <c r="G550" s="59" t="s">
        <v>1152</v>
      </c>
      <c r="H550" s="59" t="s">
        <v>1152</v>
      </c>
      <c r="I550" s="59" t="s">
        <v>1152</v>
      </c>
      <c r="J550" s="30"/>
    </row>
    <row r="551" spans="1:10">
      <c r="A551" s="30"/>
      <c r="B551" s="31"/>
      <c r="C551" s="31"/>
      <c r="D551" s="58" t="s">
        <v>1295</v>
      </c>
      <c r="E551" s="59" t="s">
        <v>1152</v>
      </c>
      <c r="F551" s="59" t="s">
        <v>1152</v>
      </c>
      <c r="G551" s="59" t="s">
        <v>1152</v>
      </c>
      <c r="H551" s="59" t="s">
        <v>1152</v>
      </c>
      <c r="I551" s="59" t="s">
        <v>1152</v>
      </c>
      <c r="J551" s="30"/>
    </row>
    <row r="552" spans="1:10">
      <c r="A552" s="30"/>
      <c r="B552" s="31"/>
      <c r="C552" s="31"/>
      <c r="D552" s="58" t="s">
        <v>1296</v>
      </c>
      <c r="E552" s="59" t="s">
        <v>1152</v>
      </c>
      <c r="F552" s="59" t="s">
        <v>1152</v>
      </c>
      <c r="G552" s="59" t="s">
        <v>1152</v>
      </c>
      <c r="H552" s="59" t="s">
        <v>1152</v>
      </c>
      <c r="I552" s="59" t="s">
        <v>1152</v>
      </c>
      <c r="J552" s="30"/>
    </row>
    <row r="553" spans="1:10">
      <c r="A553" s="30"/>
      <c r="B553" s="31"/>
      <c r="C553" s="31"/>
      <c r="D553" s="58" t="s">
        <v>1297</v>
      </c>
      <c r="E553" s="59" t="s">
        <v>1152</v>
      </c>
      <c r="F553" s="59" t="s">
        <v>1152</v>
      </c>
      <c r="G553" s="59" t="s">
        <v>1152</v>
      </c>
      <c r="H553" s="59" t="s">
        <v>1152</v>
      </c>
      <c r="I553" s="59" t="s">
        <v>1152</v>
      </c>
      <c r="J553" s="30"/>
    </row>
    <row r="554" spans="1:10">
      <c r="A554" s="30"/>
      <c r="B554" s="31"/>
      <c r="C554" s="31"/>
      <c r="D554" s="58" t="s">
        <v>1297</v>
      </c>
      <c r="E554" s="59" t="s">
        <v>1152</v>
      </c>
      <c r="F554" s="59" t="s">
        <v>1152</v>
      </c>
      <c r="G554" s="59" t="s">
        <v>1152</v>
      </c>
      <c r="H554" s="59" t="s">
        <v>1152</v>
      </c>
      <c r="I554" s="59" t="s">
        <v>1152</v>
      </c>
      <c r="J554" s="30"/>
    </row>
    <row r="555" spans="1:10">
      <c r="A555" s="30"/>
      <c r="B555" s="31"/>
      <c r="C555" s="31"/>
      <c r="D555" s="58" t="s">
        <v>1298</v>
      </c>
      <c r="E555" s="59" t="s">
        <v>1152</v>
      </c>
      <c r="F555" s="59" t="s">
        <v>1152</v>
      </c>
      <c r="G555" s="59" t="s">
        <v>1152</v>
      </c>
      <c r="H555" s="59" t="s">
        <v>1152</v>
      </c>
      <c r="I555" s="59" t="s">
        <v>1152</v>
      </c>
      <c r="J555" s="30"/>
    </row>
    <row r="556" spans="1:10">
      <c r="A556" s="30"/>
      <c r="B556" s="31"/>
      <c r="C556" s="31"/>
      <c r="D556" s="58" t="s">
        <v>1299</v>
      </c>
      <c r="E556" s="59" t="s">
        <v>1152</v>
      </c>
      <c r="F556" s="59" t="s">
        <v>1152</v>
      </c>
      <c r="G556" s="59" t="s">
        <v>1152</v>
      </c>
      <c r="H556" s="59" t="s">
        <v>1152</v>
      </c>
      <c r="I556" s="59" t="s">
        <v>1152</v>
      </c>
      <c r="J556" s="30"/>
    </row>
    <row r="557" spans="1:10">
      <c r="A557" s="30"/>
      <c r="B557" s="31"/>
      <c r="C557" s="31"/>
      <c r="D557" s="58" t="s">
        <v>1300</v>
      </c>
      <c r="E557" s="59" t="s">
        <v>1152</v>
      </c>
      <c r="F557" s="59" t="s">
        <v>1152</v>
      </c>
      <c r="G557" s="59" t="s">
        <v>1152</v>
      </c>
      <c r="H557" s="59" t="s">
        <v>1152</v>
      </c>
      <c r="I557" s="59" t="s">
        <v>1152</v>
      </c>
      <c r="J557" s="30"/>
    </row>
    <row r="558" spans="1:10">
      <c r="A558" s="30"/>
      <c r="B558" s="31"/>
      <c r="C558" s="31"/>
      <c r="D558" s="58" t="s">
        <v>1301</v>
      </c>
      <c r="E558" s="59" t="s">
        <v>1152</v>
      </c>
      <c r="F558" s="59" t="s">
        <v>1152</v>
      </c>
      <c r="G558" s="59" t="s">
        <v>1152</v>
      </c>
      <c r="H558" s="59" t="s">
        <v>1152</v>
      </c>
      <c r="I558" s="59" t="s">
        <v>1152</v>
      </c>
      <c r="J558" s="30"/>
    </row>
    <row r="559" spans="1:10">
      <c r="A559" s="30"/>
      <c r="B559" s="31"/>
      <c r="C559" s="31"/>
      <c r="D559" s="58" t="s">
        <v>1302</v>
      </c>
      <c r="E559" s="59" t="s">
        <v>1152</v>
      </c>
      <c r="F559" s="59" t="s">
        <v>1152</v>
      </c>
      <c r="G559" s="59" t="s">
        <v>1152</v>
      </c>
      <c r="H559" s="59" t="s">
        <v>1152</v>
      </c>
      <c r="I559" s="59" t="s">
        <v>1152</v>
      </c>
      <c r="J559" s="30"/>
    </row>
    <row r="560" spans="1:10">
      <c r="A560" s="30"/>
      <c r="B560" s="31"/>
      <c r="C560" s="31"/>
      <c r="D560" s="58" t="s">
        <v>1303</v>
      </c>
      <c r="E560" s="59" t="s">
        <v>1152</v>
      </c>
      <c r="F560" s="59" t="s">
        <v>1152</v>
      </c>
      <c r="G560" s="59" t="s">
        <v>1152</v>
      </c>
      <c r="H560" s="59" t="s">
        <v>1152</v>
      </c>
      <c r="I560" s="59" t="s">
        <v>1152</v>
      </c>
      <c r="J560" s="30"/>
    </row>
    <row r="561" spans="1:10">
      <c r="A561" s="30"/>
      <c r="B561" s="31"/>
      <c r="C561" s="31"/>
      <c r="D561" s="58" t="s">
        <v>1304</v>
      </c>
      <c r="E561" s="59" t="s">
        <v>1152</v>
      </c>
      <c r="F561" s="59" t="s">
        <v>1152</v>
      </c>
      <c r="G561" s="59" t="s">
        <v>1152</v>
      </c>
      <c r="H561" s="59" t="s">
        <v>1152</v>
      </c>
      <c r="I561" s="59" t="s">
        <v>1152</v>
      </c>
      <c r="J561" s="30"/>
    </row>
    <row r="562" spans="1:10">
      <c r="A562" s="30"/>
      <c r="B562" s="31"/>
      <c r="C562" s="31"/>
      <c r="D562" s="58" t="s">
        <v>1305</v>
      </c>
      <c r="E562" s="59" t="s">
        <v>1152</v>
      </c>
      <c r="F562" s="59" t="s">
        <v>1152</v>
      </c>
      <c r="G562" s="59" t="s">
        <v>1152</v>
      </c>
      <c r="H562" s="59" t="s">
        <v>1152</v>
      </c>
      <c r="I562" s="59" t="s">
        <v>1152</v>
      </c>
      <c r="J562" s="30"/>
    </row>
    <row r="563" spans="1:10">
      <c r="A563" s="30"/>
      <c r="B563" s="31"/>
      <c r="C563" s="31"/>
      <c r="D563" s="58" t="s">
        <v>1306</v>
      </c>
      <c r="E563" s="59" t="s">
        <v>1152</v>
      </c>
      <c r="F563" s="59" t="s">
        <v>1152</v>
      </c>
      <c r="G563" s="59" t="s">
        <v>1152</v>
      </c>
      <c r="H563" s="59" t="s">
        <v>1152</v>
      </c>
      <c r="I563" s="59" t="s">
        <v>1152</v>
      </c>
      <c r="J563" s="30"/>
    </row>
    <row r="564" spans="1:10">
      <c r="A564" s="30"/>
      <c r="B564" s="31"/>
      <c r="C564" s="31"/>
      <c r="D564" s="58" t="s">
        <v>1307</v>
      </c>
      <c r="E564" s="59" t="s">
        <v>1152</v>
      </c>
      <c r="F564" s="59" t="s">
        <v>1152</v>
      </c>
      <c r="G564" s="59" t="s">
        <v>1152</v>
      </c>
      <c r="H564" s="59" t="s">
        <v>1152</v>
      </c>
      <c r="I564" s="59" t="s">
        <v>1152</v>
      </c>
      <c r="J564" s="30"/>
    </row>
    <row r="565" spans="1:10">
      <c r="A565" s="30"/>
      <c r="B565" s="31"/>
      <c r="C565" s="31"/>
      <c r="D565" s="58" t="s">
        <v>1308</v>
      </c>
      <c r="E565" s="59" t="s">
        <v>1152</v>
      </c>
      <c r="F565" s="59" t="s">
        <v>1152</v>
      </c>
      <c r="G565" s="59" t="s">
        <v>1152</v>
      </c>
      <c r="H565" s="59" t="s">
        <v>1152</v>
      </c>
      <c r="I565" s="59" t="s">
        <v>1152</v>
      </c>
      <c r="J565" s="30"/>
    </row>
    <row r="566" spans="1:10">
      <c r="A566" s="30"/>
      <c r="B566" s="31"/>
      <c r="C566" s="31"/>
      <c r="D566" s="58" t="s">
        <v>1309</v>
      </c>
      <c r="E566" s="59" t="s">
        <v>1152</v>
      </c>
      <c r="F566" s="59" t="s">
        <v>1152</v>
      </c>
      <c r="G566" s="59" t="s">
        <v>1152</v>
      </c>
      <c r="H566" s="59" t="s">
        <v>1152</v>
      </c>
      <c r="I566" s="59" t="s">
        <v>1152</v>
      </c>
      <c r="J566" s="30"/>
    </row>
    <row r="567" spans="1:10">
      <c r="A567" s="30"/>
      <c r="B567" s="31"/>
      <c r="C567" s="31"/>
      <c r="D567" s="58" t="s">
        <v>1310</v>
      </c>
      <c r="E567" s="59" t="s">
        <v>1152</v>
      </c>
      <c r="F567" s="59" t="s">
        <v>1152</v>
      </c>
      <c r="G567" s="59" t="s">
        <v>1152</v>
      </c>
      <c r="H567" s="59" t="s">
        <v>1152</v>
      </c>
      <c r="I567" s="59" t="s">
        <v>1152</v>
      </c>
      <c r="J567" s="30"/>
    </row>
    <row r="568" spans="1:10">
      <c r="A568" s="30"/>
      <c r="B568" s="31"/>
      <c r="C568" s="31"/>
      <c r="D568" s="58" t="s">
        <v>1311</v>
      </c>
      <c r="E568" s="59" t="s">
        <v>1152</v>
      </c>
      <c r="F568" s="59" t="s">
        <v>1152</v>
      </c>
      <c r="G568" s="59" t="s">
        <v>1152</v>
      </c>
      <c r="H568" s="59" t="s">
        <v>1152</v>
      </c>
      <c r="I568" s="59" t="s">
        <v>1152</v>
      </c>
      <c r="J568" s="30"/>
    </row>
    <row r="569" spans="1:10">
      <c r="A569" s="30"/>
      <c r="B569" s="31"/>
      <c r="C569" s="31"/>
      <c r="D569" s="58" t="s">
        <v>1312</v>
      </c>
      <c r="E569" s="59" t="s">
        <v>1152</v>
      </c>
      <c r="F569" s="59" t="s">
        <v>1152</v>
      </c>
      <c r="G569" s="59" t="s">
        <v>1152</v>
      </c>
      <c r="H569" s="59" t="s">
        <v>1152</v>
      </c>
      <c r="I569" s="59" t="s">
        <v>1152</v>
      </c>
      <c r="J569" s="30"/>
    </row>
    <row r="570" spans="1:10">
      <c r="A570" s="30"/>
      <c r="B570" s="31"/>
      <c r="C570" s="31"/>
      <c r="D570" s="58" t="s">
        <v>1313</v>
      </c>
      <c r="E570" s="59" t="s">
        <v>1152</v>
      </c>
      <c r="F570" s="59" t="s">
        <v>1152</v>
      </c>
      <c r="G570" s="59" t="s">
        <v>1152</v>
      </c>
      <c r="H570" s="59" t="s">
        <v>1152</v>
      </c>
      <c r="I570" s="59" t="s">
        <v>1152</v>
      </c>
      <c r="J570" s="30"/>
    </row>
    <row r="571" spans="1:10">
      <c r="A571" s="30"/>
      <c r="B571" s="31"/>
      <c r="C571" s="31"/>
      <c r="D571" s="58" t="s">
        <v>1314</v>
      </c>
      <c r="E571" s="59" t="s">
        <v>1152</v>
      </c>
      <c r="F571" s="59" t="s">
        <v>1152</v>
      </c>
      <c r="G571" s="59" t="s">
        <v>1152</v>
      </c>
      <c r="H571" s="59" t="s">
        <v>1152</v>
      </c>
      <c r="I571" s="59" t="s">
        <v>1152</v>
      </c>
      <c r="J571" s="30"/>
    </row>
    <row r="572" spans="1:10">
      <c r="A572" s="30"/>
      <c r="B572" s="31"/>
      <c r="C572" s="31"/>
      <c r="D572" s="58" t="s">
        <v>1315</v>
      </c>
      <c r="E572" s="59" t="s">
        <v>1152</v>
      </c>
      <c r="F572" s="59" t="s">
        <v>1152</v>
      </c>
      <c r="G572" s="59" t="s">
        <v>1152</v>
      </c>
      <c r="H572" s="59" t="s">
        <v>1152</v>
      </c>
      <c r="I572" s="59" t="s">
        <v>1152</v>
      </c>
      <c r="J572" s="30"/>
    </row>
    <row r="573" spans="1:10">
      <c r="A573" s="30"/>
      <c r="B573" s="31"/>
      <c r="C573" s="31"/>
      <c r="D573" s="58" t="s">
        <v>1316</v>
      </c>
      <c r="E573" s="59" t="s">
        <v>1152</v>
      </c>
      <c r="F573" s="59" t="s">
        <v>1152</v>
      </c>
      <c r="G573" s="59" t="s">
        <v>1152</v>
      </c>
      <c r="H573" s="59" t="s">
        <v>1152</v>
      </c>
      <c r="I573" s="59" t="s">
        <v>1152</v>
      </c>
      <c r="J573" s="30"/>
    </row>
    <row r="574" spans="1:10">
      <c r="A574" s="30"/>
      <c r="B574" s="31"/>
      <c r="C574" s="31"/>
      <c r="D574" s="58" t="s">
        <v>1317</v>
      </c>
      <c r="E574" s="59" t="s">
        <v>1152</v>
      </c>
      <c r="F574" s="59" t="s">
        <v>1152</v>
      </c>
      <c r="G574" s="59" t="s">
        <v>1152</v>
      </c>
      <c r="H574" s="59" t="s">
        <v>1152</v>
      </c>
      <c r="I574" s="59" t="s">
        <v>1152</v>
      </c>
      <c r="J574" s="30"/>
    </row>
    <row r="575" spans="1:10">
      <c r="A575" s="30"/>
      <c r="B575" s="31"/>
      <c r="C575" s="31"/>
      <c r="D575" s="58" t="s">
        <v>1318</v>
      </c>
      <c r="E575" s="59" t="s">
        <v>1152</v>
      </c>
      <c r="F575" s="59" t="s">
        <v>1152</v>
      </c>
      <c r="G575" s="59" t="s">
        <v>1152</v>
      </c>
      <c r="H575" s="59" t="s">
        <v>1152</v>
      </c>
      <c r="I575" s="59" t="s">
        <v>1152</v>
      </c>
      <c r="J575" s="30"/>
    </row>
    <row r="576" spans="1:10">
      <c r="A576" s="30"/>
      <c r="B576" s="31"/>
      <c r="C576" s="31"/>
      <c r="D576" s="58" t="s">
        <v>1319</v>
      </c>
      <c r="E576" s="59" t="s">
        <v>1152</v>
      </c>
      <c r="F576" s="59" t="s">
        <v>1152</v>
      </c>
      <c r="G576" s="59" t="s">
        <v>1152</v>
      </c>
      <c r="H576" s="59" t="s">
        <v>1152</v>
      </c>
      <c r="I576" s="59" t="s">
        <v>1152</v>
      </c>
      <c r="J576" s="30"/>
    </row>
    <row r="577" spans="1:10">
      <c r="A577" s="30"/>
      <c r="B577" s="31"/>
      <c r="C577" s="31"/>
      <c r="D577" s="58" t="s">
        <v>1320</v>
      </c>
      <c r="E577" s="59" t="s">
        <v>1152</v>
      </c>
      <c r="F577" s="59" t="s">
        <v>1152</v>
      </c>
      <c r="G577" s="59" t="s">
        <v>1152</v>
      </c>
      <c r="H577" s="59" t="s">
        <v>1152</v>
      </c>
      <c r="I577" s="59" t="s">
        <v>1152</v>
      </c>
      <c r="J577" s="30"/>
    </row>
    <row r="578" spans="1:10">
      <c r="A578" s="30"/>
      <c r="B578" s="31"/>
      <c r="C578" s="31"/>
      <c r="D578" s="58" t="s">
        <v>1321</v>
      </c>
      <c r="E578" s="59" t="s">
        <v>1152</v>
      </c>
      <c r="F578" s="59" t="s">
        <v>1152</v>
      </c>
      <c r="G578" s="59" t="s">
        <v>1152</v>
      </c>
      <c r="H578" s="59" t="s">
        <v>1152</v>
      </c>
      <c r="I578" s="59" t="s">
        <v>1152</v>
      </c>
      <c r="J578" s="30"/>
    </row>
    <row r="579" spans="1:10">
      <c r="A579" s="30"/>
      <c r="B579" s="31"/>
      <c r="C579" s="31"/>
      <c r="D579" s="58" t="s">
        <v>1322</v>
      </c>
      <c r="E579" s="59" t="s">
        <v>1152</v>
      </c>
      <c r="F579" s="59" t="s">
        <v>1152</v>
      </c>
      <c r="G579" s="59" t="s">
        <v>1152</v>
      </c>
      <c r="H579" s="59" t="s">
        <v>1152</v>
      </c>
      <c r="I579" s="59" t="s">
        <v>1152</v>
      </c>
      <c r="J579" s="30"/>
    </row>
    <row r="580" spans="1:10">
      <c r="A580" s="30"/>
      <c r="B580" s="31"/>
      <c r="C580" s="31"/>
      <c r="D580" s="58" t="s">
        <v>1323</v>
      </c>
      <c r="E580" s="59" t="s">
        <v>1152</v>
      </c>
      <c r="F580" s="59" t="s">
        <v>1152</v>
      </c>
      <c r="G580" s="59" t="s">
        <v>1152</v>
      </c>
      <c r="H580" s="59" t="s">
        <v>1152</v>
      </c>
      <c r="I580" s="59" t="s">
        <v>1152</v>
      </c>
      <c r="J580" s="30"/>
    </row>
    <row r="581" spans="1:10">
      <c r="A581" s="30"/>
      <c r="B581" s="31"/>
      <c r="C581" s="31"/>
      <c r="D581" s="58" t="s">
        <v>1324</v>
      </c>
      <c r="E581" s="59" t="s">
        <v>1152</v>
      </c>
      <c r="F581" s="59" t="s">
        <v>1152</v>
      </c>
      <c r="G581" s="59" t="s">
        <v>1152</v>
      </c>
      <c r="H581" s="59" t="s">
        <v>1152</v>
      </c>
      <c r="I581" s="59" t="s">
        <v>1152</v>
      </c>
      <c r="J581" s="30"/>
    </row>
    <row r="582" spans="1:10">
      <c r="A582" s="30"/>
      <c r="B582" s="31"/>
      <c r="C582" s="31"/>
      <c r="D582" s="58" t="s">
        <v>1325</v>
      </c>
      <c r="E582" s="59" t="s">
        <v>1152</v>
      </c>
      <c r="F582" s="59" t="s">
        <v>1152</v>
      </c>
      <c r="G582" s="59" t="s">
        <v>1152</v>
      </c>
      <c r="H582" s="59" t="s">
        <v>1152</v>
      </c>
      <c r="I582" s="59" t="s">
        <v>1152</v>
      </c>
      <c r="J582" s="30"/>
    </row>
    <row r="583" spans="1:10">
      <c r="A583" s="30"/>
      <c r="B583" s="31"/>
      <c r="C583" s="31"/>
      <c r="D583" s="58" t="s">
        <v>1326</v>
      </c>
      <c r="E583" s="59" t="s">
        <v>1152</v>
      </c>
      <c r="F583" s="59" t="s">
        <v>1152</v>
      </c>
      <c r="G583" s="59" t="s">
        <v>1152</v>
      </c>
      <c r="H583" s="59" t="s">
        <v>1152</v>
      </c>
      <c r="I583" s="59" t="s">
        <v>1152</v>
      </c>
      <c r="J583" s="30"/>
    </row>
    <row r="584" spans="1:10">
      <c r="A584" s="30"/>
      <c r="B584" s="31"/>
      <c r="C584" s="31"/>
      <c r="D584" s="58" t="s">
        <v>1327</v>
      </c>
      <c r="E584" s="59" t="s">
        <v>1152</v>
      </c>
      <c r="F584" s="59" t="s">
        <v>1152</v>
      </c>
      <c r="G584" s="59" t="s">
        <v>1152</v>
      </c>
      <c r="H584" s="59" t="s">
        <v>1152</v>
      </c>
      <c r="I584" s="59" t="s">
        <v>1152</v>
      </c>
      <c r="J584" s="30"/>
    </row>
    <row r="585" spans="1:10">
      <c r="A585" s="30"/>
      <c r="B585" s="31"/>
      <c r="C585" s="31"/>
      <c r="D585" s="58" t="s">
        <v>1328</v>
      </c>
      <c r="E585" s="59" t="s">
        <v>1152</v>
      </c>
      <c r="F585" s="59" t="s">
        <v>1152</v>
      </c>
      <c r="G585" s="59" t="s">
        <v>1152</v>
      </c>
      <c r="H585" s="59" t="s">
        <v>1152</v>
      </c>
      <c r="I585" s="59" t="s">
        <v>1152</v>
      </c>
      <c r="J585" s="30"/>
    </row>
    <row r="586" spans="1:10">
      <c r="A586" s="30"/>
      <c r="B586" s="31"/>
      <c r="C586" s="31"/>
      <c r="D586" s="58" t="s">
        <v>1329</v>
      </c>
      <c r="E586" s="59" t="s">
        <v>1152</v>
      </c>
      <c r="F586" s="59" t="s">
        <v>1152</v>
      </c>
      <c r="G586" s="59" t="s">
        <v>1152</v>
      </c>
      <c r="H586" s="59" t="s">
        <v>1152</v>
      </c>
      <c r="I586" s="59" t="s">
        <v>1152</v>
      </c>
      <c r="J586" s="30"/>
    </row>
    <row r="587" spans="1:10">
      <c r="A587" s="30"/>
      <c r="B587" s="31"/>
      <c r="C587" s="31"/>
      <c r="D587" s="58" t="s">
        <v>1330</v>
      </c>
      <c r="E587" s="59" t="s">
        <v>1152</v>
      </c>
      <c r="F587" s="59" t="s">
        <v>1152</v>
      </c>
      <c r="G587" s="59" t="s">
        <v>1152</v>
      </c>
      <c r="H587" s="59" t="s">
        <v>1152</v>
      </c>
      <c r="I587" s="59" t="s">
        <v>1152</v>
      </c>
      <c r="J587" s="30"/>
    </row>
    <row r="588" spans="1:10">
      <c r="A588" s="30"/>
      <c r="B588" s="31"/>
      <c r="C588" s="31"/>
      <c r="D588" s="58" t="s">
        <v>1331</v>
      </c>
      <c r="E588" s="59" t="s">
        <v>1152</v>
      </c>
      <c r="F588" s="59" t="s">
        <v>1152</v>
      </c>
      <c r="G588" s="59" t="s">
        <v>1152</v>
      </c>
      <c r="H588" s="59" t="s">
        <v>1152</v>
      </c>
      <c r="I588" s="59" t="s">
        <v>1152</v>
      </c>
      <c r="J588" s="30"/>
    </row>
    <row r="589" spans="1:10">
      <c r="A589" s="30"/>
      <c r="B589" s="31"/>
      <c r="C589" s="31"/>
      <c r="D589" s="58" t="s">
        <v>1332</v>
      </c>
      <c r="E589" s="59" t="s">
        <v>1152</v>
      </c>
      <c r="F589" s="59" t="s">
        <v>1152</v>
      </c>
      <c r="G589" s="59" t="s">
        <v>1152</v>
      </c>
      <c r="H589" s="59" t="s">
        <v>1152</v>
      </c>
      <c r="I589" s="59" t="s">
        <v>1152</v>
      </c>
      <c r="J589" s="30"/>
    </row>
    <row r="590" spans="1:10">
      <c r="A590" s="30"/>
      <c r="B590" s="31"/>
      <c r="C590" s="31"/>
      <c r="D590" s="58" t="s">
        <v>1333</v>
      </c>
      <c r="E590" s="59" t="s">
        <v>1152</v>
      </c>
      <c r="F590" s="59" t="s">
        <v>1152</v>
      </c>
      <c r="G590" s="59" t="s">
        <v>1152</v>
      </c>
      <c r="H590" s="59" t="s">
        <v>1152</v>
      </c>
      <c r="I590" s="59" t="s">
        <v>1152</v>
      </c>
      <c r="J590" s="30"/>
    </row>
    <row r="591" spans="1:10">
      <c r="A591" s="30"/>
      <c r="B591" s="31"/>
      <c r="C591" s="31"/>
      <c r="D591" s="58" t="s">
        <v>1333</v>
      </c>
      <c r="E591" s="59" t="s">
        <v>1152</v>
      </c>
      <c r="F591" s="59" t="s">
        <v>1152</v>
      </c>
      <c r="G591" s="59" t="s">
        <v>1152</v>
      </c>
      <c r="H591" s="59" t="s">
        <v>1152</v>
      </c>
      <c r="I591" s="59" t="s">
        <v>1152</v>
      </c>
      <c r="J591" s="30"/>
    </row>
    <row r="592" spans="1:10">
      <c r="A592" s="30"/>
      <c r="B592" s="31"/>
      <c r="C592" s="31"/>
      <c r="D592" s="58" t="s">
        <v>1334</v>
      </c>
      <c r="E592" s="59" t="s">
        <v>1152</v>
      </c>
      <c r="F592" s="59" t="s">
        <v>1152</v>
      </c>
      <c r="G592" s="59" t="s">
        <v>1152</v>
      </c>
      <c r="H592" s="59" t="s">
        <v>1152</v>
      </c>
      <c r="I592" s="59" t="s">
        <v>1152</v>
      </c>
      <c r="J592" s="30"/>
    </row>
    <row r="593" spans="1:10">
      <c r="A593" s="30"/>
      <c r="B593" s="31"/>
      <c r="C593" s="31"/>
      <c r="D593" s="58" t="s">
        <v>1335</v>
      </c>
      <c r="E593" s="59" t="s">
        <v>1152</v>
      </c>
      <c r="F593" s="59" t="s">
        <v>1152</v>
      </c>
      <c r="G593" s="59" t="s">
        <v>1152</v>
      </c>
      <c r="H593" s="59" t="s">
        <v>1152</v>
      </c>
      <c r="I593" s="59" t="s">
        <v>1152</v>
      </c>
      <c r="J593" s="30"/>
    </row>
    <row r="594" spans="1:10">
      <c r="A594" s="30"/>
      <c r="B594" s="31"/>
      <c r="C594" s="31"/>
      <c r="D594" s="58" t="s">
        <v>1336</v>
      </c>
      <c r="E594" s="59" t="s">
        <v>1152</v>
      </c>
      <c r="F594" s="59" t="s">
        <v>1152</v>
      </c>
      <c r="G594" s="59" t="s">
        <v>1152</v>
      </c>
      <c r="H594" s="59" t="s">
        <v>1152</v>
      </c>
      <c r="I594" s="59" t="s">
        <v>1152</v>
      </c>
      <c r="J594" s="30"/>
    </row>
    <row r="595" spans="1:10">
      <c r="A595" s="30"/>
      <c r="B595" s="31"/>
      <c r="C595" s="31"/>
      <c r="D595" s="58" t="s">
        <v>1337</v>
      </c>
      <c r="E595" s="59" t="s">
        <v>1152</v>
      </c>
      <c r="F595" s="59" t="s">
        <v>1152</v>
      </c>
      <c r="G595" s="59" t="s">
        <v>1152</v>
      </c>
      <c r="H595" s="59" t="s">
        <v>1152</v>
      </c>
      <c r="I595" s="59" t="s">
        <v>1152</v>
      </c>
      <c r="J595" s="30"/>
    </row>
    <row r="596" spans="1:10">
      <c r="A596" s="30"/>
      <c r="B596" s="31"/>
      <c r="C596" s="31"/>
      <c r="D596" s="58" t="s">
        <v>1338</v>
      </c>
      <c r="E596" s="59" t="s">
        <v>1152</v>
      </c>
      <c r="F596" s="59" t="s">
        <v>1152</v>
      </c>
      <c r="G596" s="59" t="s">
        <v>1152</v>
      </c>
      <c r="H596" s="59" t="s">
        <v>1152</v>
      </c>
      <c r="I596" s="59" t="s">
        <v>1152</v>
      </c>
      <c r="J596" s="30"/>
    </row>
    <row r="597" spans="1:10">
      <c r="A597" s="30"/>
      <c r="B597" s="31"/>
      <c r="C597" s="31"/>
      <c r="D597" s="58" t="s">
        <v>1339</v>
      </c>
      <c r="E597" s="59" t="s">
        <v>1152</v>
      </c>
      <c r="F597" s="59" t="s">
        <v>1152</v>
      </c>
      <c r="G597" s="59" t="s">
        <v>1152</v>
      </c>
      <c r="H597" s="59" t="s">
        <v>1152</v>
      </c>
      <c r="I597" s="59" t="s">
        <v>1152</v>
      </c>
      <c r="J597" s="30"/>
    </row>
    <row r="598" spans="1:10">
      <c r="A598" s="30"/>
      <c r="B598" s="31"/>
      <c r="C598" s="31"/>
      <c r="D598" s="58" t="s">
        <v>1340</v>
      </c>
      <c r="E598" s="59" t="s">
        <v>1152</v>
      </c>
      <c r="F598" s="59" t="s">
        <v>1152</v>
      </c>
      <c r="G598" s="59" t="s">
        <v>1152</v>
      </c>
      <c r="H598" s="59" t="s">
        <v>1152</v>
      </c>
      <c r="I598" s="59" t="s">
        <v>1152</v>
      </c>
      <c r="J598" s="30"/>
    </row>
    <row r="599" spans="1:10">
      <c r="A599" s="30"/>
      <c r="B599" s="31"/>
      <c r="C599" s="31"/>
      <c r="D599" s="58" t="s">
        <v>1341</v>
      </c>
      <c r="E599" s="59" t="s">
        <v>1152</v>
      </c>
      <c r="F599" s="59" t="s">
        <v>1152</v>
      </c>
      <c r="G599" s="59" t="s">
        <v>1152</v>
      </c>
      <c r="H599" s="59" t="s">
        <v>1152</v>
      </c>
      <c r="I599" s="59" t="s">
        <v>1152</v>
      </c>
      <c r="J599" s="30"/>
    </row>
    <row r="600" spans="1:10">
      <c r="A600" s="30"/>
      <c r="B600" s="31"/>
      <c r="C600" s="31"/>
      <c r="D600" s="58" t="s">
        <v>1342</v>
      </c>
      <c r="E600" s="59" t="s">
        <v>1152</v>
      </c>
      <c r="F600" s="59" t="s">
        <v>1152</v>
      </c>
      <c r="G600" s="59" t="s">
        <v>1152</v>
      </c>
      <c r="H600" s="59" t="s">
        <v>1152</v>
      </c>
      <c r="I600" s="59" t="s">
        <v>1152</v>
      </c>
      <c r="J600" s="30"/>
    </row>
    <row r="601" spans="1:10">
      <c r="A601" s="30"/>
      <c r="B601" s="31"/>
      <c r="C601" s="31"/>
      <c r="D601" s="58" t="s">
        <v>1343</v>
      </c>
      <c r="E601" s="59" t="s">
        <v>1152</v>
      </c>
      <c r="F601" s="59" t="s">
        <v>1152</v>
      </c>
      <c r="G601" s="59" t="s">
        <v>1152</v>
      </c>
      <c r="H601" s="59" t="s">
        <v>1152</v>
      </c>
      <c r="I601" s="59" t="s">
        <v>1152</v>
      </c>
      <c r="J601" s="30"/>
    </row>
    <row r="602" spans="1:10">
      <c r="A602" s="30"/>
      <c r="B602" s="31"/>
      <c r="C602" s="31"/>
      <c r="D602" s="58" t="s">
        <v>1344</v>
      </c>
      <c r="E602" s="59" t="s">
        <v>1152</v>
      </c>
      <c r="F602" s="59" t="s">
        <v>1152</v>
      </c>
      <c r="G602" s="59" t="s">
        <v>1152</v>
      </c>
      <c r="H602" s="59" t="s">
        <v>1152</v>
      </c>
      <c r="I602" s="59" t="s">
        <v>1152</v>
      </c>
      <c r="J602" s="30"/>
    </row>
    <row r="603" spans="1:10">
      <c r="A603" s="30"/>
      <c r="B603" s="31"/>
      <c r="C603" s="31"/>
      <c r="D603" s="58" t="s">
        <v>1345</v>
      </c>
      <c r="E603" s="59" t="s">
        <v>1152</v>
      </c>
      <c r="F603" s="59" t="s">
        <v>1152</v>
      </c>
      <c r="G603" s="59" t="s">
        <v>1152</v>
      </c>
      <c r="H603" s="59" t="s">
        <v>1152</v>
      </c>
      <c r="I603" s="59" t="s">
        <v>1152</v>
      </c>
      <c r="J603" s="30"/>
    </row>
    <row r="604" spans="1:10">
      <c r="A604" s="30"/>
      <c r="B604" s="31"/>
      <c r="C604" s="31"/>
      <c r="D604" s="58" t="s">
        <v>1346</v>
      </c>
      <c r="E604" s="59" t="s">
        <v>1152</v>
      </c>
      <c r="F604" s="59" t="s">
        <v>1152</v>
      </c>
      <c r="G604" s="59" t="s">
        <v>1152</v>
      </c>
      <c r="H604" s="59" t="s">
        <v>1152</v>
      </c>
      <c r="I604" s="59" t="s">
        <v>1152</v>
      </c>
      <c r="J604" s="30"/>
    </row>
    <row r="605" spans="1:10">
      <c r="A605" s="30"/>
      <c r="B605" s="31"/>
      <c r="C605" s="31"/>
      <c r="D605" s="58" t="s">
        <v>1347</v>
      </c>
      <c r="E605" s="59" t="s">
        <v>1152</v>
      </c>
      <c r="F605" s="59" t="s">
        <v>1152</v>
      </c>
      <c r="G605" s="59" t="s">
        <v>1152</v>
      </c>
      <c r="H605" s="59" t="s">
        <v>1152</v>
      </c>
      <c r="I605" s="59" t="s">
        <v>1152</v>
      </c>
      <c r="J605" s="30"/>
    </row>
    <row r="606" spans="1:10">
      <c r="A606" s="30"/>
      <c r="B606" s="31"/>
      <c r="C606" s="31"/>
      <c r="D606" s="58" t="s">
        <v>1348</v>
      </c>
      <c r="E606" s="59" t="s">
        <v>1152</v>
      </c>
      <c r="F606" s="59" t="s">
        <v>1152</v>
      </c>
      <c r="G606" s="59" t="s">
        <v>1152</v>
      </c>
      <c r="H606" s="59" t="s">
        <v>1152</v>
      </c>
      <c r="I606" s="59" t="s">
        <v>1152</v>
      </c>
      <c r="J606" s="30"/>
    </row>
    <row r="607" spans="1:10">
      <c r="A607" s="30"/>
      <c r="B607" s="31"/>
      <c r="C607" s="31"/>
      <c r="D607" s="58" t="s">
        <v>1349</v>
      </c>
      <c r="E607" s="59" t="s">
        <v>1152</v>
      </c>
      <c r="F607" s="59" t="s">
        <v>1152</v>
      </c>
      <c r="G607" s="59" t="s">
        <v>1152</v>
      </c>
      <c r="H607" s="59" t="s">
        <v>1152</v>
      </c>
      <c r="I607" s="59" t="s">
        <v>1152</v>
      </c>
      <c r="J607" s="30"/>
    </row>
    <row r="608" spans="1:10">
      <c r="A608" s="30"/>
      <c r="B608" s="31"/>
      <c r="C608" s="31"/>
      <c r="D608" s="58" t="s">
        <v>1350</v>
      </c>
      <c r="E608" s="59" t="s">
        <v>1152</v>
      </c>
      <c r="F608" s="59" t="s">
        <v>1152</v>
      </c>
      <c r="G608" s="59" t="s">
        <v>1152</v>
      </c>
      <c r="H608" s="59" t="s">
        <v>1152</v>
      </c>
      <c r="I608" s="59" t="s">
        <v>1152</v>
      </c>
      <c r="J608" s="30"/>
    </row>
    <row r="609" spans="1:10">
      <c r="A609" s="30"/>
      <c r="B609" s="31"/>
      <c r="C609" s="31"/>
      <c r="D609" s="58" t="s">
        <v>1351</v>
      </c>
      <c r="E609" s="59" t="s">
        <v>1152</v>
      </c>
      <c r="F609" s="59" t="s">
        <v>1152</v>
      </c>
      <c r="G609" s="59" t="s">
        <v>1152</v>
      </c>
      <c r="H609" s="59" t="s">
        <v>1152</v>
      </c>
      <c r="I609" s="59" t="s">
        <v>1152</v>
      </c>
      <c r="J609" s="30"/>
    </row>
    <row r="610" spans="1:10">
      <c r="A610" s="30"/>
      <c r="B610" s="31"/>
      <c r="C610" s="31"/>
      <c r="D610" s="58" t="s">
        <v>1352</v>
      </c>
      <c r="E610" s="59" t="s">
        <v>1152</v>
      </c>
      <c r="F610" s="59" t="s">
        <v>1152</v>
      </c>
      <c r="G610" s="59" t="s">
        <v>1152</v>
      </c>
      <c r="H610" s="59" t="s">
        <v>1152</v>
      </c>
      <c r="I610" s="59" t="s">
        <v>1152</v>
      </c>
      <c r="J610" s="30"/>
    </row>
    <row r="611" spans="1:10">
      <c r="A611" s="30"/>
      <c r="B611" s="31"/>
      <c r="C611" s="31"/>
      <c r="D611" s="58" t="s">
        <v>1353</v>
      </c>
      <c r="E611" s="59" t="s">
        <v>1152</v>
      </c>
      <c r="F611" s="59" t="s">
        <v>1152</v>
      </c>
      <c r="G611" s="59" t="s">
        <v>1152</v>
      </c>
      <c r="H611" s="59" t="s">
        <v>1152</v>
      </c>
      <c r="I611" s="59" t="s">
        <v>1152</v>
      </c>
      <c r="J611" s="30"/>
    </row>
    <row r="612" spans="1:10">
      <c r="A612" s="30"/>
      <c r="B612" s="31"/>
      <c r="C612" s="31"/>
      <c r="D612" s="58" t="s">
        <v>1354</v>
      </c>
      <c r="E612" s="59" t="s">
        <v>1152</v>
      </c>
      <c r="F612" s="59" t="s">
        <v>1152</v>
      </c>
      <c r="G612" s="59" t="s">
        <v>1152</v>
      </c>
      <c r="H612" s="59" t="s">
        <v>1152</v>
      </c>
      <c r="I612" s="59" t="s">
        <v>1152</v>
      </c>
      <c r="J612" s="30"/>
    </row>
    <row r="613" spans="1:10">
      <c r="A613" s="30"/>
      <c r="B613" s="31"/>
      <c r="C613" s="31"/>
      <c r="D613" s="58" t="s">
        <v>1355</v>
      </c>
      <c r="E613" s="59" t="s">
        <v>1152</v>
      </c>
      <c r="F613" s="59" t="s">
        <v>1152</v>
      </c>
      <c r="G613" s="59" t="s">
        <v>1152</v>
      </c>
      <c r="H613" s="59" t="s">
        <v>1152</v>
      </c>
      <c r="I613" s="59" t="s">
        <v>1152</v>
      </c>
      <c r="J613" s="30"/>
    </row>
    <row r="614" spans="1:10">
      <c r="A614" s="30"/>
      <c r="B614" s="31"/>
      <c r="C614" s="31"/>
      <c r="D614" s="58" t="s">
        <v>1356</v>
      </c>
      <c r="E614" s="59" t="s">
        <v>1152</v>
      </c>
      <c r="F614" s="59" t="s">
        <v>1152</v>
      </c>
      <c r="G614" s="59" t="s">
        <v>1152</v>
      </c>
      <c r="H614" s="59" t="s">
        <v>1152</v>
      </c>
      <c r="I614" s="59" t="s">
        <v>1152</v>
      </c>
      <c r="J614" s="30"/>
    </row>
    <row r="615" spans="1:10">
      <c r="A615" s="30"/>
      <c r="B615" s="31"/>
      <c r="C615" s="31"/>
      <c r="D615" s="58" t="s">
        <v>1357</v>
      </c>
      <c r="E615" s="59" t="s">
        <v>1152</v>
      </c>
      <c r="F615" s="59" t="s">
        <v>1152</v>
      </c>
      <c r="G615" s="59" t="s">
        <v>1152</v>
      </c>
      <c r="H615" s="59" t="s">
        <v>1152</v>
      </c>
      <c r="I615" s="59" t="s">
        <v>1152</v>
      </c>
      <c r="J615" s="30"/>
    </row>
    <row r="616" spans="1:10">
      <c r="A616" s="30"/>
      <c r="B616" s="31"/>
      <c r="C616" s="31"/>
      <c r="D616" s="58" t="s">
        <v>1358</v>
      </c>
      <c r="E616" s="59" t="s">
        <v>1152</v>
      </c>
      <c r="F616" s="59" t="s">
        <v>1152</v>
      </c>
      <c r="G616" s="59" t="s">
        <v>1152</v>
      </c>
      <c r="H616" s="59" t="s">
        <v>1152</v>
      </c>
      <c r="I616" s="59" t="s">
        <v>1152</v>
      </c>
      <c r="J616" s="30"/>
    </row>
    <row r="617" spans="1:10">
      <c r="A617" s="30"/>
      <c r="B617" s="31"/>
      <c r="C617" s="31"/>
      <c r="D617" s="58" t="s">
        <v>1359</v>
      </c>
      <c r="E617" s="59" t="s">
        <v>1152</v>
      </c>
      <c r="F617" s="59" t="s">
        <v>1152</v>
      </c>
      <c r="G617" s="59" t="s">
        <v>1152</v>
      </c>
      <c r="H617" s="59" t="s">
        <v>1152</v>
      </c>
      <c r="I617" s="59" t="s">
        <v>1152</v>
      </c>
      <c r="J617" s="30"/>
    </row>
    <row r="618" spans="1:10">
      <c r="A618" s="30"/>
      <c r="B618" s="31"/>
      <c r="C618" s="31"/>
      <c r="D618" s="58" t="s">
        <v>1360</v>
      </c>
      <c r="E618" s="59" t="s">
        <v>1152</v>
      </c>
      <c r="F618" s="59" t="s">
        <v>1152</v>
      </c>
      <c r="G618" s="59" t="s">
        <v>1152</v>
      </c>
      <c r="H618" s="59" t="s">
        <v>1152</v>
      </c>
      <c r="I618" s="59" t="s">
        <v>1152</v>
      </c>
      <c r="J618" s="30"/>
    </row>
    <row r="619" spans="1:10">
      <c r="A619" s="30"/>
      <c r="B619" s="31"/>
      <c r="C619" s="31"/>
      <c r="D619" s="58" t="s">
        <v>1361</v>
      </c>
      <c r="E619" s="59" t="s">
        <v>1152</v>
      </c>
      <c r="F619" s="59" t="s">
        <v>1152</v>
      </c>
      <c r="G619" s="59" t="s">
        <v>1152</v>
      </c>
      <c r="H619" s="59" t="s">
        <v>1152</v>
      </c>
      <c r="I619" s="59" t="s">
        <v>1152</v>
      </c>
      <c r="J619" s="30"/>
    </row>
    <row r="620" spans="1:10">
      <c r="A620" s="30"/>
      <c r="B620" s="31"/>
      <c r="C620" s="31"/>
      <c r="D620" s="58" t="s">
        <v>1362</v>
      </c>
      <c r="E620" s="59" t="s">
        <v>1152</v>
      </c>
      <c r="F620" s="59" t="s">
        <v>1152</v>
      </c>
      <c r="G620" s="59" t="s">
        <v>1152</v>
      </c>
      <c r="H620" s="59" t="s">
        <v>1152</v>
      </c>
      <c r="I620" s="59" t="s">
        <v>1152</v>
      </c>
      <c r="J620" s="30"/>
    </row>
    <row r="621" spans="1:10">
      <c r="A621" s="30"/>
      <c r="B621" s="31"/>
      <c r="C621" s="31"/>
      <c r="D621" s="58" t="s">
        <v>1363</v>
      </c>
      <c r="E621" s="59" t="s">
        <v>1152</v>
      </c>
      <c r="F621" s="59" t="s">
        <v>1152</v>
      </c>
      <c r="G621" s="59" t="s">
        <v>1152</v>
      </c>
      <c r="H621" s="59" t="s">
        <v>1152</v>
      </c>
      <c r="I621" s="59" t="s">
        <v>1152</v>
      </c>
      <c r="J621" s="30"/>
    </row>
    <row r="622" spans="1:10">
      <c r="A622" s="30"/>
      <c r="B622" s="31"/>
      <c r="C622" s="31"/>
      <c r="D622" s="58" t="s">
        <v>1364</v>
      </c>
      <c r="E622" s="59" t="s">
        <v>1152</v>
      </c>
      <c r="F622" s="59" t="s">
        <v>1152</v>
      </c>
      <c r="G622" s="59" t="s">
        <v>1152</v>
      </c>
      <c r="H622" s="59" t="s">
        <v>1152</v>
      </c>
      <c r="I622" s="59" t="s">
        <v>1152</v>
      </c>
      <c r="J622" s="30"/>
    </row>
    <row r="623" spans="1:10">
      <c r="A623" s="30"/>
      <c r="B623" s="31"/>
      <c r="C623" s="31"/>
      <c r="D623" s="58" t="s">
        <v>1365</v>
      </c>
      <c r="E623" s="59" t="s">
        <v>1152</v>
      </c>
      <c r="F623" s="59" t="s">
        <v>1152</v>
      </c>
      <c r="G623" s="59" t="s">
        <v>1152</v>
      </c>
      <c r="H623" s="59" t="s">
        <v>1152</v>
      </c>
      <c r="I623" s="59" t="s">
        <v>1152</v>
      </c>
      <c r="J623" s="30"/>
    </row>
    <row r="624" spans="1:10">
      <c r="A624" s="30"/>
      <c r="B624" s="31"/>
      <c r="C624" s="31"/>
      <c r="D624" s="58" t="s">
        <v>1366</v>
      </c>
      <c r="E624" s="59" t="s">
        <v>1152</v>
      </c>
      <c r="F624" s="59" t="s">
        <v>1152</v>
      </c>
      <c r="G624" s="59" t="s">
        <v>1152</v>
      </c>
      <c r="H624" s="59" t="s">
        <v>1152</v>
      </c>
      <c r="I624" s="59" t="s">
        <v>1152</v>
      </c>
      <c r="J624" s="30"/>
    </row>
    <row r="625" spans="1:10">
      <c r="A625" s="30"/>
      <c r="B625" s="31"/>
      <c r="C625" s="31"/>
      <c r="D625" s="58" t="s">
        <v>1367</v>
      </c>
      <c r="E625" s="59" t="s">
        <v>1152</v>
      </c>
      <c r="F625" s="59" t="s">
        <v>1152</v>
      </c>
      <c r="G625" s="59" t="s">
        <v>1152</v>
      </c>
      <c r="H625" s="59" t="s">
        <v>1152</v>
      </c>
      <c r="I625" s="59" t="s">
        <v>1152</v>
      </c>
      <c r="J625" s="30"/>
    </row>
    <row r="626" spans="1:10">
      <c r="A626" s="30"/>
      <c r="B626" s="31"/>
      <c r="C626" s="31"/>
      <c r="D626" s="58" t="s">
        <v>1368</v>
      </c>
      <c r="E626" s="59" t="s">
        <v>1152</v>
      </c>
      <c r="F626" s="59" t="s">
        <v>1152</v>
      </c>
      <c r="G626" s="59" t="s">
        <v>1152</v>
      </c>
      <c r="H626" s="59" t="s">
        <v>1152</v>
      </c>
      <c r="I626" s="59" t="s">
        <v>1152</v>
      </c>
      <c r="J626" s="30"/>
    </row>
    <row r="627" spans="1:10">
      <c r="A627" s="30"/>
      <c r="B627" s="31"/>
      <c r="C627" s="31"/>
      <c r="D627" s="58" t="s">
        <v>1369</v>
      </c>
      <c r="E627" s="59" t="s">
        <v>1152</v>
      </c>
      <c r="F627" s="59" t="s">
        <v>1152</v>
      </c>
      <c r="G627" s="59" t="s">
        <v>1152</v>
      </c>
      <c r="H627" s="59" t="s">
        <v>1152</v>
      </c>
      <c r="I627" s="59" t="s">
        <v>1152</v>
      </c>
      <c r="J627" s="30"/>
    </row>
    <row r="628" spans="1:10">
      <c r="A628" s="30"/>
      <c r="B628" s="31"/>
      <c r="C628" s="31"/>
      <c r="D628" s="58" t="s">
        <v>1369</v>
      </c>
      <c r="E628" s="59" t="s">
        <v>1152</v>
      </c>
      <c r="F628" s="59" t="s">
        <v>1152</v>
      </c>
      <c r="G628" s="59" t="s">
        <v>1152</v>
      </c>
      <c r="H628" s="59" t="s">
        <v>1152</v>
      </c>
      <c r="I628" s="59" t="s">
        <v>1152</v>
      </c>
      <c r="J628" s="30"/>
    </row>
    <row r="629" spans="1:10">
      <c r="A629" s="30"/>
      <c r="B629" s="31"/>
      <c r="C629" s="31"/>
      <c r="D629" s="58" t="s">
        <v>1370</v>
      </c>
      <c r="E629" s="59" t="s">
        <v>1152</v>
      </c>
      <c r="F629" s="59" t="s">
        <v>1152</v>
      </c>
      <c r="G629" s="59" t="s">
        <v>1152</v>
      </c>
      <c r="H629" s="59" t="s">
        <v>1152</v>
      </c>
      <c r="I629" s="59" t="s">
        <v>1152</v>
      </c>
      <c r="J629" s="30"/>
    </row>
    <row r="630" spans="1:10">
      <c r="A630" s="30"/>
      <c r="B630" s="31"/>
      <c r="C630" s="31"/>
      <c r="D630" s="58" t="s">
        <v>1371</v>
      </c>
      <c r="E630" s="59" t="s">
        <v>1152</v>
      </c>
      <c r="F630" s="59" t="s">
        <v>1152</v>
      </c>
      <c r="G630" s="59" t="s">
        <v>1152</v>
      </c>
      <c r="H630" s="59" t="s">
        <v>1152</v>
      </c>
      <c r="I630" s="59" t="s">
        <v>1152</v>
      </c>
      <c r="J630" s="30"/>
    </row>
    <row r="631" spans="1:10">
      <c r="A631" s="30"/>
      <c r="B631" s="31"/>
      <c r="C631" s="31"/>
      <c r="D631" s="58" t="s">
        <v>1372</v>
      </c>
      <c r="E631" s="59" t="s">
        <v>1152</v>
      </c>
      <c r="F631" s="59" t="s">
        <v>1152</v>
      </c>
      <c r="G631" s="59" t="s">
        <v>1152</v>
      </c>
      <c r="H631" s="59" t="s">
        <v>1152</v>
      </c>
      <c r="I631" s="59" t="s">
        <v>1152</v>
      </c>
      <c r="J631" s="30"/>
    </row>
    <row r="632" spans="1:10">
      <c r="A632" s="30"/>
      <c r="B632" s="31"/>
      <c r="C632" s="31"/>
      <c r="D632" s="58" t="s">
        <v>1373</v>
      </c>
      <c r="E632" s="59" t="s">
        <v>1152</v>
      </c>
      <c r="F632" s="59" t="s">
        <v>1152</v>
      </c>
      <c r="G632" s="59" t="s">
        <v>1152</v>
      </c>
      <c r="H632" s="59" t="s">
        <v>1152</v>
      </c>
      <c r="I632" s="59" t="s">
        <v>1152</v>
      </c>
      <c r="J632" s="30"/>
    </row>
    <row r="633" spans="1:10">
      <c r="A633" s="30"/>
      <c r="B633" s="31"/>
      <c r="C633" s="31"/>
      <c r="D633" s="58" t="s">
        <v>1374</v>
      </c>
      <c r="E633" s="59" t="s">
        <v>1152</v>
      </c>
      <c r="F633" s="59" t="s">
        <v>1152</v>
      </c>
      <c r="G633" s="59" t="s">
        <v>1152</v>
      </c>
      <c r="H633" s="59" t="s">
        <v>1152</v>
      </c>
      <c r="I633" s="59" t="s">
        <v>1152</v>
      </c>
      <c r="J633" s="30"/>
    </row>
    <row r="634" spans="1:10">
      <c r="A634" s="30"/>
      <c r="B634" s="31"/>
      <c r="C634" s="31"/>
      <c r="D634" s="58" t="s">
        <v>1375</v>
      </c>
      <c r="E634" s="59" t="s">
        <v>1152</v>
      </c>
      <c r="F634" s="59" t="s">
        <v>1152</v>
      </c>
      <c r="G634" s="59" t="s">
        <v>1152</v>
      </c>
      <c r="H634" s="59" t="s">
        <v>1152</v>
      </c>
      <c r="I634" s="59" t="s">
        <v>1152</v>
      </c>
      <c r="J634" s="30"/>
    </row>
    <row r="635" spans="1:10">
      <c r="A635" s="30"/>
      <c r="B635" s="31"/>
      <c r="C635" s="31"/>
      <c r="D635" s="58" t="s">
        <v>1376</v>
      </c>
      <c r="E635" s="59" t="s">
        <v>1152</v>
      </c>
      <c r="F635" s="59" t="s">
        <v>1152</v>
      </c>
      <c r="G635" s="59" t="s">
        <v>1152</v>
      </c>
      <c r="H635" s="59" t="s">
        <v>1152</v>
      </c>
      <c r="I635" s="59" t="s">
        <v>1152</v>
      </c>
      <c r="J635" s="30"/>
    </row>
    <row r="636" spans="1:10">
      <c r="A636" s="30"/>
      <c r="B636" s="31"/>
      <c r="C636" s="31"/>
      <c r="D636" s="58" t="s">
        <v>1377</v>
      </c>
      <c r="E636" s="59" t="s">
        <v>1152</v>
      </c>
      <c r="F636" s="59" t="s">
        <v>1152</v>
      </c>
      <c r="G636" s="59" t="s">
        <v>1152</v>
      </c>
      <c r="H636" s="59" t="s">
        <v>1152</v>
      </c>
      <c r="I636" s="59" t="s">
        <v>1152</v>
      </c>
      <c r="J636" s="30"/>
    </row>
    <row r="637" spans="1:10">
      <c r="A637" s="30"/>
      <c r="B637" s="31"/>
      <c r="C637" s="31"/>
      <c r="D637" s="24"/>
      <c r="E637" s="24"/>
      <c r="F637" s="24"/>
      <c r="G637" s="25"/>
      <c r="H637" s="24"/>
      <c r="I637" s="28"/>
      <c r="J637" s="30"/>
    </row>
    <row r="638" spans="1:10">
      <c r="A638" s="30"/>
      <c r="B638" s="31"/>
      <c r="C638" s="31"/>
      <c r="D638" s="24"/>
      <c r="E638" s="24"/>
      <c r="F638" s="24"/>
      <c r="G638" s="25"/>
      <c r="H638" s="24"/>
      <c r="I638" s="28"/>
      <c r="J638" s="30"/>
    </row>
    <row r="639" spans="1:10">
      <c r="A639" s="30"/>
      <c r="B639" s="31"/>
      <c r="C639" s="31"/>
      <c r="D639" s="24"/>
      <c r="E639" s="24"/>
      <c r="F639" s="24"/>
      <c r="G639" s="25"/>
      <c r="H639" s="24"/>
      <c r="I639" s="28"/>
      <c r="J639" s="30"/>
    </row>
    <row r="640" spans="1:10">
      <c r="A640" s="30"/>
      <c r="B640" s="31"/>
      <c r="C640" s="31"/>
      <c r="D640" s="24"/>
      <c r="E640" s="24"/>
      <c r="F640" s="24"/>
      <c r="G640" s="25"/>
      <c r="H640" s="24"/>
      <c r="I640" s="28"/>
      <c r="J640" s="30"/>
    </row>
    <row r="657" spans="4:4">
      <c r="D657" s="24"/>
    </row>
    <row r="658" spans="4:4">
      <c r="D658" s="24"/>
    </row>
    <row r="659" spans="4:4">
      <c r="D659" s="24"/>
    </row>
    <row r="660" spans="4:4">
      <c r="D660" s="24"/>
    </row>
    <row r="661" spans="4:4">
      <c r="D661" s="24"/>
    </row>
    <row r="662" spans="4:4">
      <c r="D662" s="24"/>
    </row>
    <row r="663" spans="4:4">
      <c r="D663" s="24"/>
    </row>
  </sheetData>
  <autoFilter ref="D1:J636" xr:uid="{00000000-0001-0000-0000-000000000000}">
    <filterColumn colId="2">
      <filters>
        <filter val="Rockford"/>
      </filters>
    </filterColumn>
  </autoFilter>
  <customSheetViews>
    <customSheetView guid="{66D5434F-97F5-4D22-9C23-700B42C56302}" hiddenColumns="1" topLeftCell="C1">
      <pane ySplit="1" topLeftCell="A336" activePane="bottomLeft" state="frozen"/>
      <selection pane="bottomLeft" activeCell="D1" sqref="D1:D2"/>
      <pageMargins left="0" right="0" top="0" bottom="0" header="0" footer="0"/>
      <pageSetup orientation="portrait" r:id="rId1"/>
      <headerFooter alignWithMargins="0"/>
    </customSheetView>
    <customSheetView guid="{0FC46733-3239-44AE-822B-F1CD70B7B4CA}" hiddenColumns="1" topLeftCell="C226">
      <selection activeCell="F248" sqref="F248"/>
      <pageMargins left="0" right="0" top="0" bottom="0" header="0" footer="0"/>
      <pageSetup orientation="portrait" r:id="rId2"/>
      <headerFooter alignWithMargins="0"/>
    </customSheetView>
    <customSheetView guid="{E076845E-C727-4760-AC04-71547E2FD1F7}" hiddenColumns="1" showRuler="0" topLeftCell="C7">
      <selection activeCell="F44" sqref="F44"/>
      <pageMargins left="0" right="0" top="0" bottom="0" header="0" footer="0"/>
      <pageSetup orientation="portrait" r:id="rId3"/>
      <headerFooter alignWithMargins="0"/>
    </customSheetView>
    <customSheetView guid="{56021863-D344-4FC6-A93B-6D42ADCA54E1}" hiddenColumns="1" showRuler="0" topLeftCell="C1">
      <selection activeCell="G22" sqref="G22"/>
      <pageMargins left="0" right="0" top="0" bottom="0" header="0" footer="0"/>
      <pageSetup orientation="portrait" r:id="rId4"/>
      <headerFooter alignWithMargins="0"/>
    </customSheetView>
    <customSheetView guid="{0DE46E9D-13D3-462E-9D25-4A04E933D976}" showPageBreaks="1" hiddenColumns="1" showRuler="0" topLeftCell="C1">
      <selection activeCell="G103" sqref="G103"/>
      <pageMargins left="0" right="0" top="0" bottom="0" header="0" footer="0"/>
      <pageSetup paperSize="5" scale="60" orientation="landscape" r:id="rId5"/>
      <headerFooter alignWithMargins="0"/>
    </customSheetView>
    <customSheetView guid="{4EABCCA6-BB2C-4A99-8C05-21F324DFA8F1}" hiddenColumns="1" topLeftCell="C1">
      <selection activeCell="E239" sqref="E239"/>
      <pageMargins left="0" right="0" top="0" bottom="0" header="0" footer="0"/>
      <pageSetup orientation="portrait" r:id="rId6"/>
      <headerFooter alignWithMargins="0"/>
    </customSheetView>
    <customSheetView guid="{DA704CF3-EF6D-4765-BF90-F1C6A10CEF63}" hiddenColumns="1" topLeftCell="C104">
      <selection activeCell="G116" sqref="G116"/>
      <pageMargins left="0" right="0" top="0" bottom="0" header="0" footer="0"/>
      <pageSetup orientation="portrait" r:id="rId7"/>
      <headerFooter alignWithMargins="0"/>
    </customSheetView>
    <customSheetView guid="{49C43F13-C013-47A7-B886-744437B4D757}" hiddenColumns="1" topLeftCell="C196">
      <selection activeCell="E223" sqref="E223"/>
      <pageMargins left="0" right="0" top="0" bottom="0" header="0" footer="0"/>
      <pageSetup orientation="portrait" r:id="rId8"/>
      <headerFooter alignWithMargins="0"/>
    </customSheetView>
    <customSheetView guid="{BA97DA7A-4F70-46D4-9B40-F82B93762FD3}" hiddenColumns="1" topLeftCell="C1">
      <selection activeCell="E8" sqref="E8"/>
      <pageMargins left="0" right="0" top="0" bottom="0" header="0" footer="0"/>
      <pageSetup orientation="portrait" r:id="rId9"/>
      <headerFooter alignWithMargins="0"/>
    </customSheetView>
    <customSheetView guid="{73D4A972-8423-463D-92ED-00F3151FD702}" hiddenColumns="1" topLeftCell="D1">
      <pane ySplit="1" topLeftCell="A2" activePane="bottomLeft" state="frozen"/>
      <selection pane="bottomLeft" activeCell="D2" sqref="D2"/>
      <pageMargins left="0" right="0" top="0" bottom="0" header="0" footer="0"/>
      <pageSetup orientation="portrait" r:id="rId10"/>
      <headerFooter alignWithMargins="0"/>
    </customSheetView>
  </customSheetViews>
  <mergeCells count="2">
    <mergeCell ref="E2:I2"/>
    <mergeCell ref="E3:I3"/>
  </mergeCells>
  <phoneticPr fontId="1" type="noConversion"/>
  <pageMargins left="0.75" right="0.75" top="1" bottom="1" header="0.5" footer="0.5"/>
  <pageSetup orientation="portrait" r:id="rId11"/>
  <headerFooter alignWithMargins="0"/>
  <customProperties>
    <customPr name="Guid" r:id="rId12"/>
  </customPropertie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topLeftCell="A7" workbookViewId="0">
      <selection activeCell="C24" sqref="C24"/>
    </sheetView>
  </sheetViews>
  <sheetFormatPr defaultRowHeight="12.5"/>
  <cols>
    <col min="2" max="2" width="14.7265625" customWidth="1"/>
  </cols>
  <sheetData>
    <row r="1" spans="1:2">
      <c r="A1" t="s">
        <v>35</v>
      </c>
    </row>
    <row r="2" spans="1:2">
      <c r="A2" t="s">
        <v>37</v>
      </c>
      <c r="B2" t="s">
        <v>1378</v>
      </c>
    </row>
    <row r="3" spans="1:2">
      <c r="A3" t="s">
        <v>40</v>
      </c>
    </row>
    <row r="4" spans="1:2">
      <c r="A4" t="s">
        <v>44</v>
      </c>
    </row>
    <row r="5" spans="1:2">
      <c r="A5" t="s">
        <v>47</v>
      </c>
      <c r="B5" t="s">
        <v>1379</v>
      </c>
    </row>
    <row r="6" spans="1:2">
      <c r="A6" t="s">
        <v>51</v>
      </c>
      <c r="B6" t="s">
        <v>1380</v>
      </c>
    </row>
    <row r="7" spans="1:2">
      <c r="A7" t="s">
        <v>56</v>
      </c>
      <c r="B7" t="s">
        <v>1381</v>
      </c>
    </row>
    <row r="8" spans="1:2">
      <c r="A8" t="s">
        <v>59</v>
      </c>
      <c r="B8" t="s">
        <v>1382</v>
      </c>
    </row>
    <row r="9" spans="1:2">
      <c r="A9" t="s">
        <v>1383</v>
      </c>
    </row>
    <row r="10" spans="1:2">
      <c r="A10" t="s">
        <v>63</v>
      </c>
    </row>
    <row r="11" spans="1:2">
      <c r="A11" t="s">
        <v>66</v>
      </c>
    </row>
    <row r="12" spans="1:2">
      <c r="A12" t="s">
        <v>70</v>
      </c>
      <c r="B12" t="s">
        <v>1384</v>
      </c>
    </row>
    <row r="13" spans="1:2">
      <c r="A13" t="s">
        <v>71</v>
      </c>
      <c r="B13" t="s">
        <v>1385</v>
      </c>
    </row>
    <row r="14" spans="1:2">
      <c r="A14" t="s">
        <v>75</v>
      </c>
    </row>
    <row r="15" spans="1:2">
      <c r="A15" t="s">
        <v>80</v>
      </c>
      <c r="B15" t="s">
        <v>1386</v>
      </c>
    </row>
    <row r="16" spans="1:2">
      <c r="A16" t="s">
        <v>84</v>
      </c>
    </row>
    <row r="17" spans="1:3">
      <c r="A17" t="s">
        <v>89</v>
      </c>
      <c r="B17" t="s">
        <v>1387</v>
      </c>
    </row>
    <row r="18" spans="1:3">
      <c r="A18" t="s">
        <v>93</v>
      </c>
      <c r="B18" t="s">
        <v>1388</v>
      </c>
    </row>
    <row r="19" spans="1:3">
      <c r="A19" t="s">
        <v>98</v>
      </c>
      <c r="B19" t="s">
        <v>1389</v>
      </c>
    </row>
    <row r="20" spans="1:3">
      <c r="A20" t="s">
        <v>102</v>
      </c>
      <c r="B20" t="s">
        <v>1390</v>
      </c>
      <c r="C20" t="s">
        <v>1391</v>
      </c>
    </row>
    <row r="21" spans="1:3">
      <c r="A21" t="s">
        <v>107</v>
      </c>
      <c r="B21" t="s">
        <v>1392</v>
      </c>
    </row>
    <row r="22" spans="1:3">
      <c r="A22" t="s">
        <v>110</v>
      </c>
      <c r="B22" t="s">
        <v>1393</v>
      </c>
    </row>
    <row r="23" spans="1:3">
      <c r="A23" t="s">
        <v>114</v>
      </c>
      <c r="B23" t="s">
        <v>1394</v>
      </c>
      <c r="C23" t="s">
        <v>1395</v>
      </c>
    </row>
    <row r="24" spans="1:3">
      <c r="A24" t="s">
        <v>117</v>
      </c>
    </row>
    <row r="25" spans="1:3">
      <c r="A25" t="s">
        <v>118</v>
      </c>
    </row>
    <row r="26" spans="1:3">
      <c r="A26" t="s">
        <v>121</v>
      </c>
    </row>
    <row r="27" spans="1:3">
      <c r="A27" t="s">
        <v>1396</v>
      </c>
      <c r="B27" t="s">
        <v>1397</v>
      </c>
    </row>
  </sheetData>
  <customSheetViews>
    <customSheetView guid="{66D5434F-97F5-4D22-9C23-700B42C56302}" state="hidden">
      <selection activeCell="C24" sqref="C24"/>
      <pageMargins left="0" right="0" top="0" bottom="0" header="0" footer="0"/>
      <headerFooter alignWithMargins="0"/>
    </customSheetView>
    <customSheetView guid="{0FC46733-3239-44AE-822B-F1CD70B7B4CA}">
      <selection activeCell="B6" sqref="B6"/>
      <pageMargins left="0" right="0" top="0" bottom="0" header="0" footer="0"/>
      <headerFooter alignWithMargins="0"/>
    </customSheetView>
    <customSheetView guid="{E076845E-C727-4760-AC04-71547E2FD1F7}" showRuler="0">
      <pageMargins left="0" right="0" top="0" bottom="0" header="0" footer="0"/>
      <headerFooter alignWithMargins="0"/>
    </customSheetView>
    <customSheetView guid="{56021863-D344-4FC6-A93B-6D42ADCA54E1}" showRuler="0">
      <pageMargins left="0" right="0" top="0" bottom="0" header="0" footer="0"/>
      <headerFooter alignWithMargins="0"/>
    </customSheetView>
    <customSheetView guid="{0DE46E9D-13D3-462E-9D25-4A04E933D976}" showRuler="0">
      <pageMargins left="0" right="0" top="0" bottom="0" header="0" footer="0"/>
      <headerFooter alignWithMargins="0"/>
    </customSheetView>
    <customSheetView guid="{4EABCCA6-BB2C-4A99-8C05-21F324DFA8F1}">
      <pageMargins left="0" right="0" top="0" bottom="0" header="0" footer="0"/>
      <headerFooter alignWithMargins="0"/>
    </customSheetView>
    <customSheetView guid="{DA704CF3-EF6D-4765-BF90-F1C6A10CEF63}">
      <selection activeCell="B6" sqref="B6"/>
      <pageMargins left="0" right="0" top="0" bottom="0" header="0" footer="0"/>
      <headerFooter alignWithMargins="0"/>
    </customSheetView>
    <customSheetView guid="{49C43F13-C013-47A7-B886-744437B4D757}">
      <selection activeCell="B6" sqref="B6"/>
      <pageMargins left="0" right="0" top="0" bottom="0" header="0" footer="0"/>
      <headerFooter alignWithMargins="0"/>
    </customSheetView>
    <customSheetView guid="{BA97DA7A-4F70-46D4-9B40-F82B93762FD3}" state="hidden">
      <selection activeCell="C24" sqref="C24"/>
      <pageMargins left="0" right="0" top="0" bottom="0" header="0" footer="0"/>
      <headerFooter alignWithMargins="0"/>
    </customSheetView>
    <customSheetView guid="{73D4A972-8423-463D-92ED-00F3151FD702}" state="hidden">
      <selection activeCell="C24" sqref="C24"/>
      <pageMargins left="0" right="0" top="0" bottom="0" header="0" footer="0"/>
      <headerFooter alignWithMargins="0"/>
    </customSheetView>
  </customSheetViews>
  <phoneticPr fontId="1" type="noConversion"/>
  <pageMargins left="0.75" right="0.75" top="1" bottom="1" header="0.5" footer="0.5"/>
  <headerFooter alignWithMargins="0"/>
  <customProperties>
    <customPr name="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2" sqref="D12"/>
    </sheetView>
  </sheetViews>
  <sheetFormatPr defaultRowHeight="12.5"/>
  <sheetData/>
  <customSheetViews>
    <customSheetView guid="{66D5434F-97F5-4D22-9C23-700B42C56302}" state="hidden">
      <selection activeCell="D12" sqref="D12"/>
      <pageMargins left="0" right="0" top="0" bottom="0" header="0" footer="0"/>
      <headerFooter alignWithMargins="0"/>
    </customSheetView>
    <customSheetView guid="{0FC46733-3239-44AE-822B-F1CD70B7B4CA}">
      <pageMargins left="0" right="0" top="0" bottom="0" header="0" footer="0"/>
      <headerFooter alignWithMargins="0"/>
    </customSheetView>
    <customSheetView guid="{E076845E-C727-4760-AC04-71547E2FD1F7}" showRuler="0">
      <pageMargins left="0" right="0" top="0" bottom="0" header="0" footer="0"/>
      <headerFooter alignWithMargins="0"/>
    </customSheetView>
    <customSheetView guid="{56021863-D344-4FC6-A93B-6D42ADCA54E1}" showRuler="0">
      <pageMargins left="0" right="0" top="0" bottom="0" header="0" footer="0"/>
      <headerFooter alignWithMargins="0"/>
    </customSheetView>
    <customSheetView guid="{0DE46E9D-13D3-462E-9D25-4A04E933D976}" showRuler="0">
      <pageMargins left="0" right="0" top="0" bottom="0" header="0" footer="0"/>
      <headerFooter alignWithMargins="0"/>
    </customSheetView>
    <customSheetView guid="{4EABCCA6-BB2C-4A99-8C05-21F324DFA8F1}">
      <pageMargins left="0" right="0" top="0" bottom="0" header="0" footer="0"/>
      <headerFooter alignWithMargins="0"/>
    </customSheetView>
    <customSheetView guid="{DA704CF3-EF6D-4765-BF90-F1C6A10CEF63}">
      <pageMargins left="0" right="0" top="0" bottom="0" header="0" footer="0"/>
      <headerFooter alignWithMargins="0"/>
    </customSheetView>
    <customSheetView guid="{49C43F13-C013-47A7-B886-744437B4D757}">
      <pageMargins left="0" right="0" top="0" bottom="0" header="0" footer="0"/>
      <headerFooter alignWithMargins="0"/>
    </customSheetView>
    <customSheetView guid="{BA97DA7A-4F70-46D4-9B40-F82B93762FD3}" state="hidden">
      <selection activeCell="D12" sqref="D12"/>
      <pageMargins left="0" right="0" top="0" bottom="0" header="0" footer="0"/>
      <headerFooter alignWithMargins="0"/>
    </customSheetView>
    <customSheetView guid="{73D4A972-8423-463D-92ED-00F3151FD702}" state="hidden">
      <selection activeCell="D12" sqref="D12"/>
      <pageMargins left="0" right="0" top="0" bottom="0" header="0" footer="0"/>
      <headerFooter alignWithMargins="0"/>
    </customSheetView>
  </customSheetViews>
  <phoneticPr fontId="1" type="noConversion"/>
  <pageMargins left="0.75" right="0.75" top="1" bottom="1" header="0.5" footer="0.5"/>
  <headerFooter alignWithMargins="0"/>
  <customProperties>
    <customPr name="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1"/>
  <sheetViews>
    <sheetView workbookViewId="0"/>
  </sheetViews>
  <sheetFormatPr defaultRowHeight="12.5"/>
  <sheetData>
    <row r="1" spans="1:256">
      <c r="A1" t="s">
        <v>1398</v>
      </c>
      <c r="F1" t="e">
        <f>'Site Codes'!A:A*"r[&amp;!&amp;"</f>
        <v>#VALUE!</v>
      </c>
      <c r="G1" t="e">
        <f>'Site Codes'!B:B*"r[&amp;!'"</f>
        <v>#VALUE!</v>
      </c>
      <c r="H1" t="e">
        <f>'Site Codes'!C:C*"r[&amp;!("</f>
        <v>#VALUE!</v>
      </c>
      <c r="I1" t="e">
        <f>'Site Codes'!D:D*"r[&amp;!)"</f>
        <v>#VALUE!</v>
      </c>
      <c r="J1" t="e">
        <f>'Site Codes'!E:E*"r[&amp;!."</f>
        <v>#VALUE!</v>
      </c>
      <c r="K1" t="e">
        <f>'Site Codes'!F:F*"r[&amp;!/"</f>
        <v>#VALUE!</v>
      </c>
      <c r="L1" t="e">
        <f>'Site Codes'!G:G*"r[&amp;!0"</f>
        <v>#VALUE!</v>
      </c>
      <c r="M1" t="e">
        <f>'Site Codes'!H:H*"r[&amp;!1"</f>
        <v>#VALUE!</v>
      </c>
      <c r="N1" t="e">
        <f>'Site Codes'!I:I*"r[&amp;!2"</f>
        <v>#VALUE!</v>
      </c>
      <c r="O1" t="e">
        <f>'Site Codes'!J:J*"r[&amp;!3"</f>
        <v>#VALUE!</v>
      </c>
      <c r="P1" t="e">
        <f>'Site Codes'!K:K*"r[&amp;!4"</f>
        <v>#VALUE!</v>
      </c>
      <c r="Q1" t="e">
        <f>'Site Codes'!L:L*"r[&amp;!5"</f>
        <v>#VALUE!</v>
      </c>
      <c r="R1" t="e">
        <f>'Site Codes'!M:M*"r[&amp;!6"</f>
        <v>#VALUE!</v>
      </c>
      <c r="S1" t="e">
        <f>'Site Codes'!N:N*"r[&amp;!7"</f>
        <v>#VALUE!</v>
      </c>
      <c r="T1" t="e">
        <f>'Site Codes'!O:O*"r[&amp;!8"</f>
        <v>#VALUE!</v>
      </c>
      <c r="U1" t="e">
        <f>'Site Codes'!P:P*"r[&amp;!9"</f>
        <v>#VALUE!</v>
      </c>
      <c r="V1" t="e">
        <f>'Site Codes'!Q:Q*"r[&amp;!:"</f>
        <v>#VALUE!</v>
      </c>
      <c r="W1" t="e">
        <f>'Site Codes'!R:R*"r[&amp;!;"</f>
        <v>#VALUE!</v>
      </c>
      <c r="X1" t="e">
        <f>'Site Codes'!S:S*"r[&amp;!&lt;"</f>
        <v>#VALUE!</v>
      </c>
      <c r="Y1" t="e">
        <f>'Site Codes'!T:T*"r[&amp;!="</f>
        <v>#VALUE!</v>
      </c>
      <c r="Z1" t="e">
        <f>'Site Codes'!U:U*"r[&amp;!&gt;"</f>
        <v>#VALUE!</v>
      </c>
      <c r="AA1" t="e">
        <f>'Site Codes'!V:V*"r[&amp;!?"</f>
        <v>#VALUE!</v>
      </c>
      <c r="AB1" t="e">
        <f>'Site Codes'!W:W*"r[&amp;!@"</f>
        <v>#VALUE!</v>
      </c>
      <c r="AC1" t="e">
        <f>'Site Codes'!X:X*"r[&amp;!A"</f>
        <v>#VALUE!</v>
      </c>
      <c r="AD1" t="e">
        <f>'Site Codes'!Y:Y*"r[&amp;!B"</f>
        <v>#VALUE!</v>
      </c>
      <c r="AE1" t="e">
        <f>'Site Codes'!Z:Z*"r[&amp;!C"</f>
        <v>#VALUE!</v>
      </c>
      <c r="AF1" t="e">
        <f>'Site Codes'!AA:AA*"r[&amp;!D"</f>
        <v>#VALUE!</v>
      </c>
      <c r="AG1" t="e">
        <f>'Site Codes'!AB:AB*"r[&amp;!E"</f>
        <v>#VALUE!</v>
      </c>
      <c r="AH1" t="e">
        <f>'Site Codes'!AC:AC*"r[&amp;!F"</f>
        <v>#VALUE!</v>
      </c>
      <c r="AI1" t="e">
        <f>'Site Codes'!AD:AD*"r[&amp;!G"</f>
        <v>#VALUE!</v>
      </c>
      <c r="AJ1" t="e">
        <f>'Site Codes'!AE:AE*"r[&amp;!H"</f>
        <v>#VALUE!</v>
      </c>
      <c r="AK1" t="e">
        <f>'Site Codes'!AF:AF*"r[&amp;!I"</f>
        <v>#VALUE!</v>
      </c>
      <c r="AL1" t="e">
        <f>'Site Codes'!AG:AG*"r[&amp;!J"</f>
        <v>#VALUE!</v>
      </c>
      <c r="AM1" t="e">
        <f>'Site Codes'!AH:AH*"r[&amp;!K"</f>
        <v>#VALUE!</v>
      </c>
      <c r="AN1" t="e">
        <f>'Site Codes'!AI:AI*"r[&amp;!L"</f>
        <v>#VALUE!</v>
      </c>
      <c r="AO1" t="e">
        <f>'Site Codes'!AJ:AJ*"r[&amp;!M"</f>
        <v>#VALUE!</v>
      </c>
      <c r="AP1" t="e">
        <f>'Site Codes'!AK:AK*"r[&amp;!N"</f>
        <v>#VALUE!</v>
      </c>
      <c r="AQ1" t="e">
        <f>'Site Codes'!AL:AL*"r[&amp;!O"</f>
        <v>#VALUE!</v>
      </c>
      <c r="AR1" t="e">
        <f>'Site Codes'!AM:AM*"r[&amp;!P"</f>
        <v>#VALUE!</v>
      </c>
      <c r="AS1" t="e">
        <f>'Site Codes'!AN:AN*"r[&amp;!Q"</f>
        <v>#VALUE!</v>
      </c>
      <c r="AT1" t="e">
        <f>'Site Codes'!AO:AO*"r[&amp;!R"</f>
        <v>#VALUE!</v>
      </c>
      <c r="AU1" t="e">
        <f>'Site Codes'!AP:AP*"r[&amp;!S"</f>
        <v>#VALUE!</v>
      </c>
      <c r="AV1" t="e">
        <f>'Site Codes'!AQ:AQ*"r[&amp;!T"</f>
        <v>#VALUE!</v>
      </c>
      <c r="AW1" t="e">
        <f>'Site Codes'!AR:AR*"r[&amp;!U"</f>
        <v>#VALUE!</v>
      </c>
      <c r="AX1" t="e">
        <f>'Site Codes'!AS:AS*"r[&amp;!V"</f>
        <v>#VALUE!</v>
      </c>
      <c r="AY1" t="e">
        <f>'Site Codes'!AT:AT*"r[&amp;!W"</f>
        <v>#VALUE!</v>
      </c>
      <c r="AZ1" t="e">
        <f>'Site Codes'!AU:AU*"r[&amp;!X"</f>
        <v>#VALUE!</v>
      </c>
      <c r="BA1" t="e">
        <f>'Site Codes'!AV:AV*"r[&amp;!Y"</f>
        <v>#VALUE!</v>
      </c>
      <c r="BB1" t="e">
        <f>'Site Codes'!AW:AW*"r[&amp;!Z"</f>
        <v>#VALUE!</v>
      </c>
      <c r="BC1" t="e">
        <f>'Site Codes'!AX:AX*"r[&amp;!["</f>
        <v>#VALUE!</v>
      </c>
      <c r="BD1" t="e">
        <f>'Site Codes'!AY:AY*"r[&amp;!\"</f>
        <v>#VALUE!</v>
      </c>
      <c r="BE1" t="e">
        <f>'Site Codes'!AZ:AZ*"r[&amp;!]"</f>
        <v>#VALUE!</v>
      </c>
      <c r="BF1" t="e">
        <f>'Site Codes'!BA:BA*"r[&amp;!^"</f>
        <v>#VALUE!</v>
      </c>
      <c r="BG1" t="e">
        <f>'Site Codes'!BB:BB*"r[&amp;!_"</f>
        <v>#VALUE!</v>
      </c>
      <c r="BH1" t="e">
        <f>'Site Codes'!BC:BC*"r[&amp;!`"</f>
        <v>#VALUE!</v>
      </c>
      <c r="BI1" t="e">
        <f>'Site Codes'!BD:BD*"r[&amp;!a"</f>
        <v>#VALUE!</v>
      </c>
      <c r="BJ1" t="e">
        <f>'Site Codes'!BE:BE*"r[&amp;!b"</f>
        <v>#VALUE!</v>
      </c>
      <c r="BK1" t="e">
        <f>'Site Codes'!BF:BF*"r[&amp;!c"</f>
        <v>#VALUE!</v>
      </c>
      <c r="BL1" t="e">
        <f>'Site Codes'!BG:BG*"r[&amp;!d"</f>
        <v>#VALUE!</v>
      </c>
      <c r="BM1" t="e">
        <f>'Site Codes'!BH:BH*"r[&amp;!e"</f>
        <v>#VALUE!</v>
      </c>
      <c r="BN1" t="e">
        <f>'Site Codes'!1:1-"r[&amp;!f"</f>
        <v>#VALUE!</v>
      </c>
      <c r="BO1" t="e">
        <f>'Site Codes'!2:2-"r[&amp;!g"</f>
        <v>#VALUE!</v>
      </c>
      <c r="BP1" t="e">
        <f>'Site Codes'!3:3-"r[&amp;!h"</f>
        <v>#VALUE!</v>
      </c>
      <c r="BQ1" t="e">
        <f>'Site Codes'!4:4-"r[&amp;!i"</f>
        <v>#VALUE!</v>
      </c>
      <c r="BR1" t="e">
        <f>'Site Codes'!5:5-"r[&amp;!j"</f>
        <v>#VALUE!</v>
      </c>
      <c r="BS1" t="e">
        <f>'Site Codes'!6:6-"r[&amp;!k"</f>
        <v>#VALUE!</v>
      </c>
      <c r="BT1" t="e">
        <f>'Site Codes'!7:7-"r[&amp;!l"</f>
        <v>#VALUE!</v>
      </c>
      <c r="BU1" t="e">
        <f>'Site Codes'!8:8-"r[&amp;!m"</f>
        <v>#VALUE!</v>
      </c>
      <c r="BV1" t="e">
        <f>'Site Codes'!9:9-"r[&amp;!n"</f>
        <v>#VALUE!</v>
      </c>
      <c r="BW1" t="e">
        <f>'Site Codes'!10:10-"r[&amp;!o"</f>
        <v>#VALUE!</v>
      </c>
      <c r="BX1" t="e">
        <f>'Site Codes'!11:11-"r[&amp;!p"</f>
        <v>#VALUE!</v>
      </c>
      <c r="BY1" t="e">
        <f>'Site Codes'!12:12-"r[&amp;!q"</f>
        <v>#VALUE!</v>
      </c>
      <c r="BZ1" t="e">
        <f>'Site Codes'!13:13-"r[&amp;!r"</f>
        <v>#VALUE!</v>
      </c>
      <c r="CA1" t="e">
        <f>'Site Codes'!14:14-"r[&amp;!s"</f>
        <v>#VALUE!</v>
      </c>
      <c r="CB1" t="e">
        <f>'Site Codes'!15:15-"r[&amp;!t"</f>
        <v>#VALUE!</v>
      </c>
      <c r="CC1" t="e">
        <f>'Site Codes'!16:16-"r[&amp;!u"</f>
        <v>#VALUE!</v>
      </c>
      <c r="CD1" t="e">
        <f>'Site Codes'!17:17-"r[&amp;!v"</f>
        <v>#VALUE!</v>
      </c>
      <c r="CE1" t="e">
        <f>'Site Codes'!18:18-"r[&amp;!w"</f>
        <v>#VALUE!</v>
      </c>
      <c r="CF1" t="e">
        <f>'Site Codes'!19:19-"r[&amp;!x"</f>
        <v>#VALUE!</v>
      </c>
      <c r="CG1" t="e">
        <f>'Site Codes'!#REF!-"r[&amp;!y"</f>
        <v>#REF!</v>
      </c>
      <c r="CH1" t="e">
        <f>'Site Codes'!20:20-"r[&amp;!z"</f>
        <v>#VALUE!</v>
      </c>
      <c r="CI1" t="e">
        <f>'Site Codes'!21:21-"r[&amp;!{"</f>
        <v>#VALUE!</v>
      </c>
      <c r="CJ1" t="e">
        <f>'Site Codes'!22:22-"r[&amp;!|"</f>
        <v>#VALUE!</v>
      </c>
      <c r="CK1" t="e">
        <f>'Site Codes'!23:23-"r[&amp;!}"</f>
        <v>#VALUE!</v>
      </c>
      <c r="CL1" t="e">
        <f>'Site Codes'!24:24-"r[&amp;!~"</f>
        <v>#VALUE!</v>
      </c>
      <c r="CM1" t="e">
        <f>'Site Codes'!25:25-"r[&amp;!$#"</f>
        <v>#VALUE!</v>
      </c>
      <c r="CN1" t="e">
        <f>'Site Codes'!26:26-"r[&amp;!$$"</f>
        <v>#VALUE!</v>
      </c>
      <c r="CO1" t="e">
        <f>'Site Codes'!27:27-"r[&amp;!$%"</f>
        <v>#VALUE!</v>
      </c>
      <c r="CP1" t="e">
        <f>'Site Codes'!28:28-"r[&amp;!$&amp;"</f>
        <v>#VALUE!</v>
      </c>
      <c r="CQ1" t="e">
        <f>'Site Codes'!29:29-"r[&amp;!$'"</f>
        <v>#VALUE!</v>
      </c>
      <c r="CR1" t="e">
        <f>'Site Codes'!30:30-"r[&amp;!$("</f>
        <v>#VALUE!</v>
      </c>
      <c r="CS1" t="e">
        <f>'Site Codes'!31:31-"r[&amp;!$)"</f>
        <v>#VALUE!</v>
      </c>
      <c r="CT1" t="e">
        <f>'Site Codes'!32:32-"r[&amp;!$."</f>
        <v>#VALUE!</v>
      </c>
      <c r="CU1" t="e">
        <f>'Site Codes'!33:33-"r[&amp;!$/"</f>
        <v>#VALUE!</v>
      </c>
      <c r="CV1" t="e">
        <f>'Site Codes'!34:34-"r[&amp;!$0"</f>
        <v>#VALUE!</v>
      </c>
      <c r="CW1" t="e">
        <f>'Site Codes'!35:35-"r[&amp;!$1"</f>
        <v>#VALUE!</v>
      </c>
      <c r="CX1" t="e">
        <f>'Site Codes'!36:36-"r[&amp;!$2"</f>
        <v>#VALUE!</v>
      </c>
      <c r="CY1" t="e">
        <f>'Site Codes'!37:37-"r[&amp;!$3"</f>
        <v>#VALUE!</v>
      </c>
      <c r="CZ1" t="e">
        <f>'Site Codes'!38:38-"r[&amp;!$4"</f>
        <v>#VALUE!</v>
      </c>
      <c r="DA1" t="e">
        <f>'Site Codes'!39:39-"r[&amp;!$5"</f>
        <v>#VALUE!</v>
      </c>
      <c r="DB1" t="e">
        <f>'Site Codes'!40:40-"r[&amp;!$6"</f>
        <v>#VALUE!</v>
      </c>
      <c r="DC1" t="e">
        <f>'Site Codes'!41:41-"r[&amp;!$7"</f>
        <v>#VALUE!</v>
      </c>
      <c r="DD1" t="e">
        <f>'Site Codes'!42:42-"r[&amp;!$8"</f>
        <v>#VALUE!</v>
      </c>
      <c r="DE1" t="e">
        <f>'Site Codes'!43:43-"r[&amp;!$9"</f>
        <v>#VALUE!</v>
      </c>
      <c r="DF1" t="e">
        <f>'Site Codes'!44:44-"r[&amp;!$:"</f>
        <v>#VALUE!</v>
      </c>
      <c r="DG1" t="e">
        <f>'Site Codes'!45:45-"r[&amp;!$;"</f>
        <v>#VALUE!</v>
      </c>
      <c r="DH1" t="e">
        <f>'Site Codes'!46:46-"r[&amp;!$&lt;"</f>
        <v>#VALUE!</v>
      </c>
      <c r="DI1" t="e">
        <f>'Site Codes'!47:47-"r[&amp;!$="</f>
        <v>#VALUE!</v>
      </c>
      <c r="DJ1" t="e">
        <f>'Site Codes'!48:48-"r[&amp;!$&gt;"</f>
        <v>#VALUE!</v>
      </c>
      <c r="DK1" t="e">
        <f>'Site Codes'!49:49-"r[&amp;!$?"</f>
        <v>#VALUE!</v>
      </c>
      <c r="DL1" t="e">
        <f>'Site Codes'!50:50-"r[&amp;!$@"</f>
        <v>#VALUE!</v>
      </c>
      <c r="DM1" t="e">
        <f>'Site Codes'!51:51-"r[&amp;!$A"</f>
        <v>#VALUE!</v>
      </c>
      <c r="DN1" t="e">
        <f>'Site Codes'!52:52-"r[&amp;!$B"</f>
        <v>#VALUE!</v>
      </c>
      <c r="DO1" t="e">
        <f>'Site Codes'!53:53-"r[&amp;!$C"</f>
        <v>#VALUE!</v>
      </c>
      <c r="DP1" t="e">
        <f>'Site Codes'!54:54-"r[&amp;!$D"</f>
        <v>#VALUE!</v>
      </c>
      <c r="DQ1" t="e">
        <f>'Site Codes'!#REF!-"r[&amp;!$E"</f>
        <v>#REF!</v>
      </c>
      <c r="DR1" t="e">
        <f>'Site Codes'!55:55-"r[&amp;!$F"</f>
        <v>#VALUE!</v>
      </c>
      <c r="DS1" t="e">
        <f>'Site Codes'!56:56-"r[&amp;!$G"</f>
        <v>#VALUE!</v>
      </c>
      <c r="DT1" t="e">
        <f>'Site Codes'!57:57-"r[&amp;!$H"</f>
        <v>#VALUE!</v>
      </c>
      <c r="DU1" t="e">
        <f>'Site Codes'!58:58-"r[&amp;!$I"</f>
        <v>#VALUE!</v>
      </c>
      <c r="DV1" t="e">
        <f>'Site Codes'!59:59-"r[&amp;!$J"</f>
        <v>#VALUE!</v>
      </c>
      <c r="DW1" t="e">
        <f>'Site Codes'!#REF!-"r[&amp;!$K"</f>
        <v>#REF!</v>
      </c>
      <c r="DX1" t="e">
        <f>'Site Codes'!60:60-"r[&amp;!$L"</f>
        <v>#VALUE!</v>
      </c>
      <c r="DY1" t="e">
        <f>'Site Codes'!61:61-"r[&amp;!$M"</f>
        <v>#VALUE!</v>
      </c>
      <c r="DZ1" t="e">
        <f>'Site Codes'!62:62-"r[&amp;!$N"</f>
        <v>#VALUE!</v>
      </c>
      <c r="EA1" t="e">
        <f>'Site Codes'!63:63-"r[&amp;!$O"</f>
        <v>#VALUE!</v>
      </c>
      <c r="EB1" t="e">
        <f>'Site Codes'!64:64-"r[&amp;!$P"</f>
        <v>#VALUE!</v>
      </c>
      <c r="EC1" t="e">
        <f>'Site Codes'!65:65-"r[&amp;!$Q"</f>
        <v>#VALUE!</v>
      </c>
      <c r="ED1" t="e">
        <f>'Site Codes'!66:66-"r[&amp;!$R"</f>
        <v>#VALUE!</v>
      </c>
      <c r="EE1" t="e">
        <f>'Site Codes'!67:67-"r[&amp;!$S"</f>
        <v>#VALUE!</v>
      </c>
      <c r="EF1" t="e">
        <f>'Site Codes'!68:68-"r[&amp;!$T"</f>
        <v>#VALUE!</v>
      </c>
      <c r="EG1" t="e">
        <f>'Site Codes'!69:69-"r[&amp;!$U"</f>
        <v>#VALUE!</v>
      </c>
      <c r="EH1" t="e">
        <f>'Site Codes'!70:70-"r[&amp;!$V"</f>
        <v>#VALUE!</v>
      </c>
      <c r="EI1" t="e">
        <f>'Site Codes'!71:71-"r[&amp;!$W"</f>
        <v>#VALUE!</v>
      </c>
      <c r="EJ1" t="e">
        <f>'Site Codes'!72:72-"r[&amp;!$X"</f>
        <v>#VALUE!</v>
      </c>
      <c r="EK1" t="e">
        <f>'Site Codes'!73:73-"r[&amp;!$Y"</f>
        <v>#VALUE!</v>
      </c>
      <c r="EL1" t="e">
        <f>'Site Codes'!74:74-"r[&amp;!$Z"</f>
        <v>#VALUE!</v>
      </c>
      <c r="EM1" t="e">
        <f>'Site Codes'!75:75-"r[&amp;!$["</f>
        <v>#VALUE!</v>
      </c>
      <c r="EN1" t="e">
        <f>'Site Codes'!76:76-"r[&amp;!$\"</f>
        <v>#VALUE!</v>
      </c>
      <c r="EO1" t="e">
        <f>'Site Codes'!77:77-"r[&amp;!$]"</f>
        <v>#VALUE!</v>
      </c>
      <c r="EP1" t="e">
        <f>'Site Codes'!78:78-"r[&amp;!$^"</f>
        <v>#VALUE!</v>
      </c>
      <c r="EQ1" t="e">
        <f>'Site Codes'!79:79-"r[&amp;!$_"</f>
        <v>#VALUE!</v>
      </c>
      <c r="ER1" t="e">
        <f>'Site Codes'!80:80-"r[&amp;!$`"</f>
        <v>#VALUE!</v>
      </c>
      <c r="ES1" t="e">
        <f>'Site Codes'!81:81-"r[&amp;!$a"</f>
        <v>#VALUE!</v>
      </c>
      <c r="ET1" t="e">
        <f>'Site Codes'!82:82-"r[&amp;!$b"</f>
        <v>#VALUE!</v>
      </c>
      <c r="EU1" t="e">
        <f>'Site Codes'!83:83-"r[&amp;!$c"</f>
        <v>#VALUE!</v>
      </c>
      <c r="EV1" t="e">
        <f>'Site Codes'!84:84-"r[&amp;!$d"</f>
        <v>#VALUE!</v>
      </c>
      <c r="EW1" t="e">
        <f>'Site Codes'!85:85-"r[&amp;!$e"</f>
        <v>#VALUE!</v>
      </c>
      <c r="EX1" t="e">
        <f>'Site Codes'!86:86-"r[&amp;!$f"</f>
        <v>#VALUE!</v>
      </c>
      <c r="EY1" t="e">
        <f>'Site Codes'!87:87-"r[&amp;!$g"</f>
        <v>#VALUE!</v>
      </c>
      <c r="EZ1" t="e">
        <f>'Site Codes'!88:88-"r[&amp;!$h"</f>
        <v>#VALUE!</v>
      </c>
      <c r="FA1" t="e">
        <f>'Site Codes'!#REF!-"r[&amp;!$i"</f>
        <v>#REF!</v>
      </c>
      <c r="FB1" t="e">
        <f>'Site Codes'!89:89-"r[&amp;!$j"</f>
        <v>#VALUE!</v>
      </c>
      <c r="FC1" t="e">
        <f>'Site Codes'!90:90-"r[&amp;!$k"</f>
        <v>#VALUE!</v>
      </c>
      <c r="FD1" t="e">
        <f>'Site Codes'!91:91-"r[&amp;!$l"</f>
        <v>#VALUE!</v>
      </c>
      <c r="FE1" t="e">
        <f>'Site Codes'!92:92-"r[&amp;!$m"</f>
        <v>#VALUE!</v>
      </c>
      <c r="FF1" t="e">
        <f>'Site Codes'!93:93-"r[&amp;!$n"</f>
        <v>#VALUE!</v>
      </c>
      <c r="FG1" t="e">
        <f>'Site Codes'!#REF!-"r[&amp;!$o"</f>
        <v>#REF!</v>
      </c>
      <c r="FH1" t="e">
        <f>'Site Codes'!94:94-"r[&amp;!$p"</f>
        <v>#VALUE!</v>
      </c>
      <c r="FI1" t="e">
        <f>'Site Codes'!95:95-"r[&amp;!$q"</f>
        <v>#VALUE!</v>
      </c>
      <c r="FJ1" t="e">
        <f>'Site Codes'!96:96-"r[&amp;!$r"</f>
        <v>#VALUE!</v>
      </c>
      <c r="FK1" t="e">
        <f>'Site Codes'!97:97-"r[&amp;!$s"</f>
        <v>#VALUE!</v>
      </c>
      <c r="FL1" t="e">
        <f>'Site Codes'!98:98-"r[&amp;!$t"</f>
        <v>#VALUE!</v>
      </c>
      <c r="FM1" t="e">
        <f>'Site Codes'!99:99-"r[&amp;!$u"</f>
        <v>#VALUE!</v>
      </c>
      <c r="FN1" t="e">
        <f>'Site Codes'!100:100-"r[&amp;!$v"</f>
        <v>#VALUE!</v>
      </c>
      <c r="FO1" t="e">
        <f>'Site Codes'!101:101-"r[&amp;!$w"</f>
        <v>#VALUE!</v>
      </c>
      <c r="FP1" t="e">
        <f>'Site Codes'!102:102-"r[&amp;!$x"</f>
        <v>#VALUE!</v>
      </c>
      <c r="FQ1" t="e">
        <f>'Site Codes'!103:103-"r[&amp;!$y"</f>
        <v>#VALUE!</v>
      </c>
      <c r="FR1" t="e">
        <f>'Site Codes'!104:104-"r[&amp;!$z"</f>
        <v>#VALUE!</v>
      </c>
      <c r="FS1" t="e">
        <f>'Site Codes'!105:105-"r[&amp;!${"</f>
        <v>#VALUE!</v>
      </c>
      <c r="FT1" t="e">
        <f>'Site Codes'!106:106-"r[&amp;!$|"</f>
        <v>#VALUE!</v>
      </c>
      <c r="FU1" t="e">
        <f>'Site Codes'!107:107-"r[&amp;!$}"</f>
        <v>#VALUE!</v>
      </c>
      <c r="FV1" t="e">
        <f>'Site Codes'!108:108-"r[&amp;!$~"</f>
        <v>#VALUE!</v>
      </c>
      <c r="FW1" t="e">
        <f>'Site Codes'!109:109-"r[&amp;!%#"</f>
        <v>#VALUE!</v>
      </c>
      <c r="FX1" t="e">
        <f>'Site Codes'!110:110-"r[&amp;!%$"</f>
        <v>#VALUE!</v>
      </c>
      <c r="FY1" t="e">
        <f>'Site Codes'!111:111-"r[&amp;!%%"</f>
        <v>#VALUE!</v>
      </c>
      <c r="FZ1" t="e">
        <f>'Site Codes'!112:112-"r[&amp;!%&amp;"</f>
        <v>#VALUE!</v>
      </c>
      <c r="GA1" t="e">
        <f>'Site Codes'!113:113-"r[&amp;!%'"</f>
        <v>#VALUE!</v>
      </c>
      <c r="GB1" t="e">
        <f>'Site Codes'!114:114-"r[&amp;!%("</f>
        <v>#VALUE!</v>
      </c>
      <c r="GC1" t="e">
        <f>'Site Codes'!115:115-"r[&amp;!%)"</f>
        <v>#VALUE!</v>
      </c>
      <c r="GD1" t="e">
        <f>'Site Codes'!116:116-"r[&amp;!%."</f>
        <v>#VALUE!</v>
      </c>
      <c r="GE1" t="e">
        <f>'Site Codes'!117:117-"r[&amp;!%/"</f>
        <v>#VALUE!</v>
      </c>
      <c r="GF1" t="e">
        <f>'Site Codes'!118:118-"r[&amp;!%0"</f>
        <v>#VALUE!</v>
      </c>
      <c r="GG1" t="e">
        <f>'Site Codes'!119:119-"r[&amp;!%1"</f>
        <v>#VALUE!</v>
      </c>
      <c r="GH1" t="e">
        <f>'Site Codes'!120:120-"r[&amp;!%2"</f>
        <v>#VALUE!</v>
      </c>
      <c r="GI1" t="e">
        <f>'Site Codes'!121:121-"r[&amp;!%3"</f>
        <v>#VALUE!</v>
      </c>
      <c r="GJ1" t="e">
        <f>'Site Codes'!122:122-"r[&amp;!%4"</f>
        <v>#VALUE!</v>
      </c>
      <c r="GK1" t="e">
        <f>'Site Codes'!#REF!-"r[&amp;!%5"</f>
        <v>#REF!</v>
      </c>
      <c r="GL1" t="e">
        <f>'Site Codes'!123:123-"r[&amp;!%6"</f>
        <v>#VALUE!</v>
      </c>
      <c r="GM1" t="e">
        <f>'Site Codes'!124:124-"r[&amp;!%7"</f>
        <v>#VALUE!</v>
      </c>
      <c r="GN1" t="e">
        <f>'Site Codes'!125:125-"r[&amp;!%8"</f>
        <v>#VALUE!</v>
      </c>
      <c r="GO1" t="e">
        <f>'Site Codes'!126:126-"r[&amp;!%9"</f>
        <v>#VALUE!</v>
      </c>
      <c r="GP1" t="e">
        <f>'Site Codes'!127:127-"r[&amp;!%:"</f>
        <v>#VALUE!</v>
      </c>
      <c r="GQ1" t="e">
        <f>'Site Codes'!#REF!-"r[&amp;!%;"</f>
        <v>#REF!</v>
      </c>
      <c r="GR1" t="e">
        <f>'Site Codes'!128:128-"r[&amp;!%&lt;"</f>
        <v>#VALUE!</v>
      </c>
      <c r="GS1" t="e">
        <f>'Site Codes'!129:129-"r[&amp;!%="</f>
        <v>#VALUE!</v>
      </c>
      <c r="GT1" t="e">
        <f>'Site Codes'!130:130-"r[&amp;!%&gt;"</f>
        <v>#VALUE!</v>
      </c>
      <c r="GU1" t="e">
        <f>'Site Codes'!131:131-"r[&amp;!%?"</f>
        <v>#VALUE!</v>
      </c>
      <c r="GV1" t="e">
        <f>'Site Codes'!132:132-"r[&amp;!%@"</f>
        <v>#VALUE!</v>
      </c>
      <c r="GW1" t="e">
        <f>'Site Codes'!133:133-"r[&amp;!%A"</f>
        <v>#VALUE!</v>
      </c>
      <c r="GX1" t="e">
        <f>'Site Codes'!134:134-"r[&amp;!%B"</f>
        <v>#VALUE!</v>
      </c>
      <c r="GY1" t="e">
        <f>'Site Codes'!135:135-"r[&amp;!%C"</f>
        <v>#VALUE!</v>
      </c>
      <c r="GZ1" t="e">
        <f>'Site Codes'!136:136-"r[&amp;!%D"</f>
        <v>#VALUE!</v>
      </c>
      <c r="HA1" t="e">
        <f>'Site Codes'!137:137-"r[&amp;!%E"</f>
        <v>#VALUE!</v>
      </c>
      <c r="HB1" t="e">
        <f>'Site Codes'!138:138-"r[&amp;!%F"</f>
        <v>#VALUE!</v>
      </c>
      <c r="HC1" t="e">
        <f>'Site Codes'!139:139-"r[&amp;!%G"</f>
        <v>#VALUE!</v>
      </c>
      <c r="HD1" t="e">
        <f>'Site Codes'!140:140-"r[&amp;!%H"</f>
        <v>#VALUE!</v>
      </c>
      <c r="HE1" t="e">
        <f>'Site Codes'!141:141-"r[&amp;!%I"</f>
        <v>#VALUE!</v>
      </c>
      <c r="HF1" t="e">
        <f>'Site Codes'!142:142-"r[&amp;!%J"</f>
        <v>#VALUE!</v>
      </c>
      <c r="HG1" t="e">
        <f>'Site Codes'!143:143-"r[&amp;!%K"</f>
        <v>#VALUE!</v>
      </c>
      <c r="HH1" t="e">
        <f>'Site Codes'!144:144-"r[&amp;!%L"</f>
        <v>#VALUE!</v>
      </c>
      <c r="HI1" t="e">
        <f>'Site Codes'!145:145-"r[&amp;!%M"</f>
        <v>#VALUE!</v>
      </c>
      <c r="HJ1" t="e">
        <f>'Site Codes'!146:146-"r[&amp;!%N"</f>
        <v>#VALUE!</v>
      </c>
      <c r="HK1" t="e">
        <f>'Site Codes'!147:147-"r[&amp;!%O"</f>
        <v>#VALUE!</v>
      </c>
      <c r="HL1" t="e">
        <f>'Site Codes'!148:148-"r[&amp;!%P"</f>
        <v>#VALUE!</v>
      </c>
      <c r="HM1" t="e">
        <f>'Site Codes'!149:149-"r[&amp;!%Q"</f>
        <v>#VALUE!</v>
      </c>
      <c r="HN1" t="e">
        <f>'Site Codes'!150:150-"r[&amp;!%R"</f>
        <v>#VALUE!</v>
      </c>
      <c r="HO1" t="e">
        <f>'Site Codes'!151:151-"r[&amp;!%S"</f>
        <v>#VALUE!</v>
      </c>
      <c r="HP1" t="e">
        <f>'Site Codes'!152:152-"r[&amp;!%T"</f>
        <v>#VALUE!</v>
      </c>
      <c r="HQ1" t="e">
        <f>'Site Codes'!153:153-"r[&amp;!%U"</f>
        <v>#VALUE!</v>
      </c>
      <c r="HR1" t="e">
        <f>'Site Codes'!154:154-"r[&amp;!%V"</f>
        <v>#VALUE!</v>
      </c>
      <c r="HS1" t="e">
        <f>'Site Codes'!155:155-"r[&amp;!%W"</f>
        <v>#VALUE!</v>
      </c>
      <c r="HT1" t="e">
        <f>'Site Codes'!156:156-"r[&amp;!%X"</f>
        <v>#VALUE!</v>
      </c>
      <c r="HU1" t="e">
        <f>'Site Codes'!#REF!-"r[&amp;!%Y"</f>
        <v>#REF!</v>
      </c>
      <c r="HV1" t="e">
        <f>'Site Codes'!157:157-"r[&amp;!%Z"</f>
        <v>#VALUE!</v>
      </c>
      <c r="HW1" t="e">
        <f>'Site Codes'!158:158-"r[&amp;!%["</f>
        <v>#VALUE!</v>
      </c>
      <c r="HX1" t="e">
        <f>'Site Codes'!159:159-"r[&amp;!%\"</f>
        <v>#VALUE!</v>
      </c>
      <c r="HY1" t="e">
        <f>'Site Codes'!160:160-"r[&amp;!%]"</f>
        <v>#VALUE!</v>
      </c>
      <c r="HZ1" t="e">
        <f>'Site Codes'!161:161-"r[&amp;!%^"</f>
        <v>#VALUE!</v>
      </c>
      <c r="IA1" t="e">
        <f>'Site Codes'!#REF!-"r[&amp;!%_"</f>
        <v>#REF!</v>
      </c>
      <c r="IB1" t="e">
        <f>'Site Codes'!162:162-"r[&amp;!%`"</f>
        <v>#VALUE!</v>
      </c>
      <c r="IC1" t="e">
        <f>'Site Codes'!163:163-"r[&amp;!%a"</f>
        <v>#VALUE!</v>
      </c>
      <c r="ID1" t="e">
        <f>'Site Codes'!164:164-"r[&amp;!%b"</f>
        <v>#VALUE!</v>
      </c>
      <c r="IE1" t="e">
        <f>'Site Codes'!165:165-"r[&amp;!%c"</f>
        <v>#VALUE!</v>
      </c>
      <c r="IF1" t="e">
        <f>'Site Codes'!166:166-"r[&amp;!%d"</f>
        <v>#VALUE!</v>
      </c>
      <c r="IG1" t="e">
        <f>'Site Codes'!167:167-"r[&amp;!%e"</f>
        <v>#VALUE!</v>
      </c>
      <c r="IH1" t="e">
        <f>'Site Codes'!168:168-"r[&amp;!%f"</f>
        <v>#VALUE!</v>
      </c>
      <c r="II1" t="e">
        <f>'Site Codes'!169:169-"r[&amp;!%g"</f>
        <v>#VALUE!</v>
      </c>
      <c r="IJ1" t="e">
        <f>'Site Codes'!170:170-"r[&amp;!%h"</f>
        <v>#VALUE!</v>
      </c>
      <c r="IK1" t="e">
        <f>'Site Codes'!171:171-"r[&amp;!%i"</f>
        <v>#VALUE!</v>
      </c>
      <c r="IL1" t="e">
        <f>'Site Codes'!172:172-"r[&amp;!%j"</f>
        <v>#VALUE!</v>
      </c>
      <c r="IM1" t="e">
        <f>'Site Codes'!173:173-"r[&amp;!%k"</f>
        <v>#VALUE!</v>
      </c>
      <c r="IN1" t="e">
        <f>'Site Codes'!174:174-"r[&amp;!%l"</f>
        <v>#VALUE!</v>
      </c>
      <c r="IO1" t="e">
        <f>'Site Codes'!175:175-"r[&amp;!%m"</f>
        <v>#VALUE!</v>
      </c>
      <c r="IP1" t="e">
        <f>'Site Codes'!176:176-"r[&amp;!%n"</f>
        <v>#VALUE!</v>
      </c>
      <c r="IQ1" t="e">
        <f>'Site Codes'!177:177-"r[&amp;!%o"</f>
        <v>#VALUE!</v>
      </c>
      <c r="IR1" t="e">
        <f>'Site Codes'!178:178-"r[&amp;!%p"</f>
        <v>#VALUE!</v>
      </c>
      <c r="IS1" t="e">
        <f>'Site Codes'!179:179-"r[&amp;!%q"</f>
        <v>#VALUE!</v>
      </c>
      <c r="IT1" t="e">
        <f>'Site Codes'!180:180-"r[&amp;!%r"</f>
        <v>#VALUE!</v>
      </c>
      <c r="IU1" t="e">
        <f>'Site Codes'!181:181-"r[&amp;!%s"</f>
        <v>#VALUE!</v>
      </c>
      <c r="IV1" t="e">
        <f>'Site Codes'!182:182-"r[&amp;!%t"</f>
        <v>#VALUE!</v>
      </c>
    </row>
    <row r="2" spans="1:256">
      <c r="A2" t="s">
        <v>1399</v>
      </c>
      <c r="F2" t="e">
        <f>'Site Codes'!183:183-"r[&amp;!%u"</f>
        <v>#VALUE!</v>
      </c>
      <c r="G2" t="e">
        <f>'Site Codes'!184:184-"r[&amp;!%v"</f>
        <v>#VALUE!</v>
      </c>
      <c r="H2" t="e">
        <f>'Site Codes'!185:185-"r[&amp;!%w"</f>
        <v>#VALUE!</v>
      </c>
      <c r="I2" t="e">
        <f>'Site Codes'!186:186-"r[&amp;!%x"</f>
        <v>#VALUE!</v>
      </c>
      <c r="J2" t="e">
        <f>'Site Codes'!187:187-"r[&amp;!%y"</f>
        <v>#VALUE!</v>
      </c>
      <c r="K2" t="e">
        <f>'Site Codes'!188:188-"r[&amp;!%z"</f>
        <v>#VALUE!</v>
      </c>
      <c r="L2" t="e">
        <f>'Site Codes'!189:189-"r[&amp;!%{"</f>
        <v>#VALUE!</v>
      </c>
      <c r="M2" t="e">
        <f>'Site Codes'!190:190-"r[&amp;!%|"</f>
        <v>#VALUE!</v>
      </c>
      <c r="N2" t="e">
        <f>'Site Codes'!#REF!-"r[&amp;!%}"</f>
        <v>#REF!</v>
      </c>
      <c r="O2" t="e">
        <f>'Site Codes'!191:191-"r[&amp;!%~"</f>
        <v>#VALUE!</v>
      </c>
      <c r="P2" t="e">
        <f>'Site Codes'!192:192-"r[&amp;!&amp;#"</f>
        <v>#VALUE!</v>
      </c>
      <c r="Q2" t="e">
        <f>'Site Codes'!193:193-"r[&amp;!&amp;$"</f>
        <v>#VALUE!</v>
      </c>
      <c r="R2" t="e">
        <f>'Site Codes'!194:194-"r[&amp;!&amp;%"</f>
        <v>#VALUE!</v>
      </c>
      <c r="S2" t="e">
        <f>'Site Codes'!195:195-"r[&amp;!&amp;&amp;"</f>
        <v>#VALUE!</v>
      </c>
      <c r="T2" t="e">
        <f>'Site Codes'!#REF!-"r[&amp;!&amp;'"</f>
        <v>#REF!</v>
      </c>
      <c r="U2" t="e">
        <f>'Site Codes'!196:196-"r[&amp;!&amp;("</f>
        <v>#VALUE!</v>
      </c>
      <c r="V2" t="e">
        <f>'Site Codes'!197:197-"r[&amp;!&amp;)"</f>
        <v>#VALUE!</v>
      </c>
      <c r="W2" t="e">
        <f>'Site Codes'!198:198-"r[&amp;!&amp;."</f>
        <v>#VALUE!</v>
      </c>
      <c r="X2" t="e">
        <f>'Site Codes'!199:199-"r[&amp;!&amp;/"</f>
        <v>#VALUE!</v>
      </c>
      <c r="Y2" t="e">
        <f>'Site Codes'!200:200-"r[&amp;!&amp;0"</f>
        <v>#VALUE!</v>
      </c>
      <c r="Z2" t="e">
        <f>'Site Codes'!201:201-"r[&amp;!&amp;1"</f>
        <v>#VALUE!</v>
      </c>
      <c r="AA2" t="e">
        <f>'Site Codes'!202:202-"r[&amp;!&amp;2"</f>
        <v>#VALUE!</v>
      </c>
      <c r="AB2" t="e">
        <f>'Site Codes'!203:203-"r[&amp;!&amp;3"</f>
        <v>#VALUE!</v>
      </c>
      <c r="AC2" t="e">
        <f>'Site Codes'!204:204-"r[&amp;!&amp;4"</f>
        <v>#VALUE!</v>
      </c>
      <c r="AD2" t="e">
        <f>'Site Codes'!205:205-"r[&amp;!&amp;5"</f>
        <v>#VALUE!</v>
      </c>
      <c r="AE2" t="e">
        <f>'Site Codes'!206:206-"r[&amp;!&amp;6"</f>
        <v>#VALUE!</v>
      </c>
      <c r="AF2" t="e">
        <f>'Site Codes'!207:207-"r[&amp;!&amp;7"</f>
        <v>#VALUE!</v>
      </c>
      <c r="AG2" t="e">
        <f>'Site Codes'!208:208-"r[&amp;!&amp;8"</f>
        <v>#VALUE!</v>
      </c>
      <c r="AH2" t="e">
        <f>'Site Codes'!209:209-"r[&amp;!&amp;9"</f>
        <v>#VALUE!</v>
      </c>
      <c r="AI2" t="e">
        <f>'Site Codes'!210:210-"r[&amp;!&amp;:"</f>
        <v>#VALUE!</v>
      </c>
      <c r="AJ2" t="e">
        <f>'Site Codes'!211:211-"r[&amp;!&amp;;"</f>
        <v>#VALUE!</v>
      </c>
      <c r="AK2" t="e">
        <f>'Site Codes'!212:212-"r[&amp;!&amp;&lt;"</f>
        <v>#VALUE!</v>
      </c>
      <c r="AL2" t="e">
        <f>'Site Codes'!213:213-"r[&amp;!&amp;="</f>
        <v>#VALUE!</v>
      </c>
      <c r="AM2" t="e">
        <f>'Site Codes'!214:214-"r[&amp;!&amp;&gt;"</f>
        <v>#VALUE!</v>
      </c>
      <c r="AN2" t="e">
        <f>'Site Codes'!215:215-"r[&amp;!&amp;?"</f>
        <v>#VALUE!</v>
      </c>
      <c r="AO2" t="e">
        <f>'Site Codes'!216:216-"r[&amp;!&amp;@"</f>
        <v>#VALUE!</v>
      </c>
      <c r="AP2" t="e">
        <f>'Site Codes'!217:217-"r[&amp;!&amp;A"</f>
        <v>#VALUE!</v>
      </c>
      <c r="AQ2" t="e">
        <f>'Site Codes'!218:218-"r[&amp;!&amp;B"</f>
        <v>#VALUE!</v>
      </c>
      <c r="AR2" t="e">
        <f>'Site Codes'!219:219-"r[&amp;!&amp;C"</f>
        <v>#VALUE!</v>
      </c>
      <c r="AS2" t="e">
        <f>'Site Codes'!220:220-"r[&amp;!&amp;D"</f>
        <v>#VALUE!</v>
      </c>
      <c r="AT2" t="e">
        <f>'Site Codes'!221:221-"r[&amp;!&amp;E"</f>
        <v>#VALUE!</v>
      </c>
      <c r="AU2" t="e">
        <f>'Site Codes'!222:222-"r[&amp;!&amp;F"</f>
        <v>#VALUE!</v>
      </c>
      <c r="AV2" t="e">
        <f>'Site Codes'!223:223-"r[&amp;!&amp;G"</f>
        <v>#VALUE!</v>
      </c>
      <c r="AW2" t="e">
        <f>'Site Codes'!224:224-"r[&amp;!&amp;H"</f>
        <v>#VALUE!</v>
      </c>
      <c r="AX2" t="e">
        <f>'Site Codes'!#REF!-"r[&amp;!&amp;I"</f>
        <v>#REF!</v>
      </c>
      <c r="AY2" t="e">
        <f>'Site Codes'!225:225-"r[&amp;!&amp;J"</f>
        <v>#VALUE!</v>
      </c>
      <c r="AZ2" t="e">
        <f>'Site Codes'!226:226-"r[&amp;!&amp;K"</f>
        <v>#VALUE!</v>
      </c>
      <c r="BA2" t="e">
        <f>'Site Codes'!227:227-"r[&amp;!&amp;L"</f>
        <v>#VALUE!</v>
      </c>
      <c r="BB2" t="e">
        <f>'Site Codes'!228:228-"r[&amp;!&amp;M"</f>
        <v>#VALUE!</v>
      </c>
      <c r="BC2" t="e">
        <f>'Site Codes'!229:229-"r[&amp;!&amp;N"</f>
        <v>#VALUE!</v>
      </c>
      <c r="BD2" t="e">
        <f>'Site Codes'!#REF!-"r[&amp;!&amp;O"</f>
        <v>#REF!</v>
      </c>
      <c r="BE2" t="e">
        <f>'Site Codes'!231:231-"r[&amp;!&amp;P"</f>
        <v>#VALUE!</v>
      </c>
      <c r="BF2" t="e">
        <f>'Site Codes'!232:232-"r[&amp;!&amp;Q"</f>
        <v>#VALUE!</v>
      </c>
      <c r="BG2" t="e">
        <f>'Site Codes'!233:233-"r[&amp;!&amp;R"</f>
        <v>#VALUE!</v>
      </c>
      <c r="BH2" t="e">
        <f>'Site Codes'!234:234-"r[&amp;!&amp;S"</f>
        <v>#VALUE!</v>
      </c>
      <c r="BI2" t="e">
        <f>'Site Codes'!235:235-"r[&amp;!&amp;T"</f>
        <v>#VALUE!</v>
      </c>
      <c r="BJ2" t="e">
        <f>'Site Codes'!236:236-"r[&amp;!&amp;U"</f>
        <v>#VALUE!</v>
      </c>
      <c r="BK2" t="e">
        <f>'Site Codes'!237:237-"r[&amp;!&amp;V"</f>
        <v>#VALUE!</v>
      </c>
      <c r="BL2" t="e">
        <f>'Site Codes'!238:238-"r[&amp;!&amp;W"</f>
        <v>#VALUE!</v>
      </c>
      <c r="BM2" t="e">
        <f>'Site Codes'!239:239-"r[&amp;!&amp;X"</f>
        <v>#VALUE!</v>
      </c>
      <c r="BN2" t="e">
        <f>'Site Codes'!240:240-"r[&amp;!&amp;Y"</f>
        <v>#VALUE!</v>
      </c>
      <c r="BO2" t="e">
        <f>'Site Codes'!241:241-"r[&amp;!&amp;Z"</f>
        <v>#VALUE!</v>
      </c>
      <c r="BP2" t="e">
        <f>'Site Codes'!242:242-"r[&amp;!&amp;["</f>
        <v>#VALUE!</v>
      </c>
      <c r="BQ2" t="e">
        <f>'Site Codes'!243:243-"r[&amp;!&amp;\"</f>
        <v>#VALUE!</v>
      </c>
      <c r="BR2" t="e">
        <f>'Site Codes'!244:244-"r[&amp;!&amp;]"</f>
        <v>#VALUE!</v>
      </c>
      <c r="BS2" t="e">
        <f>'Site Codes'!245:245-"r[&amp;!&amp;^"</f>
        <v>#VALUE!</v>
      </c>
      <c r="BT2" t="e">
        <f>'Site Codes'!246:246-"r[&amp;!&amp;_"</f>
        <v>#VALUE!</v>
      </c>
      <c r="BU2" t="e">
        <f>'Site Codes'!247:247-"r[&amp;!&amp;`"</f>
        <v>#VALUE!</v>
      </c>
      <c r="BV2" t="e">
        <f>'Site Codes'!248:248-"r[&amp;!&amp;a"</f>
        <v>#VALUE!</v>
      </c>
      <c r="BW2" t="e">
        <f>'Site Codes'!249:249-"r[&amp;!&amp;b"</f>
        <v>#VALUE!</v>
      </c>
      <c r="BX2" t="e">
        <f>'Site Codes'!250:250-"r[&amp;!&amp;c"</f>
        <v>#VALUE!</v>
      </c>
      <c r="BY2" t="e">
        <f>'Site Codes'!251:251-"r[&amp;!&amp;d"</f>
        <v>#VALUE!</v>
      </c>
      <c r="BZ2" t="e">
        <f>'Site Codes'!252:252-"r[&amp;!&amp;e"</f>
        <v>#VALUE!</v>
      </c>
      <c r="CA2" t="e">
        <f>'Site Codes'!253:253-"r[&amp;!&amp;f"</f>
        <v>#VALUE!</v>
      </c>
      <c r="CB2" t="e">
        <f>'Site Codes'!254:254-"r[&amp;!&amp;g"</f>
        <v>#VALUE!</v>
      </c>
      <c r="CC2" t="e">
        <f>'Site Codes'!255:255-"r[&amp;!&amp;h"</f>
        <v>#VALUE!</v>
      </c>
      <c r="CD2" t="e">
        <f>'Site Codes'!256:256-"r[&amp;!&amp;i"</f>
        <v>#VALUE!</v>
      </c>
      <c r="CE2" t="e">
        <f>'Site Codes'!257:257-"r[&amp;!&amp;j"</f>
        <v>#VALUE!</v>
      </c>
      <c r="CF2" t="e">
        <f>'Site Codes'!258:258-"r[&amp;!&amp;k"</f>
        <v>#VALUE!</v>
      </c>
      <c r="CG2" t="e">
        <f>'Site Codes'!259:259-"r[&amp;!&amp;l"</f>
        <v>#VALUE!</v>
      </c>
      <c r="CH2" t="e">
        <f>'Site Codes'!#REF!-"r[&amp;!&amp;m"</f>
        <v>#REF!</v>
      </c>
      <c r="CI2" t="e">
        <f>'Site Codes'!260:260-"r[&amp;!&amp;n"</f>
        <v>#VALUE!</v>
      </c>
      <c r="CJ2" t="e">
        <f>'Site Codes'!261:261-"r[&amp;!&amp;o"</f>
        <v>#VALUE!</v>
      </c>
      <c r="CK2" t="e">
        <f>'Site Codes'!262:262-"r[&amp;!&amp;p"</f>
        <v>#VALUE!</v>
      </c>
      <c r="CL2" t="e">
        <f>'Site Codes'!263:263-"r[&amp;!&amp;q"</f>
        <v>#VALUE!</v>
      </c>
      <c r="CM2" t="e">
        <f>'Site Codes'!264:264-"r[&amp;!&amp;r"</f>
        <v>#VALUE!</v>
      </c>
      <c r="CN2" t="e">
        <f>'Site Codes'!#REF!-"r[&amp;!&amp;s"</f>
        <v>#REF!</v>
      </c>
      <c r="CO2" t="e">
        <f>'Site Codes'!265:265-"r[&amp;!&amp;t"</f>
        <v>#VALUE!</v>
      </c>
      <c r="CP2" t="e">
        <f>'Site Codes'!266:266-"r[&amp;!&amp;u"</f>
        <v>#VALUE!</v>
      </c>
      <c r="CQ2" t="e">
        <f>'Site Codes'!267:267-"r[&amp;!&amp;v"</f>
        <v>#VALUE!</v>
      </c>
      <c r="CR2" t="e">
        <f>'Site Codes'!268:268-"r[&amp;!&amp;w"</f>
        <v>#VALUE!</v>
      </c>
      <c r="CS2" t="e">
        <f>'Site Codes'!269:269-"r[&amp;!&amp;x"</f>
        <v>#VALUE!</v>
      </c>
      <c r="CT2" t="e">
        <f>'Site Codes'!270:270-"r[&amp;!&amp;y"</f>
        <v>#VALUE!</v>
      </c>
      <c r="CU2" t="e">
        <f>'Site Codes'!271:271-"r[&amp;!&amp;z"</f>
        <v>#VALUE!</v>
      </c>
      <c r="CV2" t="e">
        <f>'Site Codes'!272:272-"r[&amp;!&amp;{"</f>
        <v>#VALUE!</v>
      </c>
      <c r="CW2" t="e">
        <f>'Site Codes'!273:273-"r[&amp;!&amp;|"</f>
        <v>#VALUE!</v>
      </c>
      <c r="CX2" t="e">
        <f>'Site Codes'!274:274-"r[&amp;!&amp;}"</f>
        <v>#VALUE!</v>
      </c>
      <c r="CY2" t="e">
        <f>'Site Codes'!275:275-"r[&amp;!&amp;~"</f>
        <v>#VALUE!</v>
      </c>
      <c r="CZ2" t="e">
        <f>'Site Codes'!276:276-"r[&amp;!'#"</f>
        <v>#VALUE!</v>
      </c>
      <c r="DA2" t="e">
        <f>'Site Codes'!277:277-"r[&amp;!'$"</f>
        <v>#VALUE!</v>
      </c>
      <c r="DB2" t="e">
        <f>'Site Codes'!278:278-"r[&amp;!'%"</f>
        <v>#VALUE!</v>
      </c>
      <c r="DC2" t="e">
        <f>'Site Codes'!279:279-"r[&amp;!'&amp;"</f>
        <v>#VALUE!</v>
      </c>
      <c r="DD2" t="e">
        <f>'Site Codes'!280:280-"r[&amp;!''"</f>
        <v>#VALUE!</v>
      </c>
      <c r="DE2" t="e">
        <f>'Site Codes'!281:281-"r[&amp;!'("</f>
        <v>#VALUE!</v>
      </c>
      <c r="DF2" t="e">
        <f>'Site Codes'!282:282-"r[&amp;!')"</f>
        <v>#VALUE!</v>
      </c>
      <c r="DG2" t="e">
        <f>'Site Codes'!283:283-"r[&amp;!'."</f>
        <v>#VALUE!</v>
      </c>
      <c r="DH2" t="e">
        <f>'Site Codes'!284:284-"r[&amp;!'/"</f>
        <v>#VALUE!</v>
      </c>
      <c r="DI2" t="e">
        <f>'Site Codes'!285:285-"r[&amp;!'0"</f>
        <v>#VALUE!</v>
      </c>
      <c r="DJ2" t="e">
        <f>'Site Codes'!286:286-"r[&amp;!'1"</f>
        <v>#VALUE!</v>
      </c>
      <c r="DK2" t="e">
        <f>'Site Codes'!287:287-"r[&amp;!'2"</f>
        <v>#VALUE!</v>
      </c>
      <c r="DL2" t="e">
        <f>'Site Codes'!288:288-"r[&amp;!'3"</f>
        <v>#VALUE!</v>
      </c>
      <c r="DM2" t="e">
        <f>'Site Codes'!289:289-"r[&amp;!'4"</f>
        <v>#VALUE!</v>
      </c>
      <c r="DN2" t="e">
        <f>'Site Codes'!290:290-"r[&amp;!'5"</f>
        <v>#VALUE!</v>
      </c>
      <c r="DO2" t="e">
        <f>'Site Codes'!291:291-"r[&amp;!'6"</f>
        <v>#VALUE!</v>
      </c>
      <c r="DP2" t="e">
        <f>'Site Codes'!292:292-"r[&amp;!'7"</f>
        <v>#VALUE!</v>
      </c>
      <c r="DQ2" t="e">
        <f>'Site Codes'!293:293-"r[&amp;!'8"</f>
        <v>#VALUE!</v>
      </c>
      <c r="DR2" t="e">
        <f>'Site Codes'!#REF!-"r[&amp;!'9"</f>
        <v>#REF!</v>
      </c>
      <c r="DS2" t="e">
        <f>'Site Codes'!294:294-"r[&amp;!':"</f>
        <v>#VALUE!</v>
      </c>
      <c r="DT2" t="e">
        <f>'Site Codes'!295:295-"r[&amp;!';"</f>
        <v>#VALUE!</v>
      </c>
      <c r="DU2" t="e">
        <f>'Site Codes'!296:296-"r[&amp;!'&lt;"</f>
        <v>#VALUE!</v>
      </c>
      <c r="DV2" t="e">
        <f>'Site Codes'!297:297-"r[&amp;!'="</f>
        <v>#VALUE!</v>
      </c>
      <c r="DW2" t="e">
        <f>'Site Codes'!298:298-"r[&amp;!'&gt;"</f>
        <v>#VALUE!</v>
      </c>
      <c r="DX2" t="e">
        <f>'Site Codes'!#REF!-"r[&amp;!'?"</f>
        <v>#REF!</v>
      </c>
      <c r="DY2" t="e">
        <f>'Site Codes'!299:299-"r[&amp;!'@"</f>
        <v>#VALUE!</v>
      </c>
      <c r="DZ2" t="e">
        <f>'Site Codes'!300:300-"r[&amp;!'A"</f>
        <v>#VALUE!</v>
      </c>
      <c r="EA2" t="e">
        <f>'Site Codes'!301:301-"r[&amp;!'B"</f>
        <v>#VALUE!</v>
      </c>
      <c r="EB2" t="e">
        <f>'Site Codes'!302:302-"r[&amp;!'C"</f>
        <v>#VALUE!</v>
      </c>
      <c r="EC2" t="e">
        <f>'Site Codes'!303:303-"r[&amp;!'D"</f>
        <v>#VALUE!</v>
      </c>
      <c r="ED2" t="e">
        <f>'Site Codes'!304:304-"r[&amp;!'E"</f>
        <v>#VALUE!</v>
      </c>
      <c r="EE2" t="e">
        <f>'Site Codes'!305:305-"r[&amp;!'F"</f>
        <v>#VALUE!</v>
      </c>
      <c r="EF2" t="e">
        <f>'Site Codes'!306:306-"r[&amp;!'G"</f>
        <v>#VALUE!</v>
      </c>
      <c r="EG2" t="e">
        <f>'Site Codes'!307:307-"r[&amp;!'H"</f>
        <v>#VALUE!</v>
      </c>
      <c r="EH2" t="e">
        <f>'Site Codes'!308:308-"r[&amp;!'I"</f>
        <v>#VALUE!</v>
      </c>
      <c r="EI2" t="e">
        <f>'Site Codes'!309:309-"r[&amp;!'J"</f>
        <v>#VALUE!</v>
      </c>
      <c r="EJ2" t="e">
        <f>'Site Codes'!310:310-"r[&amp;!'K"</f>
        <v>#VALUE!</v>
      </c>
      <c r="EK2" t="e">
        <f>'Site Codes'!311:311-"r[&amp;!'L"</f>
        <v>#VALUE!</v>
      </c>
      <c r="EL2" t="e">
        <f>'Site Codes'!312:312-"r[&amp;!'M"</f>
        <v>#VALUE!</v>
      </c>
      <c r="EM2" t="e">
        <f>'Site Codes'!313:313-"r[&amp;!'N"</f>
        <v>#VALUE!</v>
      </c>
      <c r="EN2" t="e">
        <f>'Site Codes'!314:314-"r[&amp;!'O"</f>
        <v>#VALUE!</v>
      </c>
      <c r="EO2" t="e">
        <f>'Site Codes'!315:315-"r[&amp;!'P"</f>
        <v>#VALUE!</v>
      </c>
      <c r="EP2" t="e">
        <f>'Site Codes'!316:316-"r[&amp;!'Q"</f>
        <v>#VALUE!</v>
      </c>
      <c r="EQ2" t="e">
        <f>'Site Codes'!317:317-"r[&amp;!'R"</f>
        <v>#VALUE!</v>
      </c>
      <c r="ER2" t="e">
        <f>'Site Codes'!318:318-"r[&amp;!'S"</f>
        <v>#VALUE!</v>
      </c>
      <c r="ES2" t="e">
        <f>'Site Codes'!319:319-"r[&amp;!'T"</f>
        <v>#VALUE!</v>
      </c>
      <c r="ET2" t="e">
        <f>'Site Codes'!320:320-"r[&amp;!'U"</f>
        <v>#VALUE!</v>
      </c>
      <c r="EU2" t="e">
        <f>'Site Codes'!321:321-"r[&amp;!'V"</f>
        <v>#VALUE!</v>
      </c>
      <c r="EV2" t="e">
        <f>'Site Codes'!322:322-"r[&amp;!'W"</f>
        <v>#VALUE!</v>
      </c>
      <c r="EW2" t="e">
        <f>'Site Codes'!323:323-"r[&amp;!'X"</f>
        <v>#VALUE!</v>
      </c>
      <c r="EX2" t="e">
        <f>'Site Codes'!324:324-"r[&amp;!'Y"</f>
        <v>#VALUE!</v>
      </c>
      <c r="EY2" t="e">
        <f>'Site Codes'!325:325-"r[&amp;!'Z"</f>
        <v>#VALUE!</v>
      </c>
      <c r="EZ2" t="e">
        <f>'Site Codes'!326:326-"r[&amp;!'["</f>
        <v>#VALUE!</v>
      </c>
      <c r="FA2" t="e">
        <f>'Site Codes'!327:327-"r[&amp;!'\"</f>
        <v>#VALUE!</v>
      </c>
      <c r="FB2" t="e">
        <f>'Site Codes'!#REF!-"r[&amp;!']"</f>
        <v>#REF!</v>
      </c>
      <c r="FC2" t="e">
        <f>'Site Codes'!328:328-"r[&amp;!'^"</f>
        <v>#VALUE!</v>
      </c>
      <c r="FD2" t="e">
        <f>'Site Codes'!329:329-"r[&amp;!'_"</f>
        <v>#VALUE!</v>
      </c>
      <c r="FE2" t="e">
        <f>'Site Codes'!330:330-"r[&amp;!'`"</f>
        <v>#VALUE!</v>
      </c>
      <c r="FF2" t="e">
        <f>'Site Codes'!331:331-"r[&amp;!'a"</f>
        <v>#VALUE!</v>
      </c>
      <c r="FG2" t="e">
        <f>'Site Codes'!332:332-"r[&amp;!'b"</f>
        <v>#VALUE!</v>
      </c>
      <c r="FH2" t="e">
        <f>'Site Codes'!#REF!-"r[&amp;!'c"</f>
        <v>#REF!</v>
      </c>
      <c r="FI2" t="e">
        <f>'Site Codes'!333:333-"r[&amp;!'d"</f>
        <v>#VALUE!</v>
      </c>
      <c r="FJ2" t="e">
        <f>'Site Codes'!334:334-"r[&amp;!'e"</f>
        <v>#VALUE!</v>
      </c>
      <c r="FK2" t="e">
        <f>'Site Codes'!335:335-"r[&amp;!'f"</f>
        <v>#VALUE!</v>
      </c>
      <c r="FL2" t="e">
        <f>'Site Codes'!336:336-"r[&amp;!'g"</f>
        <v>#VALUE!</v>
      </c>
      <c r="FM2" t="e">
        <f>'Site Codes'!337:337-"r[&amp;!'h"</f>
        <v>#VALUE!</v>
      </c>
      <c r="FN2" t="e">
        <f>'Site Codes'!338:338-"r[&amp;!'i"</f>
        <v>#VALUE!</v>
      </c>
      <c r="FO2" t="e">
        <f>'Site Codes'!339:339-"r[&amp;!'j"</f>
        <v>#VALUE!</v>
      </c>
      <c r="FP2" t="e">
        <f>'Site Codes'!340:340-"r[&amp;!'k"</f>
        <v>#VALUE!</v>
      </c>
      <c r="FQ2" t="e">
        <f>'Site Codes'!341:341-"r[&amp;!'l"</f>
        <v>#VALUE!</v>
      </c>
      <c r="FR2" t="e">
        <f>'Site Codes'!342:342-"r[&amp;!'m"</f>
        <v>#VALUE!</v>
      </c>
      <c r="FS2" t="e">
        <f>'Site Codes'!343:343-"r[&amp;!'n"</f>
        <v>#VALUE!</v>
      </c>
      <c r="FT2" t="e">
        <f>'Site Codes'!344:344-"r[&amp;!'o"</f>
        <v>#VALUE!</v>
      </c>
      <c r="FU2" t="e">
        <f>'Site Codes'!345:345-"r[&amp;!'p"</f>
        <v>#VALUE!</v>
      </c>
      <c r="FV2" t="e">
        <f>'Site Codes'!346:346-"r[&amp;!'q"</f>
        <v>#VALUE!</v>
      </c>
      <c r="FW2" t="e">
        <f>'Site Codes'!347:347-"r[&amp;!'r"</f>
        <v>#VALUE!</v>
      </c>
      <c r="FX2" t="e">
        <f>'Site Codes'!348:348-"r[&amp;!'s"</f>
        <v>#VALUE!</v>
      </c>
      <c r="FY2" t="e">
        <f>'Site Codes'!349:349-"r[&amp;!'t"</f>
        <v>#VALUE!</v>
      </c>
      <c r="FZ2" t="e">
        <f>'Site Codes'!350:350-"r[&amp;!'u"</f>
        <v>#VALUE!</v>
      </c>
      <c r="GA2" t="e">
        <f>'Site Codes'!351:351-"r[&amp;!'v"</f>
        <v>#VALUE!</v>
      </c>
      <c r="GB2" t="e">
        <f>'Site Codes'!352:352-"r[&amp;!'w"</f>
        <v>#VALUE!</v>
      </c>
      <c r="GC2" t="e">
        <f>'Site Codes'!353:353-"r[&amp;!'x"</f>
        <v>#VALUE!</v>
      </c>
      <c r="GD2" t="e">
        <f>'Site Codes'!354:354-"r[&amp;!'y"</f>
        <v>#VALUE!</v>
      </c>
      <c r="GE2" t="e">
        <f>'Site Codes'!355:355-"r[&amp;!'z"</f>
        <v>#VALUE!</v>
      </c>
      <c r="GF2" t="e">
        <f>'Site Codes'!356:356-"r[&amp;!'{"</f>
        <v>#VALUE!</v>
      </c>
      <c r="GG2" t="e">
        <f>'Site Codes'!357:357-"r[&amp;!'|"</f>
        <v>#VALUE!</v>
      </c>
      <c r="GH2" t="e">
        <f>'Site Codes'!358:358-"r[&amp;!'}"</f>
        <v>#VALUE!</v>
      </c>
      <c r="GI2" t="e">
        <f>'Site Codes'!359:359-"r[&amp;!'~"</f>
        <v>#VALUE!</v>
      </c>
      <c r="GJ2" t="e">
        <f>'Site Codes'!360:360-"r[&amp;!(#"</f>
        <v>#VALUE!</v>
      </c>
      <c r="GK2" t="e">
        <f>'Site Codes'!361:361-"r[&amp;!($"</f>
        <v>#VALUE!</v>
      </c>
      <c r="GL2" t="e">
        <f>'Site Codes'!362:362-"r[&amp;!(%"</f>
        <v>#VALUE!</v>
      </c>
      <c r="GM2" t="e">
        <f>'Site Codes'!363:363-"r[&amp;!(&amp;"</f>
        <v>#VALUE!</v>
      </c>
      <c r="GN2" t="e">
        <f>'Site Codes'!364:364-"r[&amp;!('"</f>
        <v>#VALUE!</v>
      </c>
      <c r="GO2" t="e">
        <f>'Site Codes'!365:365-"r[&amp;!(("</f>
        <v>#VALUE!</v>
      </c>
      <c r="GP2" t="e">
        <f>'Site Codes'!366:366-"r[&amp;!()"</f>
        <v>#VALUE!</v>
      </c>
      <c r="GQ2" t="e">
        <f>'Site Codes'!367:367-"r[&amp;!(."</f>
        <v>#VALUE!</v>
      </c>
      <c r="GR2" t="e">
        <f>'Site Codes'!368:368-"r[&amp;!(/"</f>
        <v>#VALUE!</v>
      </c>
      <c r="GS2" t="e">
        <f>'Site Codes'!369:369-"r[&amp;!(0"</f>
        <v>#VALUE!</v>
      </c>
      <c r="GT2" t="e">
        <f>'Site Codes'!370:370-"r[&amp;!(1"</f>
        <v>#VALUE!</v>
      </c>
      <c r="GU2" t="e">
        <f>'Site Codes'!371:371-"r[&amp;!(2"</f>
        <v>#VALUE!</v>
      </c>
      <c r="GV2" t="e">
        <f>'Site Codes'!372:372-"r[&amp;!(3"</f>
        <v>#VALUE!</v>
      </c>
      <c r="GW2" t="e">
        <f>'Site Codes'!373:373-"r[&amp;!(4"</f>
        <v>#VALUE!</v>
      </c>
      <c r="GX2" t="e">
        <f>'Site Codes'!374:374-"r[&amp;!(5"</f>
        <v>#VALUE!</v>
      </c>
      <c r="GY2" t="e">
        <f>'Site Codes'!375:375-"r[&amp;!(6"</f>
        <v>#VALUE!</v>
      </c>
      <c r="GZ2" t="e">
        <f>'Site Codes'!376:376-"r[&amp;!(7"</f>
        <v>#VALUE!</v>
      </c>
      <c r="HA2" t="e">
        <f>'Site Codes'!377:377-"r[&amp;!(8"</f>
        <v>#VALUE!</v>
      </c>
      <c r="HB2" t="e">
        <f>'Site Codes'!378:378-"r[&amp;!(9"</f>
        <v>#VALUE!</v>
      </c>
      <c r="HC2" t="e">
        <f>'Site Codes'!379:379-"r[&amp;!(:"</f>
        <v>#VALUE!</v>
      </c>
      <c r="HD2" t="e">
        <f>'Site Codes'!383:383-"r[&amp;!(;"</f>
        <v>#VALUE!</v>
      </c>
      <c r="HE2" t="e">
        <f>'Site Codes'!384:384-"r[&amp;!(&lt;"</f>
        <v>#VALUE!</v>
      </c>
      <c r="HF2" t="e">
        <f>'Site Codes'!385:385-"r[&amp;!(="</f>
        <v>#VALUE!</v>
      </c>
      <c r="HG2" t="e">
        <f>'Site Codes'!386:386-"r[&amp;!(&gt;"</f>
        <v>#VALUE!</v>
      </c>
      <c r="HH2" t="e">
        <f>'Site Codes'!387:387-"r[&amp;!(?"</f>
        <v>#VALUE!</v>
      </c>
      <c r="HI2" t="e">
        <f>'Site Codes'!388:388-"r[&amp;!(@"</f>
        <v>#VALUE!</v>
      </c>
      <c r="HJ2" t="e">
        <f>'Site Codes'!389:389-"r[&amp;!(A"</f>
        <v>#VALUE!</v>
      </c>
      <c r="HK2" t="e">
        <f>'Site Codes'!390:390-"r[&amp;!(B"</f>
        <v>#VALUE!</v>
      </c>
      <c r="HL2" t="e">
        <f>'Site Codes'!391:391-"r[&amp;!(C"</f>
        <v>#VALUE!</v>
      </c>
      <c r="HM2" t="e">
        <f>'Site Codes'!392:392-"r[&amp;!(D"</f>
        <v>#VALUE!</v>
      </c>
      <c r="HN2" t="e">
        <f>'Site Codes'!393:393-"r[&amp;!(E"</f>
        <v>#VALUE!</v>
      </c>
      <c r="HO2" t="e">
        <f>'Site Codes'!394:394-"r[&amp;!(F"</f>
        <v>#VALUE!</v>
      </c>
      <c r="HP2" t="e">
        <f>'Site Codes'!395:395-"r[&amp;!(G"</f>
        <v>#VALUE!</v>
      </c>
      <c r="HQ2" t="e">
        <f>'Site Codes'!396:396-"r[&amp;!(H"</f>
        <v>#VALUE!</v>
      </c>
      <c r="HR2" t="e">
        <f>'Site Codes'!397:397-"r[&amp;!(I"</f>
        <v>#VALUE!</v>
      </c>
      <c r="HS2" t="e">
        <f>'Site Codes'!398:398-"r[&amp;!(J"</f>
        <v>#VALUE!</v>
      </c>
      <c r="HT2" t="e">
        <f>'Site Codes'!399:399-"r[&amp;!(K"</f>
        <v>#VALUE!</v>
      </c>
      <c r="HU2" t="e">
        <f>'Site Codes'!400:400-"r[&amp;!(L"</f>
        <v>#VALUE!</v>
      </c>
      <c r="HV2" t="e">
        <f>'Site Codes'!401:401-"r[&amp;!(M"</f>
        <v>#VALUE!</v>
      </c>
      <c r="HW2" t="e">
        <f>'Site Codes'!402:402-"r[&amp;!(N"</f>
        <v>#VALUE!</v>
      </c>
      <c r="HX2" t="e">
        <f>'Site Codes'!403:403-"r[&amp;!(O"</f>
        <v>#VALUE!</v>
      </c>
      <c r="HY2" t="e">
        <f>'Site Codes'!404:404-"r[&amp;!(P"</f>
        <v>#VALUE!</v>
      </c>
      <c r="HZ2" t="e">
        <f>'Site Codes'!405:405-"r[&amp;!(Q"</f>
        <v>#VALUE!</v>
      </c>
      <c r="IA2" t="e">
        <f>'Site Codes'!406:406-"r[&amp;!(R"</f>
        <v>#VALUE!</v>
      </c>
      <c r="IB2" t="e">
        <f>'Site Codes'!407:407-"r[&amp;!(S"</f>
        <v>#VALUE!</v>
      </c>
      <c r="IC2" t="e">
        <f>'Site Codes'!408:408-"r[&amp;!(T"</f>
        <v>#VALUE!</v>
      </c>
      <c r="ID2" t="e">
        <f>'Site Codes'!409:409-"r[&amp;!(U"</f>
        <v>#VALUE!</v>
      </c>
      <c r="IE2" t="e">
        <f>'Site Codes'!410:410-"r[&amp;!(V"</f>
        <v>#VALUE!</v>
      </c>
      <c r="IF2" t="e">
        <f>'Site Codes'!411:411-"r[&amp;!(W"</f>
        <v>#VALUE!</v>
      </c>
      <c r="IG2" t="e">
        <f>'Site Codes'!412:412-"r[&amp;!(X"</f>
        <v>#VALUE!</v>
      </c>
      <c r="IH2" t="e">
        <f>'Site Codes'!413:413-"r[&amp;!(Y"</f>
        <v>#VALUE!</v>
      </c>
      <c r="II2" t="e">
        <f>'Site Codes'!414:414-"r[&amp;!(Z"</f>
        <v>#VALUE!</v>
      </c>
      <c r="IJ2" t="e">
        <f>'Site Codes'!415:415-"r[&amp;!(["</f>
        <v>#VALUE!</v>
      </c>
      <c r="IK2" t="e">
        <f>'Site Codes'!416:416-"r[&amp;!(\"</f>
        <v>#VALUE!</v>
      </c>
      <c r="IL2" t="e">
        <f>'Site Codes'!417:417-"r[&amp;!(]"</f>
        <v>#VALUE!</v>
      </c>
      <c r="IM2" t="e">
        <f>'Site Codes'!418:418-"r[&amp;!(^"</f>
        <v>#VALUE!</v>
      </c>
      <c r="IN2" t="e">
        <f>'Site Codes'!419:419-"r[&amp;!(_"</f>
        <v>#VALUE!</v>
      </c>
      <c r="IO2" t="e">
        <f>'Site Codes'!420:420-"r[&amp;!(`"</f>
        <v>#VALUE!</v>
      </c>
      <c r="IP2" t="e">
        <f>'Site Codes'!421:421-"r[&amp;!(a"</f>
        <v>#VALUE!</v>
      </c>
      <c r="IQ2" t="e">
        <f>'Site Codes'!422:422-"r[&amp;!(b"</f>
        <v>#VALUE!</v>
      </c>
      <c r="IR2" t="e">
        <f>'Site Codes'!423:423-"r[&amp;!(c"</f>
        <v>#VALUE!</v>
      </c>
      <c r="IS2" t="e">
        <f>'Site Codes'!424:424-"r[&amp;!(d"</f>
        <v>#VALUE!</v>
      </c>
      <c r="IT2" t="e">
        <f>'Site Codes'!425:425-"r[&amp;!(e"</f>
        <v>#VALUE!</v>
      </c>
      <c r="IU2" t="e">
        <f>'Site Codes'!426:426-"r[&amp;!(f"</f>
        <v>#VALUE!</v>
      </c>
      <c r="IV2" t="e">
        <f>'Site Codes'!427:427-"r[&amp;!(g"</f>
        <v>#VALUE!</v>
      </c>
    </row>
    <row r="3" spans="1:256">
      <c r="A3" t="s">
        <v>1400</v>
      </c>
      <c r="F3" t="e">
        <f>'Site Codes'!428:428-"r[&amp;!(h"</f>
        <v>#VALUE!</v>
      </c>
      <c r="G3" t="e">
        <f>'Site Codes'!429:429-"r[&amp;!(i"</f>
        <v>#VALUE!</v>
      </c>
      <c r="H3" t="e">
        <f>'Site Codes'!430:430-"r[&amp;!(j"</f>
        <v>#VALUE!</v>
      </c>
      <c r="I3" t="e">
        <f>'Site Codes'!431:431-"r[&amp;!(k"</f>
        <v>#VALUE!</v>
      </c>
      <c r="J3" t="e">
        <f>'Site Codes'!432:432-"r[&amp;!(l"</f>
        <v>#VALUE!</v>
      </c>
      <c r="K3" t="e">
        <f>'Site Codes'!433:433-"r[&amp;!(m"</f>
        <v>#VALUE!</v>
      </c>
      <c r="L3" t="e">
        <f>'Site Codes'!434:434-"r[&amp;!(n"</f>
        <v>#VALUE!</v>
      </c>
      <c r="M3" t="e">
        <f>'Site Codes'!435:435-"r[&amp;!(o"</f>
        <v>#VALUE!</v>
      </c>
      <c r="N3" t="e">
        <f>'Site Codes'!436:436-"r[&amp;!(p"</f>
        <v>#VALUE!</v>
      </c>
      <c r="O3" t="e">
        <f>'Site Codes'!437:437-"r[&amp;!(q"</f>
        <v>#VALUE!</v>
      </c>
      <c r="P3" t="e">
        <f>'Site Codes'!438:438-"r[&amp;!(r"</f>
        <v>#VALUE!</v>
      </c>
      <c r="Q3" t="e">
        <f>'Site Codes'!439:439-"r[&amp;!(s"</f>
        <v>#VALUE!</v>
      </c>
      <c r="R3" t="e">
        <f>'Site Codes'!440:440-"r[&amp;!(t"</f>
        <v>#VALUE!</v>
      </c>
      <c r="S3" t="e">
        <f>'Site Codes'!441:441-"r[&amp;!(u"</f>
        <v>#VALUE!</v>
      </c>
      <c r="T3" t="e">
        <f>'Site Codes'!442:442-"r[&amp;!(v"</f>
        <v>#VALUE!</v>
      </c>
      <c r="U3" t="e">
        <f>'Site Codes'!443:443-"r[&amp;!(w"</f>
        <v>#VALUE!</v>
      </c>
      <c r="V3" t="e">
        <f>'Site Codes'!444:444-"r[&amp;!(x"</f>
        <v>#VALUE!</v>
      </c>
      <c r="W3" t="e">
        <f>'Site Codes'!445:445-"r[&amp;!(y"</f>
        <v>#VALUE!</v>
      </c>
      <c r="X3" t="e">
        <f>'Site Codes'!446:446-"r[&amp;!(z"</f>
        <v>#VALUE!</v>
      </c>
      <c r="Y3" t="e">
        <f>'Site Codes'!447:447-"r[&amp;!({"</f>
        <v>#VALUE!</v>
      </c>
      <c r="Z3" t="e">
        <f>'Site Codes'!448:448-"r[&amp;!(|"</f>
        <v>#VALUE!</v>
      </c>
      <c r="AA3" t="e">
        <f>'Site Codes'!449:449-"r[&amp;!(}"</f>
        <v>#VALUE!</v>
      </c>
      <c r="AB3" t="e">
        <f>'Site Codes'!450:450-"r[&amp;!(~"</f>
        <v>#VALUE!</v>
      </c>
      <c r="AC3" t="e">
        <f>'Site Codes'!451:451-"r[&amp;!)#"</f>
        <v>#VALUE!</v>
      </c>
      <c r="AD3" t="e">
        <f>'Site Codes'!452:452-"r[&amp;!)$"</f>
        <v>#VALUE!</v>
      </c>
      <c r="AE3" t="e">
        <f>'Site Codes'!453:453-"r[&amp;!)%"</f>
        <v>#VALUE!</v>
      </c>
      <c r="AF3" t="e">
        <f>'Site Codes'!454:454-"r[&amp;!)&amp;"</f>
        <v>#VALUE!</v>
      </c>
      <c r="AG3" t="e">
        <f>'Site Codes'!455:455-"r[&amp;!)'"</f>
        <v>#VALUE!</v>
      </c>
      <c r="AH3" t="e">
        <f>'Site Codes'!456:456-"r[&amp;!)("</f>
        <v>#VALUE!</v>
      </c>
      <c r="AI3" t="e">
        <f>'Site Codes'!457:457-"r[&amp;!))"</f>
        <v>#VALUE!</v>
      </c>
      <c r="AJ3" t="e">
        <f>'Site Codes'!458:458-"r[&amp;!)."</f>
        <v>#VALUE!</v>
      </c>
      <c r="AK3" t="e">
        <f>'Site Codes'!459:459-"r[&amp;!)/"</f>
        <v>#VALUE!</v>
      </c>
      <c r="AL3" t="e">
        <f>'Site Codes'!460:460-"r[&amp;!)0"</f>
        <v>#VALUE!</v>
      </c>
      <c r="AM3" t="e">
        <f>'Site Codes'!461:461-"r[&amp;!)1"</f>
        <v>#VALUE!</v>
      </c>
      <c r="AN3" t="e">
        <f>'Site Codes'!462:462-"r[&amp;!)2"</f>
        <v>#VALUE!</v>
      </c>
      <c r="AO3" t="e">
        <f>'Site Codes'!463:463-"r[&amp;!)3"</f>
        <v>#VALUE!</v>
      </c>
      <c r="AP3" t="e">
        <f>'Site Codes'!464:464-"r[&amp;!)4"</f>
        <v>#VALUE!</v>
      </c>
      <c r="AQ3" t="e">
        <f>'Site Codes'!465:465-"r[&amp;!)5"</f>
        <v>#VALUE!</v>
      </c>
      <c r="AR3" t="e">
        <f>'Site Codes'!466:466-"r[&amp;!)6"</f>
        <v>#VALUE!</v>
      </c>
      <c r="AS3" t="e">
        <f>'Site Codes'!467:467-"r[&amp;!)7"</f>
        <v>#VALUE!</v>
      </c>
      <c r="AT3" t="e">
        <f>'Site Codes'!468:468-"r[&amp;!)8"</f>
        <v>#VALUE!</v>
      </c>
      <c r="AU3" t="e">
        <f>'Site Codes'!469:469-"r[&amp;!)9"</f>
        <v>#VALUE!</v>
      </c>
      <c r="AV3" t="e">
        <f>'Site Codes'!470:470-"r[&amp;!):"</f>
        <v>#VALUE!</v>
      </c>
      <c r="AW3" t="e">
        <f>'Site Codes'!471:471-"r[&amp;!);"</f>
        <v>#VALUE!</v>
      </c>
      <c r="AX3" t="e">
        <f>'Site Codes'!472:472-"r[&amp;!)&lt;"</f>
        <v>#VALUE!</v>
      </c>
      <c r="AY3" t="e">
        <f>'Site Codes'!473:473-"r[&amp;!)="</f>
        <v>#VALUE!</v>
      </c>
      <c r="AZ3" t="e">
        <f>'Site Codes'!474:474-"r[&amp;!)&gt;"</f>
        <v>#VALUE!</v>
      </c>
      <c r="BA3" t="e">
        <f>'Site Codes'!475:475-"r[&amp;!)?"</f>
        <v>#VALUE!</v>
      </c>
      <c r="BB3" t="e">
        <f>'Site Codes'!476:476-"r[&amp;!)@"</f>
        <v>#VALUE!</v>
      </c>
      <c r="BC3" t="e">
        <f>'Site Codes'!477:477-"r[&amp;!)A"</f>
        <v>#VALUE!</v>
      </c>
      <c r="BD3" t="e">
        <f>'Site Codes'!478:478-"r[&amp;!)B"</f>
        <v>#VALUE!</v>
      </c>
      <c r="BE3" t="e">
        <f>'Site Codes'!479:479-"r[&amp;!)C"</f>
        <v>#VALUE!</v>
      </c>
      <c r="BF3" t="e">
        <f>'Site Codes'!480:480-"r[&amp;!)D"</f>
        <v>#VALUE!</v>
      </c>
      <c r="BG3" t="e">
        <f>'Site Codes'!481:481-"r[&amp;!)E"</f>
        <v>#VALUE!</v>
      </c>
      <c r="BH3" t="e">
        <f>'Site Codes'!482:482-"r[&amp;!)F"</f>
        <v>#VALUE!</v>
      </c>
      <c r="BI3" t="e">
        <f>'Site Codes'!483:483-"r[&amp;!)G"</f>
        <v>#VALUE!</v>
      </c>
      <c r="BJ3" t="e">
        <f>'Site Codes'!484:484-"r[&amp;!)H"</f>
        <v>#VALUE!</v>
      </c>
      <c r="BK3" t="e">
        <f>'Site Codes'!485:485-"r[&amp;!)I"</f>
        <v>#VALUE!</v>
      </c>
      <c r="BL3" t="e">
        <f>'Site Codes'!486:486-"r[&amp;!)J"</f>
        <v>#VALUE!</v>
      </c>
      <c r="BM3" t="e">
        <f>'Site Codes'!487:487-"r[&amp;!)K"</f>
        <v>#VALUE!</v>
      </c>
      <c r="BN3" t="e">
        <f>'Site Codes'!488:488-"r[&amp;!)L"</f>
        <v>#VALUE!</v>
      </c>
      <c r="BO3" t="e">
        <f>'Site Codes'!489:489-"r[&amp;!)M"</f>
        <v>#VALUE!</v>
      </c>
      <c r="BP3" t="e">
        <f>'Site Codes'!490:490-"r[&amp;!)N"</f>
        <v>#VALUE!</v>
      </c>
      <c r="BQ3" t="e">
        <f>'Site Codes'!491:491-"r[&amp;!)O"</f>
        <v>#VALUE!</v>
      </c>
      <c r="BR3" t="e">
        <f>'Site Codes'!492:492-"r[&amp;!)P"</f>
        <v>#VALUE!</v>
      </c>
      <c r="BS3" t="e">
        <f>'Site Codes'!493:493-"r[&amp;!)Q"</f>
        <v>#VALUE!</v>
      </c>
      <c r="BT3" t="e">
        <f>'Site Codes'!494:494-"r[&amp;!)R"</f>
        <v>#VALUE!</v>
      </c>
      <c r="BU3" t="e">
        <f>'Site Codes'!495:495-"r[&amp;!)S"</f>
        <v>#VALUE!</v>
      </c>
      <c r="BV3" t="e">
        <f>'Site Codes'!496:496-"r[&amp;!)T"</f>
        <v>#VALUE!</v>
      </c>
      <c r="BW3" t="e">
        <f>'Site Codes'!497:497-"r[&amp;!)U"</f>
        <v>#VALUE!</v>
      </c>
      <c r="BX3" t="e">
        <f>'Site Codes'!498:498-"r[&amp;!)V"</f>
        <v>#VALUE!</v>
      </c>
      <c r="BY3" t="e">
        <f>'Site Codes'!499:499-"r[&amp;!)W"</f>
        <v>#VALUE!</v>
      </c>
      <c r="BZ3" t="e">
        <f>'Site Codes'!500:500-"r[&amp;!)X"</f>
        <v>#VALUE!</v>
      </c>
      <c r="CA3" t="e">
        <f>'Site Codes'!501:501-"r[&amp;!)Y"</f>
        <v>#VALUE!</v>
      </c>
      <c r="CB3" t="e">
        <f>'Site Codes'!D1+"r[&amp;!)Z"</f>
        <v>#VALUE!</v>
      </c>
      <c r="CC3" t="e">
        <f>'Site Codes'!E1+"r[&amp;!)["</f>
        <v>#VALUE!</v>
      </c>
      <c r="CD3" t="e">
        <f>'Site Codes'!F1+"r[&amp;!)\"</f>
        <v>#VALUE!</v>
      </c>
      <c r="CE3" t="e">
        <f>'Site Codes'!G1+"r[&amp;!)]"</f>
        <v>#VALUE!</v>
      </c>
      <c r="CF3" t="e">
        <f>'Site Codes'!H1+"r[&amp;!)^"</f>
        <v>#VALUE!</v>
      </c>
      <c r="CG3" t="e">
        <f>'Site Codes'!I1+"r[&amp;!)_"</f>
        <v>#VALUE!</v>
      </c>
      <c r="CH3" t="e">
        <f>'Site Codes'!A2+"r[&amp;!)`"</f>
        <v>#VALUE!</v>
      </c>
      <c r="CI3" s="1" t="e">
        <f>'Site Codes'!B2+"r[&amp;!)a"</f>
        <v>#VALUE!</v>
      </c>
      <c r="CJ3" t="e">
        <f>'Site Codes'!D2+"r[&amp;!)b"</f>
        <v>#VALUE!</v>
      </c>
      <c r="CK3" t="e">
        <f>'Site Codes'!E2+"r[&amp;!)c"</f>
        <v>#VALUE!</v>
      </c>
      <c r="CL3" t="e">
        <f>'Site Codes'!F2+"r[&amp;!)d"</f>
        <v>#VALUE!</v>
      </c>
      <c r="CM3" t="e">
        <f>'Site Codes'!G2+"r[&amp;!)e"</f>
        <v>#VALUE!</v>
      </c>
      <c r="CN3" t="e">
        <f>'Site Codes'!H2+"r[&amp;!)f"</f>
        <v>#VALUE!</v>
      </c>
      <c r="CO3" t="e">
        <f>'Site Codes'!I2+"r[&amp;!)g"</f>
        <v>#VALUE!</v>
      </c>
      <c r="CP3" t="e">
        <f>'Site Codes'!A3+"r[&amp;!)h"</f>
        <v>#VALUE!</v>
      </c>
      <c r="CQ3" s="1" t="e">
        <f>'Site Codes'!B3+"r[&amp;!)i"</f>
        <v>#VALUE!</v>
      </c>
      <c r="CR3" t="e">
        <f>'Site Codes'!D3+"r[&amp;!)j"</f>
        <v>#VALUE!</v>
      </c>
      <c r="CS3" t="e">
        <f>'Site Codes'!E3+"r[&amp;!)k"</f>
        <v>#VALUE!</v>
      </c>
      <c r="CT3" t="e">
        <f>'Site Codes'!F3+"r[&amp;!)l"</f>
        <v>#VALUE!</v>
      </c>
      <c r="CU3" t="e">
        <f>'Site Codes'!G3+"r[&amp;!)m"</f>
        <v>#VALUE!</v>
      </c>
      <c r="CV3" t="e">
        <f>'Site Codes'!H3+"r[&amp;!)n"</f>
        <v>#VALUE!</v>
      </c>
      <c r="CW3" t="e">
        <f>'Site Codes'!I3+"r[&amp;!)o"</f>
        <v>#VALUE!</v>
      </c>
      <c r="CX3" t="e">
        <f>'Site Codes'!A4+"r[&amp;!)p"</f>
        <v>#VALUE!</v>
      </c>
      <c r="CY3" s="1" t="e">
        <f>'Site Codes'!B4+"r[&amp;!)q"</f>
        <v>#VALUE!</v>
      </c>
      <c r="CZ3" t="e">
        <f>'Site Codes'!D4+"r[&amp;!)r"</f>
        <v>#VALUE!</v>
      </c>
      <c r="DA3" t="e">
        <f>'Site Codes'!E4+"r[&amp;!)s"</f>
        <v>#VALUE!</v>
      </c>
      <c r="DB3" t="e">
        <f>'Site Codes'!F4+"r[&amp;!)t"</f>
        <v>#VALUE!</v>
      </c>
      <c r="DC3" t="e">
        <f>'Site Codes'!G4+"r[&amp;!)u"</f>
        <v>#VALUE!</v>
      </c>
      <c r="DD3" t="e">
        <f>'Site Codes'!H4+"r[&amp;!)v"</f>
        <v>#VALUE!</v>
      </c>
      <c r="DE3" t="e">
        <f>'Site Codes'!I4+"r[&amp;!)w"</f>
        <v>#VALUE!</v>
      </c>
      <c r="DF3" t="e">
        <f>'Site Codes'!A5+"r[&amp;!)x"</f>
        <v>#VALUE!</v>
      </c>
      <c r="DG3" s="1" t="e">
        <f>'Site Codes'!B5+"r[&amp;!)y"</f>
        <v>#VALUE!</v>
      </c>
      <c r="DH3" t="e">
        <f>'Site Codes'!D5+"r[&amp;!)z"</f>
        <v>#VALUE!</v>
      </c>
      <c r="DI3" t="e">
        <f>'Site Codes'!E5+"r[&amp;!){"</f>
        <v>#VALUE!</v>
      </c>
      <c r="DJ3" t="e">
        <f>'Site Codes'!F5+"r[&amp;!)|"</f>
        <v>#VALUE!</v>
      </c>
      <c r="DK3" s="1" t="e">
        <f>'Site Codes'!G5+"r[&amp;!)}"</f>
        <v>#VALUE!</v>
      </c>
      <c r="DL3" t="e">
        <f>'Site Codes'!H5+"r[&amp;!)~"</f>
        <v>#VALUE!</v>
      </c>
      <c r="DM3" t="e">
        <f>'Site Codes'!I5+"r[&amp;!.#"</f>
        <v>#VALUE!</v>
      </c>
      <c r="DN3" s="1" t="e">
        <f>'Site Codes'!D6+"r[&amp;!.$"</f>
        <v>#VALUE!</v>
      </c>
      <c r="DO3" s="1" t="e">
        <f>'Site Codes'!G6+"r[&amp;!.%"</f>
        <v>#VALUE!</v>
      </c>
      <c r="DP3" t="e">
        <f>'Site Codes'!H6+"r[&amp;!.&amp;"</f>
        <v>#VALUE!</v>
      </c>
      <c r="DQ3" t="e">
        <f>'Site Codes'!A7+"r[&amp;!.'"</f>
        <v>#VALUE!</v>
      </c>
      <c r="DR3" s="1" t="e">
        <f>'Site Codes'!B7+"r[&amp;!.("</f>
        <v>#VALUE!</v>
      </c>
      <c r="DS3" t="e">
        <f>'Site Codes'!D7+"r[&amp;!.)"</f>
        <v>#VALUE!</v>
      </c>
      <c r="DT3" t="e">
        <f>'Site Codes'!E7+"r[&amp;!.."</f>
        <v>#VALUE!</v>
      </c>
      <c r="DU3" t="e">
        <f>'Site Codes'!F7+"r[&amp;!./"</f>
        <v>#VALUE!</v>
      </c>
      <c r="DV3" s="1" t="e">
        <f>'Site Codes'!G7+"r[&amp;!.0"</f>
        <v>#VALUE!</v>
      </c>
      <c r="DW3" t="e">
        <f>'Site Codes'!H7+"r[&amp;!.1"</f>
        <v>#VALUE!</v>
      </c>
      <c r="DX3" t="e">
        <f>'Site Codes'!I7+"r[&amp;!.2"</f>
        <v>#VALUE!</v>
      </c>
      <c r="DY3" t="e">
        <f>'Site Codes'!A8+"r[&amp;!.3"</f>
        <v>#VALUE!</v>
      </c>
      <c r="DZ3" s="1" t="e">
        <f>'Site Codes'!B8+"r[&amp;!.4"</f>
        <v>#VALUE!</v>
      </c>
      <c r="EA3" t="e">
        <f>'Site Codes'!D8+"r[&amp;!.5"</f>
        <v>#VALUE!</v>
      </c>
      <c r="EB3" t="e">
        <f>'Site Codes'!E8+"r[&amp;!.6"</f>
        <v>#VALUE!</v>
      </c>
      <c r="EC3" t="e">
        <f>'Site Codes'!F8+"r[&amp;!.7"</f>
        <v>#VALUE!</v>
      </c>
      <c r="ED3" s="1" t="e">
        <f>'Site Codes'!G8+"r[&amp;!.8"</f>
        <v>#VALUE!</v>
      </c>
      <c r="EE3" t="e">
        <f>'Site Codes'!H8+"r[&amp;!.9"</f>
        <v>#VALUE!</v>
      </c>
      <c r="EF3" t="e">
        <f>'Site Codes'!I8+"r[&amp;!.:"</f>
        <v>#VALUE!</v>
      </c>
      <c r="EG3" t="e">
        <f>'Site Codes'!A9+"r[&amp;!.;"</f>
        <v>#VALUE!</v>
      </c>
      <c r="EH3" s="1" t="e">
        <f>'Site Codes'!B9+"r[&amp;!.&lt;"</f>
        <v>#VALUE!</v>
      </c>
      <c r="EI3" t="e">
        <f>'Site Codes'!D9+"r[&amp;!.="</f>
        <v>#VALUE!</v>
      </c>
      <c r="EJ3" t="e">
        <f>'Site Codes'!E9+"r[&amp;!.&gt;"</f>
        <v>#VALUE!</v>
      </c>
      <c r="EK3" t="e">
        <f>'Site Codes'!F9+"r[&amp;!.?"</f>
        <v>#VALUE!</v>
      </c>
      <c r="EL3" s="1" t="e">
        <f>'Site Codes'!G9+"r[&amp;!.@"</f>
        <v>#VALUE!</v>
      </c>
      <c r="EM3" t="e">
        <f>'Site Codes'!H9+"r[&amp;!.A"</f>
        <v>#VALUE!</v>
      </c>
      <c r="EN3" t="e">
        <f>'Site Codes'!I9+"r[&amp;!.B"</f>
        <v>#VALUE!</v>
      </c>
      <c r="EO3" t="e">
        <f>'Site Codes'!A10+"r[&amp;!.C"</f>
        <v>#VALUE!</v>
      </c>
      <c r="EP3" s="1" t="e">
        <f>'Site Codes'!B10+"r[&amp;!.D"</f>
        <v>#VALUE!</v>
      </c>
      <c r="EQ3" t="e">
        <f>'Site Codes'!D10+"r[&amp;!.E"</f>
        <v>#VALUE!</v>
      </c>
      <c r="ER3" t="e">
        <f>'Site Codes'!E10+"r[&amp;!.F"</f>
        <v>#VALUE!</v>
      </c>
      <c r="ES3" t="e">
        <f>'Site Codes'!F10+"r[&amp;!.G"</f>
        <v>#VALUE!</v>
      </c>
      <c r="ET3" s="1" t="e">
        <f>'Site Codes'!G10+"r[&amp;!.H"</f>
        <v>#VALUE!</v>
      </c>
      <c r="EU3" t="e">
        <f>'Site Codes'!H10+"r[&amp;!.I"</f>
        <v>#VALUE!</v>
      </c>
      <c r="EV3" t="e">
        <f>'Site Codes'!I10+"r[&amp;!.J"</f>
        <v>#VALUE!</v>
      </c>
      <c r="EW3" t="e">
        <f>'Site Codes'!A11+"r[&amp;!.K"</f>
        <v>#VALUE!</v>
      </c>
      <c r="EX3" s="1" t="e">
        <f>'Site Codes'!B11+"r[&amp;!.L"</f>
        <v>#VALUE!</v>
      </c>
      <c r="EY3" t="e">
        <f>'Site Codes'!D11+"r[&amp;!.M"</f>
        <v>#VALUE!</v>
      </c>
      <c r="EZ3" t="e">
        <f>'Site Codes'!E11+"r[&amp;!.N"</f>
        <v>#VALUE!</v>
      </c>
      <c r="FA3" t="e">
        <f>'Site Codes'!F11+"r[&amp;!.O"</f>
        <v>#VALUE!</v>
      </c>
      <c r="FB3" s="1" t="e">
        <f>'Site Codes'!G11+"r[&amp;!.P"</f>
        <v>#VALUE!</v>
      </c>
      <c r="FC3" t="e">
        <f>'Site Codes'!H11+"r[&amp;!.Q"</f>
        <v>#VALUE!</v>
      </c>
      <c r="FD3" t="e">
        <f>'Site Codes'!I11+"r[&amp;!.R"</f>
        <v>#VALUE!</v>
      </c>
      <c r="FE3" t="e">
        <f>'Site Codes'!A12+"r[&amp;!.S"</f>
        <v>#VALUE!</v>
      </c>
      <c r="FF3" s="1" t="e">
        <f>'Site Codes'!B12+"r[&amp;!.T"</f>
        <v>#VALUE!</v>
      </c>
      <c r="FG3" t="e">
        <f>'Site Codes'!D12+"r[&amp;!.U"</f>
        <v>#VALUE!</v>
      </c>
      <c r="FH3" t="e">
        <f>'Site Codes'!E12+"r[&amp;!.V"</f>
        <v>#VALUE!</v>
      </c>
      <c r="FI3" t="e">
        <f>'Site Codes'!F12+"r[&amp;!.W"</f>
        <v>#VALUE!</v>
      </c>
      <c r="FJ3" s="1" t="e">
        <f>'Site Codes'!G12+"r[&amp;!.X"</f>
        <v>#VALUE!</v>
      </c>
      <c r="FK3" t="e">
        <f>'Site Codes'!H12+"r[&amp;!.Y"</f>
        <v>#VALUE!</v>
      </c>
      <c r="FL3" t="e">
        <f>'Site Codes'!I12+"r[&amp;!.Z"</f>
        <v>#VALUE!</v>
      </c>
      <c r="FM3" t="e">
        <f>'Site Codes'!A13+"r[&amp;!.["</f>
        <v>#VALUE!</v>
      </c>
      <c r="FN3" s="1" t="e">
        <f>'Site Codes'!B13+"r[&amp;!.\"</f>
        <v>#VALUE!</v>
      </c>
      <c r="FO3" t="e">
        <f>'Site Codes'!D13+"r[&amp;!.]"</f>
        <v>#VALUE!</v>
      </c>
      <c r="FP3" t="e">
        <f>'Site Codes'!E13+"r[&amp;!.^"</f>
        <v>#VALUE!</v>
      </c>
      <c r="FQ3" t="e">
        <f>'Site Codes'!F13+"r[&amp;!._"</f>
        <v>#VALUE!</v>
      </c>
      <c r="FR3" t="e">
        <f>'Site Codes'!G13+"r[&amp;!.`"</f>
        <v>#VALUE!</v>
      </c>
      <c r="FS3" t="e">
        <f>'Site Codes'!H13+"r[&amp;!.a"</f>
        <v>#VALUE!</v>
      </c>
      <c r="FT3" t="e">
        <f>'Site Codes'!A14+"r[&amp;!.b"</f>
        <v>#VALUE!</v>
      </c>
      <c r="FU3" s="1" t="e">
        <f>'Site Codes'!B14+"r[&amp;!.c"</f>
        <v>#VALUE!</v>
      </c>
      <c r="FV3" t="e">
        <f>'Site Codes'!D14+"r[&amp;!.d"</f>
        <v>#VALUE!</v>
      </c>
      <c r="FW3" t="e">
        <f>'Site Codes'!E14+"r[&amp;!.e"</f>
        <v>#VALUE!</v>
      </c>
      <c r="FX3" t="e">
        <f>'Site Codes'!F14+"r[&amp;!.f"</f>
        <v>#VALUE!</v>
      </c>
      <c r="FY3" t="e">
        <f>'Site Codes'!G14+"r[&amp;!.g"</f>
        <v>#VALUE!</v>
      </c>
      <c r="FZ3" t="e">
        <f>'Site Codes'!H14+"r[&amp;!.h"</f>
        <v>#VALUE!</v>
      </c>
      <c r="GA3" t="e">
        <f>'Site Codes'!A15+"r[&amp;!.i"</f>
        <v>#VALUE!</v>
      </c>
      <c r="GB3" s="1" t="e">
        <f>'Site Codes'!B15+"r[&amp;!.j"</f>
        <v>#VALUE!</v>
      </c>
      <c r="GC3" t="e">
        <f>'Site Codes'!D15+"r[&amp;!.k"</f>
        <v>#VALUE!</v>
      </c>
      <c r="GD3" t="e">
        <f>'Site Codes'!E15+"r[&amp;!.l"</f>
        <v>#VALUE!</v>
      </c>
      <c r="GE3" t="e">
        <f>'Site Codes'!F15+"r[&amp;!.m"</f>
        <v>#VALUE!</v>
      </c>
      <c r="GF3" t="e">
        <f>'Site Codes'!G15+"r[&amp;!.n"</f>
        <v>#VALUE!</v>
      </c>
      <c r="GG3" t="e">
        <f>'Site Codes'!A16+"r[&amp;!.o"</f>
        <v>#VALUE!</v>
      </c>
      <c r="GH3" s="1" t="e">
        <f>'Site Codes'!B16+"r[&amp;!.p"</f>
        <v>#VALUE!</v>
      </c>
      <c r="GI3" t="e">
        <f>'Site Codes'!D16+"r[&amp;!.q"</f>
        <v>#VALUE!</v>
      </c>
      <c r="GJ3" t="e">
        <f>'Site Codes'!A17+"r[&amp;!.r"</f>
        <v>#VALUE!</v>
      </c>
      <c r="GK3" s="1" t="e">
        <f>'Site Codes'!B17+"r[&amp;!.s"</f>
        <v>#VALUE!</v>
      </c>
      <c r="GL3" t="e">
        <f>'Site Codes'!D17+"r[&amp;!.t"</f>
        <v>#VALUE!</v>
      </c>
      <c r="GM3" t="e">
        <f>'Site Codes'!A18+"r[&amp;!.u"</f>
        <v>#VALUE!</v>
      </c>
      <c r="GN3" s="1" t="e">
        <f>'Site Codes'!B18+"r[&amp;!.v"</f>
        <v>#VALUE!</v>
      </c>
      <c r="GO3" t="e">
        <f>'Site Codes'!D18+"r[&amp;!.w"</f>
        <v>#VALUE!</v>
      </c>
      <c r="GP3" t="e">
        <f>'Site Codes'!E18+"r[&amp;!.x"</f>
        <v>#VALUE!</v>
      </c>
      <c r="GQ3" t="e">
        <f>'Site Codes'!F18+"r[&amp;!.y"</f>
        <v>#VALUE!</v>
      </c>
      <c r="GR3" t="e">
        <f>'Site Codes'!G18+"r[&amp;!.z"</f>
        <v>#VALUE!</v>
      </c>
      <c r="GS3" t="e">
        <f>'Site Codes'!A19+"r[&amp;!.{"</f>
        <v>#VALUE!</v>
      </c>
      <c r="GT3" s="1" t="e">
        <f>'Site Codes'!B19+"r[&amp;!.|"</f>
        <v>#VALUE!</v>
      </c>
      <c r="GU3" t="e">
        <f>'Site Codes'!D19+"r[&amp;!.}"</f>
        <v>#VALUE!</v>
      </c>
      <c r="GV3" t="e">
        <f>'Site Codes'!E19+"r[&amp;!.~"</f>
        <v>#VALUE!</v>
      </c>
      <c r="GW3" t="e">
        <f>'Site Codes'!F19+"r[&amp;!/#"</f>
        <v>#VALUE!</v>
      </c>
      <c r="GX3" t="e">
        <f>'Site Codes'!G19+"r[&amp;!/$"</f>
        <v>#VALUE!</v>
      </c>
      <c r="GY3" t="e">
        <f>'Site Codes'!H19+"r[&amp;!/%"</f>
        <v>#VALUE!</v>
      </c>
      <c r="GZ3" t="e">
        <f>'Site Codes'!#REF!+"r[&amp;!/&amp;"</f>
        <v>#REF!</v>
      </c>
      <c r="HA3" s="1" t="e">
        <f>'Site Codes'!#REF!+"r[&amp;!/'"</f>
        <v>#REF!</v>
      </c>
      <c r="HB3" t="e">
        <f>'Site Codes'!#REF!+"r[&amp;!/("</f>
        <v>#REF!</v>
      </c>
      <c r="HC3" t="e">
        <f>'Site Codes'!A20+"r[&amp;!/)"</f>
        <v>#VALUE!</v>
      </c>
      <c r="HD3" s="1" t="e">
        <f>'Site Codes'!B20+"r[&amp;!/."</f>
        <v>#VALUE!</v>
      </c>
      <c r="HE3" t="e">
        <f>'Site Codes'!D20+"r[&amp;!//"</f>
        <v>#VALUE!</v>
      </c>
      <c r="HF3" t="e">
        <f>'Site Codes'!E20+"r[&amp;!/0"</f>
        <v>#VALUE!</v>
      </c>
      <c r="HG3" t="e">
        <f>'Site Codes'!F20+"r[&amp;!/1"</f>
        <v>#VALUE!</v>
      </c>
      <c r="HH3" t="e">
        <f>'Site Codes'!G20+"r[&amp;!/2"</f>
        <v>#VALUE!</v>
      </c>
      <c r="HI3" t="e">
        <f>'Site Codes'!H20+"r[&amp;!/3"</f>
        <v>#VALUE!</v>
      </c>
      <c r="HJ3" t="e">
        <f>'Site Codes'!A21+"r[&amp;!/4"</f>
        <v>#VALUE!</v>
      </c>
      <c r="HK3" s="1" t="e">
        <f>'Site Codes'!B21+"r[&amp;!/5"</f>
        <v>#VALUE!</v>
      </c>
      <c r="HL3" t="e">
        <f>'Site Codes'!D21+"r[&amp;!/6"</f>
        <v>#VALUE!</v>
      </c>
      <c r="HM3" t="e">
        <f>'Site Codes'!A22+"r[&amp;!/7"</f>
        <v>#VALUE!</v>
      </c>
      <c r="HN3" s="1" t="e">
        <f>'Site Codes'!B22+"r[&amp;!/8"</f>
        <v>#VALUE!</v>
      </c>
      <c r="HO3" t="e">
        <f>'Site Codes'!D22+"r[&amp;!/9"</f>
        <v>#VALUE!</v>
      </c>
      <c r="HP3" t="e">
        <f>'Site Codes'!A23+"r[&amp;!/:"</f>
        <v>#VALUE!</v>
      </c>
      <c r="HQ3" s="1" t="e">
        <f>'Site Codes'!B23+"r[&amp;!/;"</f>
        <v>#VALUE!</v>
      </c>
      <c r="HR3" t="e">
        <f>'Site Codes'!D23+"r[&amp;!/&lt;"</f>
        <v>#VALUE!</v>
      </c>
      <c r="HS3" t="e">
        <f>'Site Codes'!E23+"r[&amp;!/="</f>
        <v>#VALUE!</v>
      </c>
      <c r="HT3" t="e">
        <f>'Site Codes'!F23+"r[&amp;!/&gt;"</f>
        <v>#VALUE!</v>
      </c>
      <c r="HU3" t="e">
        <f>'Site Codes'!G23+"r[&amp;!/?"</f>
        <v>#VALUE!</v>
      </c>
      <c r="HV3" t="e">
        <f>'Site Codes'!H23+"r[&amp;!/@"</f>
        <v>#VALUE!</v>
      </c>
      <c r="HW3" t="e">
        <f>'Site Codes'!I23+"r[&amp;!/A"</f>
        <v>#VALUE!</v>
      </c>
      <c r="HX3" t="e">
        <f>'Site Codes'!A24+"r[&amp;!/B"</f>
        <v>#VALUE!</v>
      </c>
      <c r="HY3" s="1" t="e">
        <f>'Site Codes'!B24+"r[&amp;!/C"</f>
        <v>#VALUE!</v>
      </c>
      <c r="HZ3" t="e">
        <f>'Site Codes'!D24+"r[&amp;!/D"</f>
        <v>#VALUE!</v>
      </c>
      <c r="IA3" t="e">
        <f>'Site Codes'!E24+"r[&amp;!/E"</f>
        <v>#VALUE!</v>
      </c>
      <c r="IB3" s="1" t="e">
        <f>'Site Codes'!F24+"r[&amp;!/F"</f>
        <v>#VALUE!</v>
      </c>
      <c r="IC3" s="1" t="e">
        <f>'Site Codes'!G24+"r[&amp;!/G"</f>
        <v>#VALUE!</v>
      </c>
      <c r="ID3" t="e">
        <f>'Site Codes'!H24+"r[&amp;!/H"</f>
        <v>#VALUE!</v>
      </c>
      <c r="IE3" s="1" t="e">
        <f>'Site Codes'!I24+"r[&amp;!/I"</f>
        <v>#VALUE!</v>
      </c>
      <c r="IF3" t="e">
        <f>'Site Codes'!A25+"r[&amp;!/J"</f>
        <v>#VALUE!</v>
      </c>
      <c r="IG3" s="1" t="e">
        <f>'Site Codes'!B25+"r[&amp;!/K"</f>
        <v>#VALUE!</v>
      </c>
      <c r="IH3" t="e">
        <f>'Site Codes'!D25+"r[&amp;!/L"</f>
        <v>#VALUE!</v>
      </c>
      <c r="II3" t="e">
        <f>'Site Codes'!E25+"r[&amp;!/M"</f>
        <v>#VALUE!</v>
      </c>
      <c r="IJ3" s="1" t="e">
        <f>'Site Codes'!F25+"r[&amp;!/N"</f>
        <v>#VALUE!</v>
      </c>
      <c r="IK3" s="1" t="e">
        <f>'Site Codes'!G25+"r[&amp;!/O"</f>
        <v>#VALUE!</v>
      </c>
      <c r="IL3" t="e">
        <f>'Site Codes'!H25+"r[&amp;!/P"</f>
        <v>#VALUE!</v>
      </c>
      <c r="IM3" s="1" t="e">
        <f>'Site Codes'!I25+"r[&amp;!/Q"</f>
        <v>#VALUE!</v>
      </c>
      <c r="IN3" t="e">
        <f>'Site Codes'!A26+"r[&amp;!/R"</f>
        <v>#VALUE!</v>
      </c>
      <c r="IO3" s="1" t="e">
        <f>'Site Codes'!B26+"r[&amp;!/S"</f>
        <v>#VALUE!</v>
      </c>
      <c r="IP3" t="e">
        <f>'Site Codes'!D26+"r[&amp;!/T"</f>
        <v>#VALUE!</v>
      </c>
      <c r="IQ3" t="e">
        <f>'Site Codes'!E26+"r[&amp;!/U"</f>
        <v>#VALUE!</v>
      </c>
      <c r="IR3" t="e">
        <f>'Site Codes'!F26+"r[&amp;!/V"</f>
        <v>#VALUE!</v>
      </c>
      <c r="IS3" s="1" t="e">
        <f>'Site Codes'!G26+"r[&amp;!/W"</f>
        <v>#VALUE!</v>
      </c>
      <c r="IT3" t="e">
        <f>'Site Codes'!H26+"r[&amp;!/X"</f>
        <v>#VALUE!</v>
      </c>
      <c r="IU3" s="1" t="e">
        <f>'Site Codes'!I26+"r[&amp;!/Y"</f>
        <v>#VALUE!</v>
      </c>
      <c r="IV3" t="e">
        <f>'Site Codes'!A27+"r[&amp;!/Z"</f>
        <v>#VALUE!</v>
      </c>
    </row>
    <row r="4" spans="1:256">
      <c r="A4" t="s">
        <v>1401</v>
      </c>
      <c r="F4" s="1" t="e">
        <f>'Site Codes'!B27+"r[&amp;!/["</f>
        <v>#VALUE!</v>
      </c>
      <c r="G4" t="e">
        <f>'Site Codes'!D27+"r[&amp;!/\"</f>
        <v>#VALUE!</v>
      </c>
      <c r="H4" t="e">
        <f>'Site Codes'!E27+"r[&amp;!/]"</f>
        <v>#VALUE!</v>
      </c>
      <c r="I4" t="e">
        <f>'Site Codes'!F27+"r[&amp;!/^"</f>
        <v>#VALUE!</v>
      </c>
      <c r="J4" t="e">
        <f>'Site Codes'!G27+"r[&amp;!/_"</f>
        <v>#VALUE!</v>
      </c>
      <c r="K4" t="e">
        <f>'Site Codes'!H27+"r[&amp;!/`"</f>
        <v>#VALUE!</v>
      </c>
      <c r="L4" s="1" t="e">
        <f>'Site Codes'!I27+"r[&amp;!/a"</f>
        <v>#VALUE!</v>
      </c>
      <c r="M4" t="e">
        <f>'Site Codes'!A28+"r[&amp;!/b"</f>
        <v>#VALUE!</v>
      </c>
      <c r="N4" s="1" t="e">
        <f>'Site Codes'!B28+"r[&amp;!/c"</f>
        <v>#VALUE!</v>
      </c>
      <c r="O4" t="e">
        <f>'Site Codes'!D28+"r[&amp;!/d"</f>
        <v>#VALUE!</v>
      </c>
      <c r="P4" t="e">
        <f>'Site Codes'!E28+"r[&amp;!/e"</f>
        <v>#VALUE!</v>
      </c>
      <c r="Q4" t="e">
        <f>'Site Codes'!F28+"r[&amp;!/f"</f>
        <v>#VALUE!</v>
      </c>
      <c r="R4" s="1" t="e">
        <f>'Site Codes'!G28+"r[&amp;!/g"</f>
        <v>#VALUE!</v>
      </c>
      <c r="S4" t="e">
        <f>'Site Codes'!H28+"r[&amp;!/h"</f>
        <v>#VALUE!</v>
      </c>
      <c r="T4" s="1" t="e">
        <f>'Site Codes'!I28+"r[&amp;!/i"</f>
        <v>#VALUE!</v>
      </c>
      <c r="U4" t="e">
        <f>'Site Codes'!A29+"r[&amp;!/j"</f>
        <v>#VALUE!</v>
      </c>
      <c r="V4" s="1" t="e">
        <f>'Site Codes'!B29+"r[&amp;!/k"</f>
        <v>#VALUE!</v>
      </c>
      <c r="W4" t="e">
        <f>'Site Codes'!D29+"r[&amp;!/l"</f>
        <v>#VALUE!</v>
      </c>
      <c r="X4" t="e">
        <f>'Site Codes'!E29+"r[&amp;!/m"</f>
        <v>#VALUE!</v>
      </c>
      <c r="Y4" t="e">
        <f>'Site Codes'!F29+"r[&amp;!/n"</f>
        <v>#VALUE!</v>
      </c>
      <c r="Z4" s="1" t="e">
        <f>'Site Codes'!G29+"r[&amp;!/o"</f>
        <v>#VALUE!</v>
      </c>
      <c r="AA4" t="e">
        <f>'Site Codes'!H29+"r[&amp;!/p"</f>
        <v>#VALUE!</v>
      </c>
      <c r="AB4" s="1" t="e">
        <f>'Site Codes'!I29+"r[&amp;!/q"</f>
        <v>#VALUE!</v>
      </c>
      <c r="AC4" t="e">
        <f>'Site Codes'!A30+"r[&amp;!/r"</f>
        <v>#VALUE!</v>
      </c>
      <c r="AD4" s="1" t="e">
        <f>'Site Codes'!B30+"r[&amp;!/s"</f>
        <v>#VALUE!</v>
      </c>
      <c r="AE4" t="e">
        <f>'Site Codes'!D30+"r[&amp;!/t"</f>
        <v>#VALUE!</v>
      </c>
      <c r="AF4" t="e">
        <f>'Site Codes'!E30+"r[&amp;!/u"</f>
        <v>#VALUE!</v>
      </c>
      <c r="AG4" t="e">
        <f>'Site Codes'!F30+"r[&amp;!/v"</f>
        <v>#VALUE!</v>
      </c>
      <c r="AH4" s="1" t="e">
        <f>'Site Codes'!G30+"r[&amp;!/w"</f>
        <v>#VALUE!</v>
      </c>
      <c r="AI4" t="e">
        <f>'Site Codes'!H30+"r[&amp;!/x"</f>
        <v>#VALUE!</v>
      </c>
      <c r="AJ4" s="1" t="e">
        <f>'Site Codes'!I30+"r[&amp;!/y"</f>
        <v>#VALUE!</v>
      </c>
      <c r="AK4" t="e">
        <f>'Site Codes'!A31+"r[&amp;!/z"</f>
        <v>#VALUE!</v>
      </c>
      <c r="AL4" s="1" t="e">
        <f>'Site Codes'!B31+"r[&amp;!/{"</f>
        <v>#VALUE!</v>
      </c>
      <c r="AM4" t="e">
        <f>'Site Codes'!D31+"r[&amp;!/|"</f>
        <v>#VALUE!</v>
      </c>
      <c r="AN4" t="e">
        <f>'Site Codes'!E31+"r[&amp;!/}"</f>
        <v>#VALUE!</v>
      </c>
      <c r="AO4" t="e">
        <f>'Site Codes'!F31+"r[&amp;!/~"</f>
        <v>#VALUE!</v>
      </c>
      <c r="AP4" s="1" t="e">
        <f>'Site Codes'!G31+"r[&amp;!0#"</f>
        <v>#VALUE!</v>
      </c>
      <c r="AQ4" t="e">
        <f>'Site Codes'!H31+"r[&amp;!0$"</f>
        <v>#VALUE!</v>
      </c>
      <c r="AR4" t="e">
        <f>'Site Codes'!A32+"r[&amp;!0%"</f>
        <v>#VALUE!</v>
      </c>
      <c r="AS4" s="1" t="e">
        <f>'Site Codes'!B32+"r[&amp;!0&amp;"</f>
        <v>#VALUE!</v>
      </c>
      <c r="AT4" t="e">
        <f>'Site Codes'!D32+"r[&amp;!0'"</f>
        <v>#VALUE!</v>
      </c>
      <c r="AU4" t="e">
        <f>'Site Codes'!E32+"r[&amp;!0("</f>
        <v>#VALUE!</v>
      </c>
      <c r="AV4" t="e">
        <f>'Site Codes'!F32+"r[&amp;!0)"</f>
        <v>#VALUE!</v>
      </c>
      <c r="AW4" t="e">
        <f>'Site Codes'!G32+"r[&amp;!0."</f>
        <v>#VALUE!</v>
      </c>
      <c r="AX4" t="e">
        <f>'Site Codes'!H32+"r[&amp;!0/"</f>
        <v>#VALUE!</v>
      </c>
      <c r="AY4" t="e">
        <f>'Site Codes'!A33+"r[&amp;!00"</f>
        <v>#VALUE!</v>
      </c>
      <c r="AZ4" s="1" t="e">
        <f>'Site Codes'!B33+"r[&amp;!01"</f>
        <v>#VALUE!</v>
      </c>
      <c r="BA4" t="e">
        <f>'Site Codes'!D33+"r[&amp;!02"</f>
        <v>#VALUE!</v>
      </c>
      <c r="BB4" t="e">
        <f>'Site Codes'!E33+"r[&amp;!03"</f>
        <v>#VALUE!</v>
      </c>
      <c r="BC4" t="e">
        <f>'Site Codes'!F33+"r[&amp;!04"</f>
        <v>#VALUE!</v>
      </c>
      <c r="BD4" t="e">
        <f>'Site Codes'!G33+"r[&amp;!05"</f>
        <v>#VALUE!</v>
      </c>
      <c r="BE4" t="e">
        <f>'Site Codes'!H33+"r[&amp;!06"</f>
        <v>#VALUE!</v>
      </c>
      <c r="BF4" t="e">
        <f>'Site Codes'!A34+"r[&amp;!07"</f>
        <v>#VALUE!</v>
      </c>
      <c r="BG4" s="1" t="e">
        <f>'Site Codes'!B34+"r[&amp;!08"</f>
        <v>#VALUE!</v>
      </c>
      <c r="BH4" t="e">
        <f>'Site Codes'!D34+"r[&amp;!09"</f>
        <v>#VALUE!</v>
      </c>
      <c r="BI4" t="e">
        <f>'Site Codes'!A35+"r[&amp;!0:"</f>
        <v>#VALUE!</v>
      </c>
      <c r="BJ4" s="1" t="e">
        <f>'Site Codes'!B35+"r[&amp;!0;"</f>
        <v>#VALUE!</v>
      </c>
      <c r="BK4" t="e">
        <f>'Site Codes'!D35+"r[&amp;!0&lt;"</f>
        <v>#VALUE!</v>
      </c>
      <c r="BL4" t="e">
        <f>'Site Codes'!I35+"r[&amp;!0="</f>
        <v>#VALUE!</v>
      </c>
      <c r="BM4" t="e">
        <f>'Site Codes'!A36+"r[&amp;!0&gt;"</f>
        <v>#VALUE!</v>
      </c>
      <c r="BN4" s="1" t="e">
        <f>'Site Codes'!B36+"r[&amp;!0?"</f>
        <v>#VALUE!</v>
      </c>
      <c r="BO4" t="e">
        <f>'Site Codes'!D36+"r[&amp;!0@"</f>
        <v>#VALUE!</v>
      </c>
      <c r="BP4" t="e">
        <f>'Site Codes'!E36+"r[&amp;!0A"</f>
        <v>#VALUE!</v>
      </c>
      <c r="BQ4" t="e">
        <f>'Site Codes'!F36+"r[&amp;!0B"</f>
        <v>#VALUE!</v>
      </c>
      <c r="BR4" t="e">
        <f>'Site Codes'!G36+"r[&amp;!0C"</f>
        <v>#VALUE!</v>
      </c>
      <c r="BS4" t="e">
        <f>'Site Codes'!H36+"r[&amp;!0D"</f>
        <v>#VALUE!</v>
      </c>
      <c r="BT4" t="e">
        <f>'Site Codes'!I36+"r[&amp;!0E"</f>
        <v>#VALUE!</v>
      </c>
      <c r="BU4" t="e">
        <f>'Site Codes'!A37+"r[&amp;!0F"</f>
        <v>#VALUE!</v>
      </c>
      <c r="BV4" s="1" t="e">
        <f>'Site Codes'!B37+"r[&amp;!0G"</f>
        <v>#VALUE!</v>
      </c>
      <c r="BW4" t="e">
        <f>'Site Codes'!D37+"r[&amp;!0H"</f>
        <v>#VALUE!</v>
      </c>
      <c r="BX4" t="e">
        <f>'Site Codes'!E37+"r[&amp;!0I"</f>
        <v>#VALUE!</v>
      </c>
      <c r="BY4" t="e">
        <f>'Site Codes'!F37+"r[&amp;!0J"</f>
        <v>#VALUE!</v>
      </c>
      <c r="BZ4" t="e">
        <f>'Site Codes'!G37+"r[&amp;!0K"</f>
        <v>#VALUE!</v>
      </c>
      <c r="CA4" t="e">
        <f>'Site Codes'!H37+"r[&amp;!0L"</f>
        <v>#VALUE!</v>
      </c>
      <c r="CB4" t="e">
        <f>'Site Codes'!I37+"r[&amp;!0M"</f>
        <v>#VALUE!</v>
      </c>
      <c r="CC4" t="e">
        <f>'Site Codes'!A38+"r[&amp;!0N"</f>
        <v>#VALUE!</v>
      </c>
      <c r="CD4" s="1" t="e">
        <f>'Site Codes'!B38+"r[&amp;!0O"</f>
        <v>#VALUE!</v>
      </c>
      <c r="CE4" t="e">
        <f>'Site Codes'!D38+"r[&amp;!0P"</f>
        <v>#VALUE!</v>
      </c>
      <c r="CF4" t="e">
        <f>'Site Codes'!E38+"r[&amp;!0Q"</f>
        <v>#VALUE!</v>
      </c>
      <c r="CG4" t="e">
        <f>'Site Codes'!F38+"r[&amp;!0R"</f>
        <v>#VALUE!</v>
      </c>
      <c r="CH4" t="e">
        <f>'Site Codes'!G38+"r[&amp;!0S"</f>
        <v>#VALUE!</v>
      </c>
      <c r="CI4" t="e">
        <f>'Site Codes'!H38+"r[&amp;!0T"</f>
        <v>#VALUE!</v>
      </c>
      <c r="CJ4" t="e">
        <f>'Site Codes'!A39+"r[&amp;!0U"</f>
        <v>#VALUE!</v>
      </c>
      <c r="CK4" s="1" t="e">
        <f>'Site Codes'!B39+"r[&amp;!0V"</f>
        <v>#VALUE!</v>
      </c>
      <c r="CL4" t="e">
        <f>'Site Codes'!D39+"r[&amp;!0W"</f>
        <v>#VALUE!</v>
      </c>
      <c r="CM4" t="e">
        <f>'Site Codes'!E39+"r[&amp;!0X"</f>
        <v>#VALUE!</v>
      </c>
      <c r="CN4" t="e">
        <f>'Site Codes'!F39+"r[&amp;!0Y"</f>
        <v>#VALUE!</v>
      </c>
      <c r="CO4" t="e">
        <f>'Site Codes'!A40+"r[&amp;!0Z"</f>
        <v>#VALUE!</v>
      </c>
      <c r="CP4" s="1" t="e">
        <f>'Site Codes'!B40+"r[&amp;!0["</f>
        <v>#VALUE!</v>
      </c>
      <c r="CQ4" t="e">
        <f>'Site Codes'!D40+"r[&amp;!0\"</f>
        <v>#VALUE!</v>
      </c>
      <c r="CR4" t="e">
        <f>'Site Codes'!A41+"r[&amp;!0]"</f>
        <v>#VALUE!</v>
      </c>
      <c r="CS4" s="1" t="e">
        <f>'Site Codes'!B41+"r[&amp;!0^"</f>
        <v>#VALUE!</v>
      </c>
      <c r="CT4" t="e">
        <f>'Site Codes'!D41+"r[&amp;!0_"</f>
        <v>#VALUE!</v>
      </c>
      <c r="CU4" t="e">
        <f>'Site Codes'!A42+"r[&amp;!0`"</f>
        <v>#VALUE!</v>
      </c>
      <c r="CV4" s="1" t="e">
        <f>'Site Codes'!B42+"r[&amp;!0a"</f>
        <v>#VALUE!</v>
      </c>
      <c r="CW4" t="e">
        <f>'Site Codes'!D42+"r[&amp;!0b"</f>
        <v>#VALUE!</v>
      </c>
      <c r="CX4" t="e">
        <f>'Site Codes'!E42+"r[&amp;!0c"</f>
        <v>#VALUE!</v>
      </c>
      <c r="CY4" t="e">
        <f>'Site Codes'!F42+"r[&amp;!0d"</f>
        <v>#VALUE!</v>
      </c>
      <c r="CZ4" t="e">
        <f>'Site Codes'!G42+"r[&amp;!0e"</f>
        <v>#VALUE!</v>
      </c>
      <c r="DA4" t="e">
        <f>'Site Codes'!H42+"r[&amp;!0f"</f>
        <v>#VALUE!</v>
      </c>
      <c r="DB4" t="e">
        <f>'Site Codes'!A43+"r[&amp;!0g"</f>
        <v>#VALUE!</v>
      </c>
      <c r="DC4" s="1" t="e">
        <f>'Site Codes'!B43+"r[&amp;!0h"</f>
        <v>#VALUE!</v>
      </c>
      <c r="DD4" t="e">
        <f>'Site Codes'!D43+"r[&amp;!0i"</f>
        <v>#VALUE!</v>
      </c>
      <c r="DE4" t="e">
        <f>'Site Codes'!E43+"r[&amp;!0j"</f>
        <v>#VALUE!</v>
      </c>
      <c r="DF4" t="e">
        <f>'Site Codes'!F43+"r[&amp;!0k"</f>
        <v>#VALUE!</v>
      </c>
      <c r="DG4" t="e">
        <f>'Site Codes'!G43+"r[&amp;!0l"</f>
        <v>#VALUE!</v>
      </c>
      <c r="DH4" t="e">
        <f>'Site Codes'!H43+"r[&amp;!0m"</f>
        <v>#VALUE!</v>
      </c>
      <c r="DI4" t="e">
        <f>'Site Codes'!A44+"r[&amp;!0n"</f>
        <v>#VALUE!</v>
      </c>
      <c r="DJ4" s="1" t="e">
        <f>'Site Codes'!B44+"r[&amp;!0o"</f>
        <v>#VALUE!</v>
      </c>
      <c r="DK4" t="e">
        <f>'Site Codes'!D44+"r[&amp;!0p"</f>
        <v>#VALUE!</v>
      </c>
      <c r="DL4" t="e">
        <f>'Site Codes'!E44+"r[&amp;!0q"</f>
        <v>#VALUE!</v>
      </c>
      <c r="DM4" t="e">
        <f>'Site Codes'!F44+"r[&amp;!0r"</f>
        <v>#VALUE!</v>
      </c>
      <c r="DN4" t="e">
        <f>'Site Codes'!G44+"r[&amp;!0s"</f>
        <v>#VALUE!</v>
      </c>
      <c r="DO4" t="e">
        <f>'Site Codes'!H44+"r[&amp;!0t"</f>
        <v>#VALUE!</v>
      </c>
      <c r="DP4" t="e">
        <f>'Site Codes'!A45+"r[&amp;!0u"</f>
        <v>#VALUE!</v>
      </c>
      <c r="DQ4" s="1" t="e">
        <f>'Site Codes'!B45+"r[&amp;!0v"</f>
        <v>#VALUE!</v>
      </c>
      <c r="DR4" t="e">
        <f>'Site Codes'!D45+"r[&amp;!0w"</f>
        <v>#VALUE!</v>
      </c>
      <c r="DS4" t="e">
        <f>'Site Codes'!E45+"r[&amp;!0x"</f>
        <v>#VALUE!</v>
      </c>
      <c r="DT4" t="e">
        <f>'Site Codes'!F45+"r[&amp;!0y"</f>
        <v>#VALUE!</v>
      </c>
      <c r="DU4" t="e">
        <f>'Site Codes'!G45+"r[&amp;!0z"</f>
        <v>#VALUE!</v>
      </c>
      <c r="DV4" t="e">
        <f>'Site Codes'!H45+"r[&amp;!0{"</f>
        <v>#VALUE!</v>
      </c>
      <c r="DW4" t="e">
        <f>'Site Codes'!A46+"r[&amp;!0|"</f>
        <v>#VALUE!</v>
      </c>
      <c r="DX4" s="1" t="e">
        <f>'Site Codes'!B46+"r[&amp;!0}"</f>
        <v>#VALUE!</v>
      </c>
      <c r="DY4" t="e">
        <f>'Site Codes'!D46+"r[&amp;!0~"</f>
        <v>#VALUE!</v>
      </c>
      <c r="DZ4" t="e">
        <f>'Site Codes'!E46+"r[&amp;!1#"</f>
        <v>#VALUE!</v>
      </c>
      <c r="EA4" t="e">
        <f>'Site Codes'!F46+"r[&amp;!1$"</f>
        <v>#VALUE!</v>
      </c>
      <c r="EB4" t="e">
        <f>'Site Codes'!G46+"r[&amp;!1%"</f>
        <v>#VALUE!</v>
      </c>
      <c r="EC4" t="e">
        <f>'Site Codes'!H46+"r[&amp;!1&amp;"</f>
        <v>#VALUE!</v>
      </c>
      <c r="ED4" t="e">
        <f>'Site Codes'!A47+"r[&amp;!1'"</f>
        <v>#VALUE!</v>
      </c>
      <c r="EE4" s="1" t="e">
        <f>'Site Codes'!B47+"r[&amp;!1("</f>
        <v>#VALUE!</v>
      </c>
      <c r="EF4" t="e">
        <f>'Site Codes'!D47+"r[&amp;!1)"</f>
        <v>#VALUE!</v>
      </c>
      <c r="EG4" t="e">
        <f>'Site Codes'!E47+"r[&amp;!1."</f>
        <v>#VALUE!</v>
      </c>
      <c r="EH4" t="e">
        <f>'Site Codes'!F47+"r[&amp;!1/"</f>
        <v>#VALUE!</v>
      </c>
      <c r="EI4" t="e">
        <f>'Site Codes'!G47+"r[&amp;!10"</f>
        <v>#VALUE!</v>
      </c>
      <c r="EJ4" t="e">
        <f>'Site Codes'!H47+"r[&amp;!11"</f>
        <v>#VALUE!</v>
      </c>
      <c r="EK4" t="e">
        <f>'Site Codes'!A48+"r[&amp;!12"</f>
        <v>#VALUE!</v>
      </c>
      <c r="EL4" s="1" t="e">
        <f>'Site Codes'!B48+"r[&amp;!13"</f>
        <v>#VALUE!</v>
      </c>
      <c r="EM4" t="e">
        <f>'Site Codes'!D48+"r[&amp;!14"</f>
        <v>#VALUE!</v>
      </c>
      <c r="EN4" t="e">
        <f>'Site Codes'!A49+"r[&amp;!15"</f>
        <v>#VALUE!</v>
      </c>
      <c r="EO4" s="1" t="e">
        <f>'Site Codes'!B49+"r[&amp;!16"</f>
        <v>#VALUE!</v>
      </c>
      <c r="EP4" t="e">
        <f>'Site Codes'!D49+"r[&amp;!17"</f>
        <v>#VALUE!</v>
      </c>
      <c r="EQ4" t="e">
        <f>'Site Codes'!A50+"r[&amp;!18"</f>
        <v>#VALUE!</v>
      </c>
      <c r="ER4" s="1" t="e">
        <f>'Site Codes'!B50+"r[&amp;!19"</f>
        <v>#VALUE!</v>
      </c>
      <c r="ES4" t="e">
        <f>'Site Codes'!D50+"r[&amp;!1:"</f>
        <v>#VALUE!</v>
      </c>
      <c r="ET4" t="e">
        <f>'Site Codes'!A51+"r[&amp;!1;"</f>
        <v>#VALUE!</v>
      </c>
      <c r="EU4" s="1" t="e">
        <f>'Site Codes'!B51+"r[&amp;!1&lt;"</f>
        <v>#VALUE!</v>
      </c>
      <c r="EV4" t="e">
        <f>'Site Codes'!D51+"r[&amp;!1="</f>
        <v>#VALUE!</v>
      </c>
      <c r="EW4" t="e">
        <f>'Site Codes'!A52+"r[&amp;!1&gt;"</f>
        <v>#VALUE!</v>
      </c>
      <c r="EX4" s="1" t="e">
        <f>'Site Codes'!B52+"r[&amp;!1?"</f>
        <v>#VALUE!</v>
      </c>
      <c r="EY4" t="e">
        <f>'Site Codes'!D52+"r[&amp;!1@"</f>
        <v>#VALUE!</v>
      </c>
      <c r="EZ4" t="e">
        <f>'Site Codes'!A53+"r[&amp;!1A"</f>
        <v>#VALUE!</v>
      </c>
      <c r="FA4" s="1" t="e">
        <f>'Site Codes'!B53+"r[&amp;!1B"</f>
        <v>#VALUE!</v>
      </c>
      <c r="FB4" t="e">
        <f>'Site Codes'!D53+"r[&amp;!1C"</f>
        <v>#VALUE!</v>
      </c>
      <c r="FC4" t="e">
        <f>'Site Codes'!A54+"r[&amp;!1D"</f>
        <v>#VALUE!</v>
      </c>
      <c r="FD4" s="1" t="e">
        <f>'Site Codes'!B54+"r[&amp;!1E"</f>
        <v>#VALUE!</v>
      </c>
      <c r="FE4" t="e">
        <f>'Site Codes'!D54+"r[&amp;!1F"</f>
        <v>#VALUE!</v>
      </c>
      <c r="FF4" t="e">
        <f>'Site Codes'!#REF!+"r[&amp;!1G"</f>
        <v>#REF!</v>
      </c>
      <c r="FG4" s="1" t="e">
        <f>'Site Codes'!#REF!+"r[&amp;!1H"</f>
        <v>#REF!</v>
      </c>
      <c r="FH4" t="e">
        <f>'Site Codes'!#REF!+"r[&amp;!1I"</f>
        <v>#REF!</v>
      </c>
      <c r="FI4" t="e">
        <f>'Site Codes'!A55+"r[&amp;!1J"</f>
        <v>#VALUE!</v>
      </c>
      <c r="FJ4" s="1" t="e">
        <f>'Site Codes'!B55+"r[&amp;!1K"</f>
        <v>#VALUE!</v>
      </c>
      <c r="FK4" t="e">
        <f>'Site Codes'!D55+"r[&amp;!1L"</f>
        <v>#VALUE!</v>
      </c>
      <c r="FL4" t="e">
        <f>'Site Codes'!E55+"r[&amp;!1M"</f>
        <v>#VALUE!</v>
      </c>
      <c r="FM4" t="e">
        <f>'Site Codes'!F55+"r[&amp;!1N"</f>
        <v>#VALUE!</v>
      </c>
      <c r="FN4" t="e">
        <f>'Site Codes'!G55+"r[&amp;!1O"</f>
        <v>#VALUE!</v>
      </c>
      <c r="FO4" t="e">
        <f>'Site Codes'!A56+"r[&amp;!1P"</f>
        <v>#VALUE!</v>
      </c>
      <c r="FP4" s="1" t="e">
        <f>'Site Codes'!B56+"r[&amp;!1Q"</f>
        <v>#VALUE!</v>
      </c>
      <c r="FQ4" t="e">
        <f>'Site Codes'!D56+"r[&amp;!1R"</f>
        <v>#VALUE!</v>
      </c>
      <c r="FR4" t="e">
        <f>'Site Codes'!A57+"r[&amp;!1S"</f>
        <v>#VALUE!</v>
      </c>
      <c r="FS4" s="1" t="e">
        <f>'Site Codes'!B57+"r[&amp;!1T"</f>
        <v>#VALUE!</v>
      </c>
      <c r="FT4" t="e">
        <f>'Site Codes'!D57+"r[&amp;!1U"</f>
        <v>#VALUE!</v>
      </c>
      <c r="FU4" t="e">
        <f>'Site Codes'!A58+"r[&amp;!1V"</f>
        <v>#VALUE!</v>
      </c>
      <c r="FV4" s="1" t="e">
        <f>'Site Codes'!B58+"r[&amp;!1W"</f>
        <v>#VALUE!</v>
      </c>
      <c r="FW4" t="e">
        <f>'Site Codes'!D58+"r[&amp;!1X"</f>
        <v>#VALUE!</v>
      </c>
      <c r="FX4" t="e">
        <f>'Site Codes'!A59+"r[&amp;!1Y"</f>
        <v>#VALUE!</v>
      </c>
      <c r="FY4" s="1" t="e">
        <f>'Site Codes'!B59+"r[&amp;!1Z"</f>
        <v>#VALUE!</v>
      </c>
      <c r="FZ4" t="e">
        <f>'Site Codes'!D59+"r[&amp;!1["</f>
        <v>#VALUE!</v>
      </c>
      <c r="GA4" t="e">
        <f>'Site Codes'!#REF!+"r[&amp;!1\"</f>
        <v>#REF!</v>
      </c>
      <c r="GB4" s="1" t="e">
        <f>'Site Codes'!#REF!+"r[&amp;!1]"</f>
        <v>#REF!</v>
      </c>
      <c r="GC4" t="e">
        <f>'Site Codes'!#REF!+"r[&amp;!1^"</f>
        <v>#REF!</v>
      </c>
      <c r="GD4" t="e">
        <f>'Site Codes'!A60+"r[&amp;!1_"</f>
        <v>#VALUE!</v>
      </c>
      <c r="GE4" s="1" t="e">
        <f>'Site Codes'!B60+"r[&amp;!1`"</f>
        <v>#VALUE!</v>
      </c>
      <c r="GF4" t="e">
        <f>'Site Codes'!D60+"r[&amp;!1a"</f>
        <v>#VALUE!</v>
      </c>
      <c r="GG4" t="e">
        <f>'Site Codes'!A61+"r[&amp;!1b"</f>
        <v>#VALUE!</v>
      </c>
      <c r="GH4" s="1" t="e">
        <f>'Site Codes'!B61+"r[&amp;!1c"</f>
        <v>#VALUE!</v>
      </c>
      <c r="GI4" t="e">
        <f>'Site Codes'!D61+"r[&amp;!1d"</f>
        <v>#VALUE!</v>
      </c>
      <c r="GJ4" t="e">
        <f>'Site Codes'!A62+"r[&amp;!1e"</f>
        <v>#VALUE!</v>
      </c>
      <c r="GK4" s="1" t="e">
        <f>'Site Codes'!B62+"r[&amp;!1f"</f>
        <v>#VALUE!</v>
      </c>
      <c r="GL4" t="e">
        <f>'Site Codes'!D62+"r[&amp;!1g"</f>
        <v>#VALUE!</v>
      </c>
      <c r="GM4" t="e">
        <f>'Site Codes'!A63+"r[&amp;!1h"</f>
        <v>#VALUE!</v>
      </c>
      <c r="GN4" s="1" t="e">
        <f>'Site Codes'!B63+"r[&amp;!1i"</f>
        <v>#VALUE!</v>
      </c>
      <c r="GO4" t="e">
        <f>'Site Codes'!D63+"r[&amp;!1j"</f>
        <v>#VALUE!</v>
      </c>
      <c r="GP4" t="e">
        <f>'Site Codes'!A64+"r[&amp;!1k"</f>
        <v>#VALUE!</v>
      </c>
      <c r="GQ4" s="1" t="e">
        <f>'Site Codes'!B64+"r[&amp;!1l"</f>
        <v>#VALUE!</v>
      </c>
      <c r="GR4" t="e">
        <f>'Site Codes'!D64+"r[&amp;!1m"</f>
        <v>#VALUE!</v>
      </c>
      <c r="GS4" t="e">
        <f>'Site Codes'!A65+"r[&amp;!1n"</f>
        <v>#VALUE!</v>
      </c>
      <c r="GT4" s="1" t="e">
        <f>'Site Codes'!B65+"r[&amp;!1o"</f>
        <v>#VALUE!</v>
      </c>
      <c r="GU4" t="e">
        <f>'Site Codes'!D65+"r[&amp;!1p"</f>
        <v>#VALUE!</v>
      </c>
      <c r="GV4" t="e">
        <f>'Site Codes'!A66+"r[&amp;!1q"</f>
        <v>#VALUE!</v>
      </c>
      <c r="GW4" s="1" t="e">
        <f>'Site Codes'!B66+"r[&amp;!1r"</f>
        <v>#VALUE!</v>
      </c>
      <c r="GX4" t="e">
        <f>'Site Codes'!D66+"r[&amp;!1s"</f>
        <v>#VALUE!</v>
      </c>
      <c r="GY4" t="e">
        <f>'Site Codes'!A67+"r[&amp;!1t"</f>
        <v>#VALUE!</v>
      </c>
      <c r="GZ4" s="1" t="e">
        <f>'Site Codes'!B67+"r[&amp;!1u"</f>
        <v>#VALUE!</v>
      </c>
      <c r="HA4" t="e">
        <f>'Site Codes'!D67+"r[&amp;!1v"</f>
        <v>#VALUE!</v>
      </c>
      <c r="HB4" t="e">
        <f>'Site Codes'!A68+"r[&amp;!1w"</f>
        <v>#VALUE!</v>
      </c>
      <c r="HC4" s="1" t="e">
        <f>'Site Codes'!B68+"r[&amp;!1x"</f>
        <v>#VALUE!</v>
      </c>
      <c r="HD4" t="e">
        <f>'Site Codes'!D68+"r[&amp;!1y"</f>
        <v>#VALUE!</v>
      </c>
      <c r="HE4" t="e">
        <f>'Site Codes'!A69+"r[&amp;!1z"</f>
        <v>#VALUE!</v>
      </c>
      <c r="HF4" s="1" t="e">
        <f>'Site Codes'!B69+"r[&amp;!1{"</f>
        <v>#VALUE!</v>
      </c>
      <c r="HG4" t="e">
        <f>'Site Codes'!D69+"r[&amp;!1|"</f>
        <v>#VALUE!</v>
      </c>
      <c r="HH4" t="e">
        <f>'Site Codes'!A70+"r[&amp;!1}"</f>
        <v>#VALUE!</v>
      </c>
      <c r="HI4" s="1" t="e">
        <f>'Site Codes'!B70+"r[&amp;!1~"</f>
        <v>#VALUE!</v>
      </c>
      <c r="HJ4" t="e">
        <f>'Site Codes'!D70+"r[&amp;!2#"</f>
        <v>#VALUE!</v>
      </c>
      <c r="HK4" t="e">
        <f>'Site Codes'!E70+"r[&amp;!2$"</f>
        <v>#VALUE!</v>
      </c>
      <c r="HL4" t="e">
        <f>'Site Codes'!F70+"r[&amp;!2%"</f>
        <v>#VALUE!</v>
      </c>
      <c r="HM4" t="e">
        <f>'Site Codes'!G70+"r[&amp;!2&amp;"</f>
        <v>#VALUE!</v>
      </c>
      <c r="HN4" t="e">
        <f>'Site Codes'!H70+"r[&amp;!2'"</f>
        <v>#VALUE!</v>
      </c>
      <c r="HO4" t="e">
        <f>'Site Codes'!I70+"r[&amp;!2("</f>
        <v>#VALUE!</v>
      </c>
      <c r="HP4" t="e">
        <f>'Site Codes'!A71+"r[&amp;!2)"</f>
        <v>#VALUE!</v>
      </c>
      <c r="HQ4" s="1" t="e">
        <f>'Site Codes'!B71+"r[&amp;!2."</f>
        <v>#VALUE!</v>
      </c>
      <c r="HR4" t="e">
        <f>'Site Codes'!D71+"r[&amp;!2/"</f>
        <v>#VALUE!</v>
      </c>
      <c r="HS4" t="e">
        <f>'Site Codes'!A72+"r[&amp;!20"</f>
        <v>#VALUE!</v>
      </c>
      <c r="HT4" s="1" t="e">
        <f>'Site Codes'!B72+"r[&amp;!21"</f>
        <v>#VALUE!</v>
      </c>
      <c r="HU4" t="e">
        <f>'Site Codes'!D72+"r[&amp;!22"</f>
        <v>#VALUE!</v>
      </c>
      <c r="HV4" t="e">
        <f>'Site Codes'!E72+"r[&amp;!23"</f>
        <v>#VALUE!</v>
      </c>
      <c r="HW4" t="e">
        <f>'Site Codes'!F72+"r[&amp;!24"</f>
        <v>#VALUE!</v>
      </c>
      <c r="HX4" t="e">
        <f>'Site Codes'!G72+"r[&amp;!25"</f>
        <v>#VALUE!</v>
      </c>
      <c r="HY4" t="e">
        <f>'Site Codes'!H72+"r[&amp;!26"</f>
        <v>#VALUE!</v>
      </c>
      <c r="HZ4" t="e">
        <f>'Site Codes'!A73+"r[&amp;!27"</f>
        <v>#VALUE!</v>
      </c>
      <c r="IA4" s="1" t="e">
        <f>'Site Codes'!B73+"r[&amp;!28"</f>
        <v>#VALUE!</v>
      </c>
      <c r="IB4" t="e">
        <f>'Site Codes'!D73+"r[&amp;!29"</f>
        <v>#VALUE!</v>
      </c>
      <c r="IC4" t="e">
        <f>'Site Codes'!E73+"r[&amp;!2:"</f>
        <v>#VALUE!</v>
      </c>
      <c r="ID4" t="e">
        <f>'Site Codes'!F73+"r[&amp;!2;"</f>
        <v>#VALUE!</v>
      </c>
      <c r="IE4" t="e">
        <f>'Site Codes'!G73+"r[&amp;!2&lt;"</f>
        <v>#VALUE!</v>
      </c>
      <c r="IF4" t="e">
        <f>'Site Codes'!H73+"r[&amp;!2="</f>
        <v>#VALUE!</v>
      </c>
      <c r="IG4" t="e">
        <f>'Site Codes'!A74+"r[&amp;!2&gt;"</f>
        <v>#VALUE!</v>
      </c>
      <c r="IH4" s="1" t="e">
        <f>'Site Codes'!B74+"r[&amp;!2?"</f>
        <v>#VALUE!</v>
      </c>
      <c r="II4" t="e">
        <f>'Site Codes'!D74+"r[&amp;!2@"</f>
        <v>#VALUE!</v>
      </c>
      <c r="IJ4" t="e">
        <f>'Site Codes'!E74+"r[&amp;!2A"</f>
        <v>#VALUE!</v>
      </c>
      <c r="IK4" t="e">
        <f>'Site Codes'!F74+"r[&amp;!2B"</f>
        <v>#VALUE!</v>
      </c>
      <c r="IL4" t="e">
        <f>'Site Codes'!G74+"r[&amp;!2C"</f>
        <v>#VALUE!</v>
      </c>
      <c r="IM4" t="e">
        <f>'Site Codes'!H74+"r[&amp;!2D"</f>
        <v>#VALUE!</v>
      </c>
      <c r="IN4" t="e">
        <f>'Site Codes'!A75+"r[&amp;!2E"</f>
        <v>#VALUE!</v>
      </c>
      <c r="IO4" s="1" t="e">
        <f>'Site Codes'!B75+"r[&amp;!2F"</f>
        <v>#VALUE!</v>
      </c>
      <c r="IP4" t="e">
        <f>'Site Codes'!D75+"r[&amp;!2G"</f>
        <v>#VALUE!</v>
      </c>
      <c r="IQ4" t="e">
        <f>'Site Codes'!E75+"r[&amp;!2H"</f>
        <v>#VALUE!</v>
      </c>
      <c r="IR4" t="e">
        <f>'Site Codes'!F75+"r[&amp;!2I"</f>
        <v>#VALUE!</v>
      </c>
      <c r="IS4" t="e">
        <f>'Site Codes'!G75+"r[&amp;!2J"</f>
        <v>#VALUE!</v>
      </c>
      <c r="IT4" t="e">
        <f>'Site Codes'!A76+"r[&amp;!2K"</f>
        <v>#VALUE!</v>
      </c>
      <c r="IU4" s="1" t="e">
        <f>'Site Codes'!B76+"r[&amp;!2L"</f>
        <v>#VALUE!</v>
      </c>
      <c r="IV4" t="e">
        <f>'Site Codes'!D76+"r[&amp;!2M"</f>
        <v>#VALUE!</v>
      </c>
    </row>
    <row r="5" spans="1:256">
      <c r="A5" t="s">
        <v>1402</v>
      </c>
      <c r="F5" t="e">
        <f>'Site Codes'!E76+"r[&amp;!2N"</f>
        <v>#VALUE!</v>
      </c>
      <c r="G5" t="e">
        <f>'Site Codes'!F76+"r[&amp;!2O"</f>
        <v>#VALUE!</v>
      </c>
      <c r="H5" t="e">
        <f>'Site Codes'!G76+"r[&amp;!2P"</f>
        <v>#VALUE!</v>
      </c>
      <c r="I5" t="e">
        <f>'Site Codes'!A77+"r[&amp;!2Q"</f>
        <v>#VALUE!</v>
      </c>
      <c r="J5" s="1" t="e">
        <f>'Site Codes'!B77+"r[&amp;!2R"</f>
        <v>#VALUE!</v>
      </c>
      <c r="K5" t="e">
        <f>'Site Codes'!D77+"r[&amp;!2S"</f>
        <v>#VALUE!</v>
      </c>
      <c r="L5" t="e">
        <f>'Site Codes'!E77+"r[&amp;!2T"</f>
        <v>#VALUE!</v>
      </c>
      <c r="M5" t="e">
        <f>'Site Codes'!F77+"r[&amp;!2U"</f>
        <v>#VALUE!</v>
      </c>
      <c r="N5" t="e">
        <f>'Site Codes'!G77+"r[&amp;!2V"</f>
        <v>#VALUE!</v>
      </c>
      <c r="O5" t="e">
        <f>'Site Codes'!A78+"r[&amp;!2W"</f>
        <v>#VALUE!</v>
      </c>
      <c r="P5" s="1" t="e">
        <f>'Site Codes'!B78+"r[&amp;!2X"</f>
        <v>#VALUE!</v>
      </c>
      <c r="Q5" t="e">
        <f>'Site Codes'!D78+"r[&amp;!2Y"</f>
        <v>#VALUE!</v>
      </c>
      <c r="R5" t="e">
        <f>'Site Codes'!E78+"r[&amp;!2Z"</f>
        <v>#VALUE!</v>
      </c>
      <c r="S5" t="e">
        <f>'Site Codes'!F78+"r[&amp;!2["</f>
        <v>#VALUE!</v>
      </c>
      <c r="T5" t="e">
        <f>'Site Codes'!G78+"r[&amp;!2\"</f>
        <v>#VALUE!</v>
      </c>
      <c r="U5" t="e">
        <f>'Site Codes'!A79+"r[&amp;!2]"</f>
        <v>#VALUE!</v>
      </c>
      <c r="V5" s="1" t="e">
        <f>'Site Codes'!B79+"r[&amp;!2^"</f>
        <v>#VALUE!</v>
      </c>
      <c r="W5" t="e">
        <f>'Site Codes'!D79+"r[&amp;!2_"</f>
        <v>#VALUE!</v>
      </c>
      <c r="X5" t="e">
        <f>'Site Codes'!E79+"r[&amp;!2`"</f>
        <v>#VALUE!</v>
      </c>
      <c r="Y5" t="e">
        <f>'Site Codes'!A80+"r[&amp;!2a"</f>
        <v>#VALUE!</v>
      </c>
      <c r="Z5" s="1" t="e">
        <f>'Site Codes'!B80+"r[&amp;!2b"</f>
        <v>#VALUE!</v>
      </c>
      <c r="AA5" t="e">
        <f>'Site Codes'!D80+"r[&amp;!2c"</f>
        <v>#VALUE!</v>
      </c>
      <c r="AB5" t="e">
        <f>'Site Codes'!A81+"r[&amp;!2d"</f>
        <v>#VALUE!</v>
      </c>
      <c r="AC5" s="1" t="e">
        <f>'Site Codes'!B81+"r[&amp;!2e"</f>
        <v>#VALUE!</v>
      </c>
      <c r="AD5" t="e">
        <f>'Site Codes'!D81+"r[&amp;!2f"</f>
        <v>#VALUE!</v>
      </c>
      <c r="AE5" t="e">
        <f>'Site Codes'!E81+"r[&amp;!2g"</f>
        <v>#VALUE!</v>
      </c>
      <c r="AF5" t="e">
        <f>'Site Codes'!F81+"r[&amp;!2h"</f>
        <v>#VALUE!</v>
      </c>
      <c r="AG5" t="e">
        <f>'Site Codes'!G81+"r[&amp;!2i"</f>
        <v>#VALUE!</v>
      </c>
      <c r="AH5" t="e">
        <f>'Site Codes'!H81+"r[&amp;!2j"</f>
        <v>#VALUE!</v>
      </c>
      <c r="AI5" t="e">
        <f>'Site Codes'!I81+"r[&amp;!2k"</f>
        <v>#VALUE!</v>
      </c>
      <c r="AJ5" t="e">
        <f>'Site Codes'!A82+"r[&amp;!2l"</f>
        <v>#VALUE!</v>
      </c>
      <c r="AK5" s="1" t="e">
        <f>'Site Codes'!B82+"r[&amp;!2m"</f>
        <v>#VALUE!</v>
      </c>
      <c r="AL5" t="e">
        <f>'Site Codes'!D82+"r[&amp;!2n"</f>
        <v>#VALUE!</v>
      </c>
      <c r="AM5" t="e">
        <f>'Site Codes'!E82+"r[&amp;!2o"</f>
        <v>#VALUE!</v>
      </c>
      <c r="AN5" t="e">
        <f>'Site Codes'!F82+"r[&amp;!2p"</f>
        <v>#VALUE!</v>
      </c>
      <c r="AO5" t="e">
        <f>'Site Codes'!G82+"r[&amp;!2q"</f>
        <v>#VALUE!</v>
      </c>
      <c r="AP5" t="e">
        <f>'Site Codes'!H82+"r[&amp;!2r"</f>
        <v>#VALUE!</v>
      </c>
      <c r="AQ5" t="e">
        <f>'Site Codes'!A83+"r[&amp;!2s"</f>
        <v>#VALUE!</v>
      </c>
      <c r="AR5" s="1" t="e">
        <f>'Site Codes'!B83+"r[&amp;!2t"</f>
        <v>#VALUE!</v>
      </c>
      <c r="AS5" t="e">
        <f>'Site Codes'!D83+"r[&amp;!2u"</f>
        <v>#VALUE!</v>
      </c>
      <c r="AT5" t="e">
        <f>'Site Codes'!A84+"r[&amp;!2v"</f>
        <v>#VALUE!</v>
      </c>
      <c r="AU5" s="1" t="e">
        <f>'Site Codes'!B84+"r[&amp;!2w"</f>
        <v>#VALUE!</v>
      </c>
      <c r="AV5" t="e">
        <f>'Site Codes'!D84+"r[&amp;!2x"</f>
        <v>#VALUE!</v>
      </c>
      <c r="AW5" t="e">
        <f>'Site Codes'!A85+"r[&amp;!2y"</f>
        <v>#VALUE!</v>
      </c>
      <c r="AX5" s="1" t="e">
        <f>'Site Codes'!B85+"r[&amp;!2z"</f>
        <v>#VALUE!</v>
      </c>
      <c r="AY5" t="e">
        <f>'Site Codes'!D85+"r[&amp;!2{"</f>
        <v>#VALUE!</v>
      </c>
      <c r="AZ5" t="e">
        <f>'Site Codes'!A86+"r[&amp;!2|"</f>
        <v>#VALUE!</v>
      </c>
      <c r="BA5" s="1" t="e">
        <f>'Site Codes'!B86+"r[&amp;!2}"</f>
        <v>#VALUE!</v>
      </c>
      <c r="BB5" t="e">
        <f>'Site Codes'!D86+"r[&amp;!2~"</f>
        <v>#VALUE!</v>
      </c>
      <c r="BC5" t="e">
        <f>'Site Codes'!E86+"r[&amp;!3#"</f>
        <v>#VALUE!</v>
      </c>
      <c r="BD5" t="e">
        <f>'Site Codes'!F86+"r[&amp;!3$"</f>
        <v>#VALUE!</v>
      </c>
      <c r="BE5" t="e">
        <f>'Site Codes'!G86+"r[&amp;!3%"</f>
        <v>#VALUE!</v>
      </c>
      <c r="BF5" t="e">
        <f>'Site Codes'!H86+"r[&amp;!3&amp;"</f>
        <v>#VALUE!</v>
      </c>
      <c r="BG5" t="e">
        <f>'Site Codes'!A87+"r[&amp;!3'"</f>
        <v>#VALUE!</v>
      </c>
      <c r="BH5" s="1" t="e">
        <f>'Site Codes'!B87+"r[&amp;!3("</f>
        <v>#VALUE!</v>
      </c>
      <c r="BI5" t="e">
        <f>'Site Codes'!D87+"r[&amp;!3)"</f>
        <v>#VALUE!</v>
      </c>
      <c r="BJ5" t="e">
        <f>'Site Codes'!E87+"r[&amp;!3."</f>
        <v>#VALUE!</v>
      </c>
      <c r="BK5" t="e">
        <f>'Site Codes'!F87+"r[&amp;!3/"</f>
        <v>#VALUE!</v>
      </c>
      <c r="BL5" t="e">
        <f>'Site Codes'!G87+"r[&amp;!30"</f>
        <v>#VALUE!</v>
      </c>
      <c r="BM5" t="e">
        <f>'Site Codes'!H87+"r[&amp;!31"</f>
        <v>#VALUE!</v>
      </c>
      <c r="BN5" t="e">
        <f>'Site Codes'!A88+"r[&amp;!32"</f>
        <v>#VALUE!</v>
      </c>
      <c r="BO5" s="1" t="e">
        <f>'Site Codes'!B88+"r[&amp;!33"</f>
        <v>#VALUE!</v>
      </c>
      <c r="BP5" t="e">
        <f>'Site Codes'!D88+"r[&amp;!34"</f>
        <v>#VALUE!</v>
      </c>
      <c r="BQ5" t="e">
        <f>'Site Codes'!E88+"r[&amp;!35"</f>
        <v>#VALUE!</v>
      </c>
      <c r="BR5" t="e">
        <f>'Site Codes'!F88+"r[&amp;!36"</f>
        <v>#VALUE!</v>
      </c>
      <c r="BS5" t="e">
        <f>'Site Codes'!G88+"r[&amp;!37"</f>
        <v>#VALUE!</v>
      </c>
      <c r="BT5" t="e">
        <f>'Site Codes'!H88+"r[&amp;!38"</f>
        <v>#VALUE!</v>
      </c>
      <c r="BU5" t="e">
        <f>'Site Codes'!#REF!+"r[&amp;!39"</f>
        <v>#REF!</v>
      </c>
      <c r="BV5" s="1" t="e">
        <f>'Site Codes'!#REF!+"r[&amp;!3:"</f>
        <v>#REF!</v>
      </c>
      <c r="BW5" t="e">
        <f>'Site Codes'!#REF!+"r[&amp;!3;"</f>
        <v>#REF!</v>
      </c>
      <c r="BX5" t="e">
        <f>'Site Codes'!#REF!+"r[&amp;!3&lt;"</f>
        <v>#REF!</v>
      </c>
      <c r="BY5" t="e">
        <f>'Site Codes'!A89+"r[&amp;!3="</f>
        <v>#VALUE!</v>
      </c>
      <c r="BZ5" s="1" t="e">
        <f>'Site Codes'!B89+"r[&amp;!3&gt;"</f>
        <v>#VALUE!</v>
      </c>
      <c r="CA5" t="e">
        <f>'Site Codes'!D89+"r[&amp;!3?"</f>
        <v>#VALUE!</v>
      </c>
      <c r="CB5" t="e">
        <f>'Site Codes'!E89+"r[&amp;!3@"</f>
        <v>#VALUE!</v>
      </c>
      <c r="CC5" t="e">
        <f>'Site Codes'!F89+"r[&amp;!3A"</f>
        <v>#VALUE!</v>
      </c>
      <c r="CD5" t="e">
        <f>'Site Codes'!G89+"r[&amp;!3B"</f>
        <v>#VALUE!</v>
      </c>
      <c r="CE5" t="e">
        <f>'Site Codes'!H89+"r[&amp;!3C"</f>
        <v>#VALUE!</v>
      </c>
      <c r="CF5" t="e">
        <f>'Site Codes'!A90+"r[&amp;!3D"</f>
        <v>#VALUE!</v>
      </c>
      <c r="CG5" s="1" t="e">
        <f>'Site Codes'!B90+"r[&amp;!3E"</f>
        <v>#VALUE!</v>
      </c>
      <c r="CH5" t="e">
        <f>'Site Codes'!D90+"r[&amp;!3F"</f>
        <v>#VALUE!</v>
      </c>
      <c r="CI5" t="e">
        <f>'Site Codes'!E90+"r[&amp;!3G"</f>
        <v>#VALUE!</v>
      </c>
      <c r="CJ5" t="e">
        <f>'Site Codes'!F90+"r[&amp;!3H"</f>
        <v>#VALUE!</v>
      </c>
      <c r="CK5" t="e">
        <f>'Site Codes'!G90+"r[&amp;!3I"</f>
        <v>#VALUE!</v>
      </c>
      <c r="CL5" t="e">
        <f>'Site Codes'!H90+"r[&amp;!3J"</f>
        <v>#VALUE!</v>
      </c>
      <c r="CM5" t="e">
        <f>'Site Codes'!A91+"r[&amp;!3K"</f>
        <v>#VALUE!</v>
      </c>
      <c r="CN5" s="1" t="e">
        <f>'Site Codes'!B91+"r[&amp;!3L"</f>
        <v>#VALUE!</v>
      </c>
      <c r="CO5" t="e">
        <f>'Site Codes'!D91+"r[&amp;!3M"</f>
        <v>#VALUE!</v>
      </c>
      <c r="CP5" t="e">
        <f>'Site Codes'!E91+"r[&amp;!3N"</f>
        <v>#VALUE!</v>
      </c>
      <c r="CQ5" t="e">
        <f>'Site Codes'!F91+"r[&amp;!3O"</f>
        <v>#VALUE!</v>
      </c>
      <c r="CR5" t="e">
        <f>'Site Codes'!G91+"r[&amp;!3P"</f>
        <v>#VALUE!</v>
      </c>
      <c r="CS5" t="e">
        <f>'Site Codes'!H91+"r[&amp;!3Q"</f>
        <v>#VALUE!</v>
      </c>
      <c r="CT5" t="e">
        <f>'Site Codes'!A92+"r[&amp;!3R"</f>
        <v>#VALUE!</v>
      </c>
      <c r="CU5" s="1" t="e">
        <f>'Site Codes'!B92+"r[&amp;!3S"</f>
        <v>#VALUE!</v>
      </c>
      <c r="CV5" t="e">
        <f>'Site Codes'!D92+"r[&amp;!3T"</f>
        <v>#VALUE!</v>
      </c>
      <c r="CW5" t="e">
        <f>'Site Codes'!E92+"r[&amp;!3U"</f>
        <v>#VALUE!</v>
      </c>
      <c r="CX5" t="e">
        <f>'Site Codes'!G92+"r[&amp;!3V"</f>
        <v>#VALUE!</v>
      </c>
      <c r="CY5" t="e">
        <f>'Site Codes'!A93+"r[&amp;!3W"</f>
        <v>#VALUE!</v>
      </c>
      <c r="CZ5" s="1" t="e">
        <f>'Site Codes'!B93+"r[&amp;!3X"</f>
        <v>#VALUE!</v>
      </c>
      <c r="DA5" t="e">
        <f>'Site Codes'!D93+"r[&amp;!3Y"</f>
        <v>#VALUE!</v>
      </c>
      <c r="DB5" t="e">
        <f>'Site Codes'!E93+"r[&amp;!3Z"</f>
        <v>#VALUE!</v>
      </c>
      <c r="DC5" t="e">
        <f>'Site Codes'!F93+"r[&amp;!3["</f>
        <v>#VALUE!</v>
      </c>
      <c r="DD5" t="e">
        <f>'Site Codes'!G93+"r[&amp;!3\"</f>
        <v>#VALUE!</v>
      </c>
      <c r="DE5" t="e">
        <f>'Site Codes'!#REF!+"r[&amp;!3]"</f>
        <v>#REF!</v>
      </c>
      <c r="DF5" s="1" t="e">
        <f>'Site Codes'!#REF!+"r[&amp;!3^"</f>
        <v>#REF!</v>
      </c>
      <c r="DG5" t="e">
        <f>'Site Codes'!#REF!+"r[&amp;!3_"</f>
        <v>#REF!</v>
      </c>
      <c r="DH5" t="e">
        <f>'Site Codes'!#REF!+"r[&amp;!3`"</f>
        <v>#REF!</v>
      </c>
      <c r="DI5" t="e">
        <f>'Site Codes'!A94+"r[&amp;!3a"</f>
        <v>#VALUE!</v>
      </c>
      <c r="DJ5" s="1" t="e">
        <f>'Site Codes'!B94+"r[&amp;!3b"</f>
        <v>#VALUE!</v>
      </c>
      <c r="DK5" t="e">
        <f>'Site Codes'!D94+"r[&amp;!3c"</f>
        <v>#VALUE!</v>
      </c>
      <c r="DL5" t="e">
        <f>'Site Codes'!A95+"r[&amp;!3d"</f>
        <v>#VALUE!</v>
      </c>
      <c r="DM5" s="1" t="e">
        <f>'Site Codes'!B95+"r[&amp;!3e"</f>
        <v>#VALUE!</v>
      </c>
      <c r="DN5" t="e">
        <f>'Site Codes'!D95+"r[&amp;!3f"</f>
        <v>#VALUE!</v>
      </c>
      <c r="DO5" t="e">
        <f>'Site Codes'!E95+"r[&amp;!3g"</f>
        <v>#VALUE!</v>
      </c>
      <c r="DP5" t="e">
        <f>'Site Codes'!F95+"r[&amp;!3h"</f>
        <v>#VALUE!</v>
      </c>
      <c r="DQ5" t="e">
        <f>'Site Codes'!G95+"r[&amp;!3i"</f>
        <v>#VALUE!</v>
      </c>
      <c r="DR5" t="e">
        <f>'Site Codes'!H95+"r[&amp;!3j"</f>
        <v>#VALUE!</v>
      </c>
      <c r="DS5" t="e">
        <f>'Site Codes'!I95+"r[&amp;!3k"</f>
        <v>#VALUE!</v>
      </c>
      <c r="DT5" t="e">
        <f>'Site Codes'!A96+"r[&amp;!3l"</f>
        <v>#VALUE!</v>
      </c>
      <c r="DU5" s="1" t="e">
        <f>'Site Codes'!B96+"r[&amp;!3m"</f>
        <v>#VALUE!</v>
      </c>
      <c r="DV5" t="e">
        <f>'Site Codes'!D96+"r[&amp;!3n"</f>
        <v>#VALUE!</v>
      </c>
      <c r="DW5" t="e">
        <f>'Site Codes'!E96+"r[&amp;!3o"</f>
        <v>#VALUE!</v>
      </c>
      <c r="DX5" t="e">
        <f>'Site Codes'!F96+"r[&amp;!3p"</f>
        <v>#VALUE!</v>
      </c>
      <c r="DY5" t="e">
        <f>'Site Codes'!G96+"r[&amp;!3q"</f>
        <v>#VALUE!</v>
      </c>
      <c r="DZ5" t="e">
        <f>'Site Codes'!A97+"r[&amp;!3r"</f>
        <v>#VALUE!</v>
      </c>
      <c r="EA5" s="1" t="e">
        <f>'Site Codes'!B97+"r[&amp;!3s"</f>
        <v>#VALUE!</v>
      </c>
      <c r="EB5" t="e">
        <f>'Site Codes'!D97+"r[&amp;!3t"</f>
        <v>#VALUE!</v>
      </c>
      <c r="EC5" t="e">
        <f>'Site Codes'!E97+"r[&amp;!3u"</f>
        <v>#VALUE!</v>
      </c>
      <c r="ED5" t="e">
        <f>'Site Codes'!F97+"r[&amp;!3v"</f>
        <v>#VALUE!</v>
      </c>
      <c r="EE5" t="e">
        <f>'Site Codes'!G97+"r[&amp;!3w"</f>
        <v>#VALUE!</v>
      </c>
      <c r="EF5" t="e">
        <f>'Site Codes'!H97+"r[&amp;!3x"</f>
        <v>#VALUE!</v>
      </c>
      <c r="EG5" t="e">
        <f>'Site Codes'!I97+"r[&amp;!3y"</f>
        <v>#VALUE!</v>
      </c>
      <c r="EH5" t="e">
        <f>'Site Codes'!A98+"r[&amp;!3z"</f>
        <v>#VALUE!</v>
      </c>
      <c r="EI5" s="1" t="e">
        <f>'Site Codes'!B98+"r[&amp;!3{"</f>
        <v>#VALUE!</v>
      </c>
      <c r="EJ5" t="e">
        <f>'Site Codes'!D98+"r[&amp;!3|"</f>
        <v>#VALUE!</v>
      </c>
      <c r="EK5" t="e">
        <f>'Site Codes'!E98+"r[&amp;!3}"</f>
        <v>#VALUE!</v>
      </c>
      <c r="EL5" t="e">
        <f>'Site Codes'!G98+"r[&amp;!3~"</f>
        <v>#VALUE!</v>
      </c>
      <c r="EM5" t="e">
        <f>'Site Codes'!A99+"r[&amp;!4#"</f>
        <v>#VALUE!</v>
      </c>
      <c r="EN5" s="1" t="e">
        <f>'Site Codes'!B99+"r[&amp;!4$"</f>
        <v>#VALUE!</v>
      </c>
      <c r="EO5" t="e">
        <f>'Site Codes'!D99+"r[&amp;!4%"</f>
        <v>#VALUE!</v>
      </c>
      <c r="EP5" t="e">
        <f>'Site Codes'!A100+"r[&amp;!4&amp;"</f>
        <v>#VALUE!</v>
      </c>
      <c r="EQ5" s="1" t="e">
        <f>'Site Codes'!B100+"r[&amp;!4'"</f>
        <v>#VALUE!</v>
      </c>
      <c r="ER5" t="e">
        <f>'Site Codes'!D100+"r[&amp;!4("</f>
        <v>#VALUE!</v>
      </c>
      <c r="ES5" t="e">
        <f>'Site Codes'!A101+"r[&amp;!4)"</f>
        <v>#VALUE!</v>
      </c>
      <c r="ET5" s="1" t="e">
        <f>'Site Codes'!B101+"r[&amp;!4."</f>
        <v>#VALUE!</v>
      </c>
      <c r="EU5" t="e">
        <f>'Site Codes'!D101+"r[&amp;!4/"</f>
        <v>#VALUE!</v>
      </c>
      <c r="EV5" t="e">
        <f>'Site Codes'!A102+"r[&amp;!40"</f>
        <v>#VALUE!</v>
      </c>
      <c r="EW5" s="1" t="e">
        <f>'Site Codes'!B102+"r[&amp;!41"</f>
        <v>#VALUE!</v>
      </c>
      <c r="EX5" t="e">
        <f>'Site Codes'!D102+"r[&amp;!42"</f>
        <v>#VALUE!</v>
      </c>
      <c r="EY5" t="e">
        <f>'Site Codes'!E102+"r[&amp;!43"</f>
        <v>#VALUE!</v>
      </c>
      <c r="EZ5" t="e">
        <f>'Site Codes'!F102+"r[&amp;!44"</f>
        <v>#VALUE!</v>
      </c>
      <c r="FA5" t="e">
        <f>'Site Codes'!G102+"r[&amp;!45"</f>
        <v>#VALUE!</v>
      </c>
      <c r="FB5" t="e">
        <f>'Site Codes'!A103+"r[&amp;!46"</f>
        <v>#VALUE!</v>
      </c>
      <c r="FC5" s="1" t="e">
        <f>'Site Codes'!B103+"r[&amp;!47"</f>
        <v>#VALUE!</v>
      </c>
      <c r="FD5" t="e">
        <f>'Site Codes'!D103+"r[&amp;!48"</f>
        <v>#VALUE!</v>
      </c>
      <c r="FE5" t="e">
        <f>'Site Codes'!E103+"r[&amp;!49"</f>
        <v>#VALUE!</v>
      </c>
      <c r="FF5" t="e">
        <f>'Site Codes'!F103+"r[&amp;!4:"</f>
        <v>#VALUE!</v>
      </c>
      <c r="FG5" t="e">
        <f>'Site Codes'!G103+"r[&amp;!4;"</f>
        <v>#VALUE!</v>
      </c>
      <c r="FH5" t="e">
        <f>'Site Codes'!H103+"r[&amp;!4&lt;"</f>
        <v>#VALUE!</v>
      </c>
      <c r="FI5" t="e">
        <f>'Site Codes'!I103+"r[&amp;!4="</f>
        <v>#VALUE!</v>
      </c>
      <c r="FJ5" t="e">
        <f>'Site Codes'!A104+"r[&amp;!4&gt;"</f>
        <v>#VALUE!</v>
      </c>
      <c r="FK5" s="1" t="e">
        <f>'Site Codes'!B104+"r[&amp;!4?"</f>
        <v>#VALUE!</v>
      </c>
      <c r="FL5" t="e">
        <f>'Site Codes'!D104+"r[&amp;!4@"</f>
        <v>#VALUE!</v>
      </c>
      <c r="FM5" t="e">
        <f>'Site Codes'!E104+"r[&amp;!4A"</f>
        <v>#VALUE!</v>
      </c>
      <c r="FN5" t="e">
        <f>'Site Codes'!F104+"r[&amp;!4B"</f>
        <v>#VALUE!</v>
      </c>
      <c r="FO5" t="e">
        <f>'Site Codes'!G104+"r[&amp;!4C"</f>
        <v>#VALUE!</v>
      </c>
      <c r="FP5" t="e">
        <f>'Site Codes'!H104+"r[&amp;!4D"</f>
        <v>#VALUE!</v>
      </c>
      <c r="FQ5" t="e">
        <f>'Site Codes'!I104+"r[&amp;!4E"</f>
        <v>#VALUE!</v>
      </c>
      <c r="FR5" t="e">
        <f>'Site Codes'!J104+"r[&amp;!4F"</f>
        <v>#VALUE!</v>
      </c>
      <c r="FS5" t="e">
        <f>'Site Codes'!A105+"r[&amp;!4G"</f>
        <v>#VALUE!</v>
      </c>
      <c r="FT5" s="1" t="e">
        <f>'Site Codes'!B105+"r[&amp;!4H"</f>
        <v>#VALUE!</v>
      </c>
      <c r="FU5" t="e">
        <f>'Site Codes'!D105+"r[&amp;!4I"</f>
        <v>#VALUE!</v>
      </c>
      <c r="FV5" t="e">
        <f>'Site Codes'!J105+"r[&amp;!4J"</f>
        <v>#VALUE!</v>
      </c>
      <c r="FW5" t="e">
        <f>'Site Codes'!A106+"r[&amp;!4K"</f>
        <v>#VALUE!</v>
      </c>
      <c r="FX5" s="1" t="e">
        <f>'Site Codes'!B106+"r[&amp;!4L"</f>
        <v>#VALUE!</v>
      </c>
      <c r="FY5" t="e">
        <f>'Site Codes'!D106+"r[&amp;!4M"</f>
        <v>#VALUE!</v>
      </c>
      <c r="FZ5" t="e">
        <f>'Site Codes'!J106+"r[&amp;!4N"</f>
        <v>#VALUE!</v>
      </c>
      <c r="GA5" t="e">
        <f>'Site Codes'!A107+"r[&amp;!4O"</f>
        <v>#VALUE!</v>
      </c>
      <c r="GB5" s="1" t="e">
        <f>'Site Codes'!B107+"r[&amp;!4P"</f>
        <v>#VALUE!</v>
      </c>
      <c r="GC5" t="e">
        <f>'Site Codes'!D107+"r[&amp;!4Q"</f>
        <v>#VALUE!</v>
      </c>
      <c r="GD5" t="e">
        <f>'Site Codes'!E107+"r[&amp;!4R"</f>
        <v>#VALUE!</v>
      </c>
      <c r="GE5" t="e">
        <f>'Site Codes'!F107+"r[&amp;!4S"</f>
        <v>#VALUE!</v>
      </c>
      <c r="GF5" t="e">
        <f>'Site Codes'!G107+"r[&amp;!4T"</f>
        <v>#VALUE!</v>
      </c>
      <c r="GG5" t="e">
        <f>'Site Codes'!H107+"r[&amp;!4U"</f>
        <v>#VALUE!</v>
      </c>
      <c r="GH5" t="e">
        <f>'Site Codes'!I107+"r[&amp;!4V"</f>
        <v>#VALUE!</v>
      </c>
      <c r="GI5" t="e">
        <f>'Site Codes'!J107+"r[&amp;!4W"</f>
        <v>#VALUE!</v>
      </c>
      <c r="GJ5" t="e">
        <f>'Site Codes'!A108+"r[&amp;!4X"</f>
        <v>#VALUE!</v>
      </c>
      <c r="GK5" s="1" t="e">
        <f>'Site Codes'!B108+"r[&amp;!4Y"</f>
        <v>#VALUE!</v>
      </c>
      <c r="GL5" t="e">
        <f>'Site Codes'!D108+"r[&amp;!4Z"</f>
        <v>#VALUE!</v>
      </c>
      <c r="GM5" t="e">
        <f>'Site Codes'!A109+"r[&amp;!4["</f>
        <v>#VALUE!</v>
      </c>
      <c r="GN5" s="1" t="e">
        <f>'Site Codes'!B109+"r[&amp;!4\"</f>
        <v>#VALUE!</v>
      </c>
      <c r="GO5" t="e">
        <f>'Site Codes'!D109+"r[&amp;!4]"</f>
        <v>#VALUE!</v>
      </c>
      <c r="GP5" t="e">
        <f>'Site Codes'!A110+"r[&amp;!4^"</f>
        <v>#VALUE!</v>
      </c>
      <c r="GQ5" s="1" t="e">
        <f>'Site Codes'!B110+"r[&amp;!4_"</f>
        <v>#VALUE!</v>
      </c>
      <c r="GR5" t="e">
        <f>'Site Codes'!D110+"r[&amp;!4`"</f>
        <v>#VALUE!</v>
      </c>
      <c r="GS5" t="e">
        <f>'Site Codes'!E110+"r[&amp;!4a"</f>
        <v>#VALUE!</v>
      </c>
      <c r="GT5" t="e">
        <f>'Site Codes'!F110+"r[&amp;!4b"</f>
        <v>#VALUE!</v>
      </c>
      <c r="GU5" t="e">
        <f>'Site Codes'!G110+"r[&amp;!4c"</f>
        <v>#VALUE!</v>
      </c>
      <c r="GV5" t="e">
        <f>'Site Codes'!H110+"r[&amp;!4d"</f>
        <v>#VALUE!</v>
      </c>
      <c r="GW5" t="e">
        <f>'Site Codes'!A111+"r[&amp;!4e"</f>
        <v>#VALUE!</v>
      </c>
      <c r="GX5" s="1" t="e">
        <f>'Site Codes'!B111+"r[&amp;!4f"</f>
        <v>#VALUE!</v>
      </c>
      <c r="GY5" t="e">
        <f>'Site Codes'!D111+"r[&amp;!4g"</f>
        <v>#VALUE!</v>
      </c>
      <c r="GZ5" t="e">
        <f>'Site Codes'!E111+"r[&amp;!4h"</f>
        <v>#VALUE!</v>
      </c>
      <c r="HA5" t="e">
        <f>'Site Codes'!F111+"r[&amp;!4i"</f>
        <v>#VALUE!</v>
      </c>
      <c r="HB5" t="e">
        <f>'Site Codes'!G111+"r[&amp;!4j"</f>
        <v>#VALUE!</v>
      </c>
      <c r="HC5" t="e">
        <f>'Site Codes'!A112+"r[&amp;!4k"</f>
        <v>#VALUE!</v>
      </c>
      <c r="HD5" s="1" t="e">
        <f>'Site Codes'!B112+"r[&amp;!4l"</f>
        <v>#VALUE!</v>
      </c>
      <c r="HE5" t="e">
        <f>'Site Codes'!D112+"r[&amp;!4m"</f>
        <v>#VALUE!</v>
      </c>
      <c r="HF5" t="e">
        <f>'Site Codes'!E112+"r[&amp;!4n"</f>
        <v>#VALUE!</v>
      </c>
      <c r="HG5" t="e">
        <f>'Site Codes'!F112+"r[&amp;!4o"</f>
        <v>#VALUE!</v>
      </c>
      <c r="HH5" t="e">
        <f>'Site Codes'!G112+"r[&amp;!4p"</f>
        <v>#VALUE!</v>
      </c>
      <c r="HI5" t="e">
        <f>'Site Codes'!A113+"r[&amp;!4q"</f>
        <v>#VALUE!</v>
      </c>
      <c r="HJ5" s="1" t="e">
        <f>'Site Codes'!B113+"r[&amp;!4r"</f>
        <v>#VALUE!</v>
      </c>
      <c r="HK5" t="e">
        <f>'Site Codes'!D113+"r[&amp;!4s"</f>
        <v>#VALUE!</v>
      </c>
      <c r="HL5" t="e">
        <f>'Site Codes'!A114+"r[&amp;!4t"</f>
        <v>#VALUE!</v>
      </c>
      <c r="HM5" s="1" t="e">
        <f>'Site Codes'!B114+"r[&amp;!4u"</f>
        <v>#VALUE!</v>
      </c>
      <c r="HN5" t="e">
        <f>'Site Codes'!D114+"r[&amp;!4v"</f>
        <v>#VALUE!</v>
      </c>
      <c r="HO5" t="e">
        <f>'Site Codes'!A115+"r[&amp;!4w"</f>
        <v>#VALUE!</v>
      </c>
      <c r="HP5" s="1" t="e">
        <f>'Site Codes'!B115+"r[&amp;!4x"</f>
        <v>#VALUE!</v>
      </c>
      <c r="HQ5" t="e">
        <f>'Site Codes'!D115+"r[&amp;!4y"</f>
        <v>#VALUE!</v>
      </c>
      <c r="HR5" t="e">
        <f>'Site Codes'!E115+"r[&amp;!4z"</f>
        <v>#VALUE!</v>
      </c>
      <c r="HS5" t="e">
        <f>'Site Codes'!G115+"r[&amp;!4{"</f>
        <v>#VALUE!</v>
      </c>
      <c r="HT5" t="e">
        <f>'Site Codes'!A116+"r[&amp;!4|"</f>
        <v>#VALUE!</v>
      </c>
      <c r="HU5" s="1" t="e">
        <f>'Site Codes'!B116+"r[&amp;!4}"</f>
        <v>#VALUE!</v>
      </c>
      <c r="HV5" t="e">
        <f>'Site Codes'!D116+"r[&amp;!4~"</f>
        <v>#VALUE!</v>
      </c>
      <c r="HW5" t="e">
        <f>'Site Codes'!E116+"r[&amp;!5#"</f>
        <v>#VALUE!</v>
      </c>
      <c r="HX5" t="e">
        <f>'Site Codes'!G116+"r[&amp;!5$"</f>
        <v>#VALUE!</v>
      </c>
      <c r="HY5" t="e">
        <f>'Site Codes'!A117+"r[&amp;!5%"</f>
        <v>#VALUE!</v>
      </c>
      <c r="HZ5" s="1" t="e">
        <f>'Site Codes'!B117+"r[&amp;!5&amp;"</f>
        <v>#VALUE!</v>
      </c>
      <c r="IA5" t="e">
        <f>'Site Codes'!D117+"r[&amp;!5'"</f>
        <v>#VALUE!</v>
      </c>
      <c r="IB5" t="e">
        <f>'Site Codes'!E117+"r[&amp;!5("</f>
        <v>#VALUE!</v>
      </c>
      <c r="IC5" t="e">
        <f>'Site Codes'!G117+"r[&amp;!5)"</f>
        <v>#VALUE!</v>
      </c>
      <c r="ID5" t="e">
        <f>'Site Codes'!H117+"r[&amp;!5."</f>
        <v>#VALUE!</v>
      </c>
      <c r="IE5" t="e">
        <f>'Site Codes'!A118+"r[&amp;!5/"</f>
        <v>#VALUE!</v>
      </c>
      <c r="IF5" s="1" t="e">
        <f>'Site Codes'!B118+"r[&amp;!50"</f>
        <v>#VALUE!</v>
      </c>
      <c r="IG5" t="e">
        <f>'Site Codes'!D118+"r[&amp;!51"</f>
        <v>#VALUE!</v>
      </c>
      <c r="IH5" t="e">
        <f>'Site Codes'!E118+"r[&amp;!52"</f>
        <v>#VALUE!</v>
      </c>
      <c r="II5" t="e">
        <f>'Site Codes'!G118+"r[&amp;!53"</f>
        <v>#VALUE!</v>
      </c>
      <c r="IJ5" t="e">
        <f>'Site Codes'!A119+"r[&amp;!54"</f>
        <v>#VALUE!</v>
      </c>
      <c r="IK5" s="1" t="e">
        <f>'Site Codes'!B119+"r[&amp;!55"</f>
        <v>#VALUE!</v>
      </c>
      <c r="IL5" t="e">
        <f>'Site Codes'!D119+"r[&amp;!56"</f>
        <v>#VALUE!</v>
      </c>
      <c r="IM5" t="e">
        <f>'Site Codes'!A120+"r[&amp;!57"</f>
        <v>#VALUE!</v>
      </c>
      <c r="IN5" s="1" t="e">
        <f>'Site Codes'!B120+"r[&amp;!58"</f>
        <v>#VALUE!</v>
      </c>
      <c r="IO5" t="e">
        <f>'Site Codes'!D120+"r[&amp;!59"</f>
        <v>#VALUE!</v>
      </c>
      <c r="IP5" t="e">
        <f>'Site Codes'!A121+"r[&amp;!5:"</f>
        <v>#VALUE!</v>
      </c>
      <c r="IQ5" s="1" t="e">
        <f>'Site Codes'!B121+"r[&amp;!5;"</f>
        <v>#VALUE!</v>
      </c>
      <c r="IR5" t="e">
        <f>'Site Codes'!D121+"r[&amp;!5&lt;"</f>
        <v>#VALUE!</v>
      </c>
      <c r="IS5" t="e">
        <f>'Site Codes'!A122+"r[&amp;!5="</f>
        <v>#VALUE!</v>
      </c>
      <c r="IT5" s="1" t="e">
        <f>'Site Codes'!B122+"r[&amp;!5&gt;"</f>
        <v>#VALUE!</v>
      </c>
      <c r="IU5" t="e">
        <f>'Site Codes'!D122+"r[&amp;!5?"</f>
        <v>#VALUE!</v>
      </c>
      <c r="IV5" t="e">
        <f>'Site Codes'!#REF!+"r[&amp;!5@"</f>
        <v>#REF!</v>
      </c>
    </row>
    <row r="6" spans="1:256">
      <c r="A6" t="s">
        <v>1403</v>
      </c>
      <c r="F6" s="1" t="e">
        <f>'Site Codes'!#REF!+"r[&amp;!5A"</f>
        <v>#REF!</v>
      </c>
      <c r="G6" t="e">
        <f>'Site Codes'!#REF!+"r[&amp;!5B"</f>
        <v>#REF!</v>
      </c>
      <c r="H6" t="e">
        <f>'Site Codes'!A123+"r[&amp;!5C"</f>
        <v>#VALUE!</v>
      </c>
      <c r="I6" s="1" t="e">
        <f>'Site Codes'!B123+"r[&amp;!5D"</f>
        <v>#VALUE!</v>
      </c>
      <c r="J6" t="e">
        <f>'Site Codes'!D123+"r[&amp;!5E"</f>
        <v>#VALUE!</v>
      </c>
      <c r="K6" t="e">
        <f>'Site Codes'!E123+"r[&amp;!5F"</f>
        <v>#VALUE!</v>
      </c>
      <c r="L6" t="e">
        <f>'Site Codes'!F123+"r[&amp;!5G"</f>
        <v>#VALUE!</v>
      </c>
      <c r="M6" t="e">
        <f>'Site Codes'!G123+"r[&amp;!5H"</f>
        <v>#VALUE!</v>
      </c>
      <c r="N6" t="e">
        <f>'Site Codes'!H123+"r[&amp;!5I"</f>
        <v>#VALUE!</v>
      </c>
      <c r="O6" t="e">
        <f>'Site Codes'!I123+"r[&amp;!5J"</f>
        <v>#VALUE!</v>
      </c>
      <c r="P6" t="e">
        <f>'Site Codes'!A124+"r[&amp;!5K"</f>
        <v>#VALUE!</v>
      </c>
      <c r="Q6" s="1" t="e">
        <f>'Site Codes'!B124+"r[&amp;!5L"</f>
        <v>#VALUE!</v>
      </c>
      <c r="R6" t="e">
        <f>'Site Codes'!D124+"r[&amp;!5M"</f>
        <v>#VALUE!</v>
      </c>
      <c r="S6" t="e">
        <f>'Site Codes'!A125+"r[&amp;!5N"</f>
        <v>#VALUE!</v>
      </c>
      <c r="T6" s="1" t="e">
        <f>'Site Codes'!B125+"r[&amp;!5O"</f>
        <v>#VALUE!</v>
      </c>
      <c r="U6" t="e">
        <f>'Site Codes'!D125+"r[&amp;!5P"</f>
        <v>#VALUE!</v>
      </c>
      <c r="V6" t="e">
        <f>'Site Codes'!A126+"r[&amp;!5Q"</f>
        <v>#VALUE!</v>
      </c>
      <c r="W6" s="1" t="e">
        <f>'Site Codes'!B126+"r[&amp;!5R"</f>
        <v>#VALUE!</v>
      </c>
      <c r="X6" t="e">
        <f>'Site Codes'!D126+"r[&amp;!5S"</f>
        <v>#VALUE!</v>
      </c>
      <c r="Y6" t="e">
        <f>'Site Codes'!A127+"r[&amp;!5T"</f>
        <v>#VALUE!</v>
      </c>
      <c r="Z6" s="1" t="e">
        <f>'Site Codes'!B127+"r[&amp;!5U"</f>
        <v>#VALUE!</v>
      </c>
      <c r="AA6" t="e">
        <f>'Site Codes'!D127+"r[&amp;!5V"</f>
        <v>#VALUE!</v>
      </c>
      <c r="AB6" t="e">
        <f>'Site Codes'!E127+"r[&amp;!5W"</f>
        <v>#VALUE!</v>
      </c>
      <c r="AC6" t="e">
        <f>'Site Codes'!F127+"r[&amp;!5X"</f>
        <v>#VALUE!</v>
      </c>
      <c r="AD6" t="e">
        <f>'Site Codes'!G127+"r[&amp;!5Y"</f>
        <v>#VALUE!</v>
      </c>
      <c r="AE6" t="e">
        <f>'Site Codes'!H127+"r[&amp;!5Z"</f>
        <v>#VALUE!</v>
      </c>
      <c r="AF6" t="e">
        <f>'Site Codes'!#REF!+"r[&amp;!5["</f>
        <v>#REF!</v>
      </c>
      <c r="AG6" s="1" t="e">
        <f>'Site Codes'!#REF!+"r[&amp;!5\"</f>
        <v>#REF!</v>
      </c>
      <c r="AH6" t="e">
        <f>'Site Codes'!#REF!+"r[&amp;!5]"</f>
        <v>#REF!</v>
      </c>
      <c r="AI6" t="e">
        <f>'Site Codes'!#REF!+"r[&amp;!5^"</f>
        <v>#REF!</v>
      </c>
      <c r="AJ6" t="e">
        <f>'Site Codes'!#REF!+"r[&amp;!5_"</f>
        <v>#REF!</v>
      </c>
      <c r="AK6" t="e">
        <f>'Site Codes'!#REF!+"r[&amp;!5`"</f>
        <v>#REF!</v>
      </c>
      <c r="AL6" t="e">
        <f>'Site Codes'!A128+"r[&amp;!5a"</f>
        <v>#VALUE!</v>
      </c>
      <c r="AM6" s="1" t="e">
        <f>'Site Codes'!B128+"r[&amp;!5b"</f>
        <v>#VALUE!</v>
      </c>
      <c r="AN6" t="e">
        <f>'Site Codes'!D128+"r[&amp;!5c"</f>
        <v>#VALUE!</v>
      </c>
      <c r="AO6" t="e">
        <f>'Site Codes'!E128+"r[&amp;!5d"</f>
        <v>#VALUE!</v>
      </c>
      <c r="AP6" t="e">
        <f>'Site Codes'!F128+"r[&amp;!5e"</f>
        <v>#VALUE!</v>
      </c>
      <c r="AQ6" t="e">
        <f>'Site Codes'!G128+"r[&amp;!5f"</f>
        <v>#VALUE!</v>
      </c>
      <c r="AR6" t="e">
        <f>'Site Codes'!H128+"r[&amp;!5g"</f>
        <v>#VALUE!</v>
      </c>
      <c r="AS6" t="e">
        <f>'Site Codes'!A129+"r[&amp;!5h"</f>
        <v>#VALUE!</v>
      </c>
      <c r="AT6" s="1" t="e">
        <f>'Site Codes'!B129+"r[&amp;!5i"</f>
        <v>#VALUE!</v>
      </c>
      <c r="AU6" t="e">
        <f>'Site Codes'!D129+"r[&amp;!5j"</f>
        <v>#VALUE!</v>
      </c>
      <c r="AV6" t="e">
        <f>'Site Codes'!E129+"r[&amp;!5k"</f>
        <v>#VALUE!</v>
      </c>
      <c r="AW6" t="e">
        <f>'Site Codes'!F129+"r[&amp;!5l"</f>
        <v>#VALUE!</v>
      </c>
      <c r="AX6" t="e">
        <f>'Site Codes'!G129+"r[&amp;!5m"</f>
        <v>#VALUE!</v>
      </c>
      <c r="AY6" t="e">
        <f>'Site Codes'!A130+"r[&amp;!5n"</f>
        <v>#VALUE!</v>
      </c>
      <c r="AZ6" s="1" t="e">
        <f>'Site Codes'!B130+"r[&amp;!5o"</f>
        <v>#VALUE!</v>
      </c>
      <c r="BA6" t="e">
        <f>'Site Codes'!D130+"r[&amp;!5p"</f>
        <v>#VALUE!</v>
      </c>
      <c r="BB6" t="e">
        <f>'Site Codes'!E130+"r[&amp;!5q"</f>
        <v>#VALUE!</v>
      </c>
      <c r="BC6" t="e">
        <f>'Site Codes'!F130+"r[&amp;!5r"</f>
        <v>#VALUE!</v>
      </c>
      <c r="BD6" t="e">
        <f>'Site Codes'!G130+"r[&amp;!5s"</f>
        <v>#VALUE!</v>
      </c>
      <c r="BE6" t="e">
        <f>'Site Codes'!A131+"r[&amp;!5t"</f>
        <v>#VALUE!</v>
      </c>
      <c r="BF6" s="1" t="e">
        <f>'Site Codes'!B131+"r[&amp;!5u"</f>
        <v>#VALUE!</v>
      </c>
      <c r="BG6" t="e">
        <f>'Site Codes'!D131+"r[&amp;!5v"</f>
        <v>#VALUE!</v>
      </c>
      <c r="BH6" t="e">
        <f>'Site Codes'!E131+"r[&amp;!5w"</f>
        <v>#VALUE!</v>
      </c>
      <c r="BI6" t="e">
        <f>'Site Codes'!F131+"r[&amp;!5x"</f>
        <v>#VALUE!</v>
      </c>
      <c r="BJ6" t="e">
        <f>'Site Codes'!G131+"r[&amp;!5y"</f>
        <v>#VALUE!</v>
      </c>
      <c r="BK6" t="e">
        <f>'Site Codes'!A132+"r[&amp;!5z"</f>
        <v>#VALUE!</v>
      </c>
      <c r="BL6" s="1" t="e">
        <f>'Site Codes'!B132+"r[&amp;!5{"</f>
        <v>#VALUE!</v>
      </c>
      <c r="BM6" t="e">
        <f>'Site Codes'!D132+"r[&amp;!5|"</f>
        <v>#VALUE!</v>
      </c>
      <c r="BN6" t="e">
        <f>'Site Codes'!E132+"r[&amp;!5}"</f>
        <v>#VALUE!</v>
      </c>
      <c r="BO6" t="e">
        <f>'Site Codes'!F132+"r[&amp;!5~"</f>
        <v>#VALUE!</v>
      </c>
      <c r="BP6" t="e">
        <f>'Site Codes'!G132+"r[&amp;!6#"</f>
        <v>#VALUE!</v>
      </c>
      <c r="BQ6" t="e">
        <f>'Site Codes'!A133+"r[&amp;!6$"</f>
        <v>#VALUE!</v>
      </c>
      <c r="BR6" s="1" t="e">
        <f>'Site Codes'!B133+"r[&amp;!6%"</f>
        <v>#VALUE!</v>
      </c>
      <c r="BS6" t="e">
        <f>'Site Codes'!D133+"r[&amp;!6&amp;"</f>
        <v>#VALUE!</v>
      </c>
      <c r="BT6" t="e">
        <f>'Site Codes'!E133+"r[&amp;!6'"</f>
        <v>#VALUE!</v>
      </c>
      <c r="BU6" t="e">
        <f>'Site Codes'!F133+"r[&amp;!6("</f>
        <v>#VALUE!</v>
      </c>
      <c r="BV6" t="e">
        <f>'Site Codes'!G133+"r[&amp;!6)"</f>
        <v>#VALUE!</v>
      </c>
      <c r="BW6" t="e">
        <f>'Site Codes'!A134+"r[&amp;!6."</f>
        <v>#VALUE!</v>
      </c>
      <c r="BX6" s="1" t="e">
        <f>'Site Codes'!B134+"r[&amp;!6/"</f>
        <v>#VALUE!</v>
      </c>
      <c r="BY6" t="e">
        <f>'Site Codes'!D134+"r[&amp;!60"</f>
        <v>#VALUE!</v>
      </c>
      <c r="BZ6" t="e">
        <f>'Site Codes'!E134+"r[&amp;!61"</f>
        <v>#VALUE!</v>
      </c>
      <c r="CA6" t="e">
        <f>'Site Codes'!G134+"r[&amp;!62"</f>
        <v>#VALUE!</v>
      </c>
      <c r="CB6" t="e">
        <f>'Site Codes'!H134+"r[&amp;!63"</f>
        <v>#VALUE!</v>
      </c>
      <c r="CC6" t="e">
        <f>'Site Codes'!A135+"r[&amp;!64"</f>
        <v>#VALUE!</v>
      </c>
      <c r="CD6" s="1" t="e">
        <f>'Site Codes'!B135+"r[&amp;!65"</f>
        <v>#VALUE!</v>
      </c>
      <c r="CE6" t="e">
        <f>'Site Codes'!D135+"r[&amp;!66"</f>
        <v>#VALUE!</v>
      </c>
      <c r="CF6" t="e">
        <f>'Site Codes'!E135+"r[&amp;!67"</f>
        <v>#VALUE!</v>
      </c>
      <c r="CG6" t="e">
        <f>'Site Codes'!F135+"r[&amp;!68"</f>
        <v>#VALUE!</v>
      </c>
      <c r="CH6" t="e">
        <f>'Site Codes'!G135+"r[&amp;!69"</f>
        <v>#VALUE!</v>
      </c>
      <c r="CI6" t="e">
        <f>'Site Codes'!H135+"r[&amp;!6:"</f>
        <v>#VALUE!</v>
      </c>
      <c r="CJ6" t="e">
        <f>'Site Codes'!A136+"r[&amp;!6;"</f>
        <v>#VALUE!</v>
      </c>
      <c r="CK6" s="1" t="e">
        <f>'Site Codes'!B136+"r[&amp;!6&lt;"</f>
        <v>#VALUE!</v>
      </c>
      <c r="CL6" t="e">
        <f>'Site Codes'!D136+"r[&amp;!6="</f>
        <v>#VALUE!</v>
      </c>
      <c r="CM6" t="e">
        <f>'Site Codes'!E136+"r[&amp;!6&gt;"</f>
        <v>#VALUE!</v>
      </c>
      <c r="CN6" t="e">
        <f>'Site Codes'!F136+"r[&amp;!6?"</f>
        <v>#VALUE!</v>
      </c>
      <c r="CO6" t="e">
        <f>'Site Codes'!G136+"r[&amp;!6@"</f>
        <v>#VALUE!</v>
      </c>
      <c r="CP6" t="e">
        <f>'Site Codes'!A137+"r[&amp;!6A"</f>
        <v>#VALUE!</v>
      </c>
      <c r="CQ6" s="1" t="e">
        <f>'Site Codes'!B137+"r[&amp;!6B"</f>
        <v>#VALUE!</v>
      </c>
      <c r="CR6" t="e">
        <f>'Site Codes'!D137+"r[&amp;!6C"</f>
        <v>#VALUE!</v>
      </c>
      <c r="CS6" t="e">
        <f>'Site Codes'!E137+"r[&amp;!6D"</f>
        <v>#VALUE!</v>
      </c>
      <c r="CT6" t="e">
        <f>'Site Codes'!F137+"r[&amp;!6E"</f>
        <v>#VALUE!</v>
      </c>
      <c r="CU6" t="e">
        <f>'Site Codes'!G137+"r[&amp;!6F"</f>
        <v>#VALUE!</v>
      </c>
      <c r="CV6" t="e">
        <f>'Site Codes'!A138+"r[&amp;!6G"</f>
        <v>#VALUE!</v>
      </c>
      <c r="CW6" s="1" t="e">
        <f>'Site Codes'!B138+"r[&amp;!6H"</f>
        <v>#VALUE!</v>
      </c>
      <c r="CX6" t="e">
        <f>'Site Codes'!D138+"r[&amp;!6I"</f>
        <v>#VALUE!</v>
      </c>
      <c r="CY6" t="e">
        <f>'Site Codes'!E138+"r[&amp;!6J"</f>
        <v>#VALUE!</v>
      </c>
      <c r="CZ6" t="e">
        <f>'Site Codes'!F138+"r[&amp;!6K"</f>
        <v>#VALUE!</v>
      </c>
      <c r="DA6" t="e">
        <f>'Site Codes'!G138+"r[&amp;!6L"</f>
        <v>#VALUE!</v>
      </c>
      <c r="DB6" t="e">
        <f>'Site Codes'!A139+"r[&amp;!6M"</f>
        <v>#VALUE!</v>
      </c>
      <c r="DC6" s="1" t="e">
        <f>'Site Codes'!B139+"r[&amp;!6N"</f>
        <v>#VALUE!</v>
      </c>
      <c r="DD6" t="e">
        <f>'Site Codes'!D139+"r[&amp;!6O"</f>
        <v>#VALUE!</v>
      </c>
      <c r="DE6" t="e">
        <f>'Site Codes'!E139+"r[&amp;!6P"</f>
        <v>#VALUE!</v>
      </c>
      <c r="DF6" t="e">
        <f>'Site Codes'!F139+"r[&amp;!6Q"</f>
        <v>#VALUE!</v>
      </c>
      <c r="DG6" t="e">
        <f>'Site Codes'!G139+"r[&amp;!6R"</f>
        <v>#VALUE!</v>
      </c>
      <c r="DH6" t="e">
        <f>'Site Codes'!A140+"r[&amp;!6S"</f>
        <v>#VALUE!</v>
      </c>
      <c r="DI6" s="1" t="e">
        <f>'Site Codes'!B140+"r[&amp;!6T"</f>
        <v>#VALUE!</v>
      </c>
      <c r="DJ6" t="e">
        <f>'Site Codes'!D140+"r[&amp;!6U"</f>
        <v>#VALUE!</v>
      </c>
      <c r="DK6" t="e">
        <f>'Site Codes'!E140+"r[&amp;!6V"</f>
        <v>#VALUE!</v>
      </c>
      <c r="DL6" t="e">
        <f>'Site Codes'!F140+"r[&amp;!6W"</f>
        <v>#VALUE!</v>
      </c>
      <c r="DM6" t="e">
        <f>'Site Codes'!G140+"r[&amp;!6X"</f>
        <v>#VALUE!</v>
      </c>
      <c r="DN6" t="e">
        <f>'Site Codes'!A141+"r[&amp;!6Y"</f>
        <v>#VALUE!</v>
      </c>
      <c r="DO6" s="1" t="e">
        <f>'Site Codes'!B141+"r[&amp;!6Z"</f>
        <v>#VALUE!</v>
      </c>
      <c r="DP6" t="e">
        <f>'Site Codes'!D141+"r[&amp;!6["</f>
        <v>#VALUE!</v>
      </c>
      <c r="DQ6" t="e">
        <f>'Site Codes'!E141+"r[&amp;!6\"</f>
        <v>#VALUE!</v>
      </c>
      <c r="DR6" t="e">
        <f>'Site Codes'!F141+"r[&amp;!6]"</f>
        <v>#VALUE!</v>
      </c>
      <c r="DS6" t="e">
        <f>'Site Codes'!G141+"r[&amp;!6^"</f>
        <v>#VALUE!</v>
      </c>
      <c r="DT6" t="e">
        <f>'Site Codes'!A142+"r[&amp;!6_"</f>
        <v>#VALUE!</v>
      </c>
      <c r="DU6" s="1" t="e">
        <f>'Site Codes'!B142+"r[&amp;!6`"</f>
        <v>#VALUE!</v>
      </c>
      <c r="DV6" t="e">
        <f>'Site Codes'!D142+"r[&amp;!6a"</f>
        <v>#VALUE!</v>
      </c>
      <c r="DW6" t="e">
        <f>'Site Codes'!A143+"r[&amp;!6b"</f>
        <v>#VALUE!</v>
      </c>
      <c r="DX6" s="1" t="e">
        <f>'Site Codes'!B143+"r[&amp;!6c"</f>
        <v>#VALUE!</v>
      </c>
      <c r="DY6" t="e">
        <f>'Site Codes'!D143+"r[&amp;!6d"</f>
        <v>#VALUE!</v>
      </c>
      <c r="DZ6" t="e">
        <f>'Site Codes'!A144+"r[&amp;!6e"</f>
        <v>#VALUE!</v>
      </c>
      <c r="EA6" s="1" t="e">
        <f>'Site Codes'!B144+"r[&amp;!6f"</f>
        <v>#VALUE!</v>
      </c>
      <c r="EB6" t="e">
        <f>'Site Codes'!D144+"r[&amp;!6g"</f>
        <v>#VALUE!</v>
      </c>
      <c r="EC6" t="e">
        <f>'Site Codes'!A145+"r[&amp;!6h"</f>
        <v>#VALUE!</v>
      </c>
      <c r="ED6" s="1" t="e">
        <f>'Site Codes'!B145+"r[&amp;!6i"</f>
        <v>#VALUE!</v>
      </c>
      <c r="EE6" t="e">
        <f>'Site Codes'!D145+"r[&amp;!6j"</f>
        <v>#VALUE!</v>
      </c>
      <c r="EF6" t="e">
        <f>'Site Codes'!A146+"r[&amp;!6k"</f>
        <v>#VALUE!</v>
      </c>
      <c r="EG6" s="1" t="e">
        <f>'Site Codes'!B146+"r[&amp;!6l"</f>
        <v>#VALUE!</v>
      </c>
      <c r="EH6" t="e">
        <f>'Site Codes'!D146+"r[&amp;!6m"</f>
        <v>#VALUE!</v>
      </c>
      <c r="EI6" t="e">
        <f>'Site Codes'!A147+"r[&amp;!6n"</f>
        <v>#VALUE!</v>
      </c>
      <c r="EJ6" s="1" t="e">
        <f>'Site Codes'!B147+"r[&amp;!6o"</f>
        <v>#VALUE!</v>
      </c>
      <c r="EK6" t="e">
        <f>'Site Codes'!D147+"r[&amp;!6p"</f>
        <v>#VALUE!</v>
      </c>
      <c r="EL6" t="e">
        <f>'Site Codes'!A148+"r[&amp;!6q"</f>
        <v>#VALUE!</v>
      </c>
      <c r="EM6" s="1" t="e">
        <f>'Site Codes'!B148+"r[&amp;!6r"</f>
        <v>#VALUE!</v>
      </c>
      <c r="EN6" t="e">
        <f>'Site Codes'!D148+"r[&amp;!6s"</f>
        <v>#VALUE!</v>
      </c>
      <c r="EO6" t="e">
        <f>'Site Codes'!A149+"r[&amp;!6t"</f>
        <v>#VALUE!</v>
      </c>
      <c r="EP6" s="1" t="e">
        <f>'Site Codes'!B149+"r[&amp;!6u"</f>
        <v>#VALUE!</v>
      </c>
      <c r="EQ6" t="e">
        <f>'Site Codes'!D149+"r[&amp;!6v"</f>
        <v>#VALUE!</v>
      </c>
      <c r="ER6" t="e">
        <f>'Site Codes'!A150+"r[&amp;!6w"</f>
        <v>#VALUE!</v>
      </c>
      <c r="ES6" s="1" t="e">
        <f>'Site Codes'!B150+"r[&amp;!6x"</f>
        <v>#VALUE!</v>
      </c>
      <c r="ET6" t="e">
        <f>'Site Codes'!D150+"r[&amp;!6y"</f>
        <v>#VALUE!</v>
      </c>
      <c r="EU6" t="e">
        <f>'Site Codes'!A151+"r[&amp;!6z"</f>
        <v>#VALUE!</v>
      </c>
      <c r="EV6" s="1" t="e">
        <f>'Site Codes'!B151+"r[&amp;!6{"</f>
        <v>#VALUE!</v>
      </c>
      <c r="EW6" t="e">
        <f>'Site Codes'!D151+"r[&amp;!6|"</f>
        <v>#VALUE!</v>
      </c>
      <c r="EX6" t="e">
        <f>'Site Codes'!E151+"r[&amp;!6}"</f>
        <v>#VALUE!</v>
      </c>
      <c r="EY6" t="e">
        <f>'Site Codes'!G151+"r[&amp;!6~"</f>
        <v>#VALUE!</v>
      </c>
      <c r="EZ6" t="e">
        <f>'Site Codes'!H151+"r[&amp;!7#"</f>
        <v>#VALUE!</v>
      </c>
      <c r="FA6" t="e">
        <f>'Site Codes'!A152+"r[&amp;!7$"</f>
        <v>#VALUE!</v>
      </c>
      <c r="FB6" s="1" t="e">
        <f>'Site Codes'!B152+"r[&amp;!7%"</f>
        <v>#VALUE!</v>
      </c>
      <c r="FC6" t="e">
        <f>'Site Codes'!D152+"r[&amp;!7&amp;"</f>
        <v>#VALUE!</v>
      </c>
      <c r="FD6" t="e">
        <f>'Site Codes'!A153+"r[&amp;!7'"</f>
        <v>#VALUE!</v>
      </c>
      <c r="FE6" s="1" t="e">
        <f>'Site Codes'!B153+"r[&amp;!7("</f>
        <v>#VALUE!</v>
      </c>
      <c r="FF6" t="e">
        <f>'Site Codes'!D153+"r[&amp;!7)"</f>
        <v>#VALUE!</v>
      </c>
      <c r="FG6" t="e">
        <f>'Site Codes'!A154+"r[&amp;!7."</f>
        <v>#VALUE!</v>
      </c>
      <c r="FH6" s="1" t="e">
        <f>'Site Codes'!B154+"r[&amp;!7/"</f>
        <v>#VALUE!</v>
      </c>
      <c r="FI6" t="e">
        <f>'Site Codes'!D154+"r[&amp;!70"</f>
        <v>#VALUE!</v>
      </c>
      <c r="FJ6" t="e">
        <f>'Site Codes'!A155+"r[&amp;!71"</f>
        <v>#VALUE!</v>
      </c>
      <c r="FK6" s="1" t="e">
        <f>'Site Codes'!B155+"r[&amp;!72"</f>
        <v>#VALUE!</v>
      </c>
      <c r="FL6" t="e">
        <f>'Site Codes'!D155+"r[&amp;!73"</f>
        <v>#VALUE!</v>
      </c>
      <c r="FM6" t="e">
        <f>'Site Codes'!A156+"r[&amp;!74"</f>
        <v>#VALUE!</v>
      </c>
      <c r="FN6" s="1" t="e">
        <f>'Site Codes'!B156+"r[&amp;!75"</f>
        <v>#VALUE!</v>
      </c>
      <c r="FO6" t="e">
        <f>'Site Codes'!D156+"r[&amp;!76"</f>
        <v>#VALUE!</v>
      </c>
      <c r="FP6" t="e">
        <f>'Site Codes'!#REF!+"r[&amp;!77"</f>
        <v>#REF!</v>
      </c>
      <c r="FQ6" s="1" t="e">
        <f>'Site Codes'!#REF!+"r[&amp;!78"</f>
        <v>#REF!</v>
      </c>
      <c r="FR6" t="e">
        <f>'Site Codes'!#REF!+"r[&amp;!79"</f>
        <v>#REF!</v>
      </c>
      <c r="FS6" t="e">
        <f>'Site Codes'!A157+"r[&amp;!7:"</f>
        <v>#VALUE!</v>
      </c>
      <c r="FT6" s="1" t="e">
        <f>'Site Codes'!B157+"r[&amp;!7;"</f>
        <v>#VALUE!</v>
      </c>
      <c r="FU6" t="e">
        <f>'Site Codes'!D157+"r[&amp;!7&lt;"</f>
        <v>#VALUE!</v>
      </c>
      <c r="FV6" t="e">
        <f>'Site Codes'!A158+"r[&amp;!7="</f>
        <v>#VALUE!</v>
      </c>
      <c r="FW6" s="1" t="e">
        <f>'Site Codes'!B158+"r[&amp;!7&gt;"</f>
        <v>#VALUE!</v>
      </c>
      <c r="FX6" t="e">
        <f>'Site Codes'!D158+"r[&amp;!7?"</f>
        <v>#VALUE!</v>
      </c>
      <c r="FY6" t="e">
        <f>'Site Codes'!A159+"r[&amp;!7@"</f>
        <v>#VALUE!</v>
      </c>
      <c r="FZ6" s="1" t="e">
        <f>'Site Codes'!B159+"r[&amp;!7A"</f>
        <v>#VALUE!</v>
      </c>
      <c r="GA6" t="e">
        <f>'Site Codes'!D159+"r[&amp;!7B"</f>
        <v>#VALUE!</v>
      </c>
      <c r="GB6" t="e">
        <f>'Site Codes'!A160+"r[&amp;!7C"</f>
        <v>#VALUE!</v>
      </c>
      <c r="GC6" s="1" t="e">
        <f>'Site Codes'!B160+"r[&amp;!7D"</f>
        <v>#VALUE!</v>
      </c>
      <c r="GD6" t="e">
        <f>'Site Codes'!D160+"r[&amp;!7E"</f>
        <v>#VALUE!</v>
      </c>
      <c r="GE6" t="e">
        <f>'Site Codes'!A161+"r[&amp;!7F"</f>
        <v>#VALUE!</v>
      </c>
      <c r="GF6" s="1" t="e">
        <f>'Site Codes'!B161+"r[&amp;!7G"</f>
        <v>#VALUE!</v>
      </c>
      <c r="GG6" t="e">
        <f>'Site Codes'!D161+"r[&amp;!7H"</f>
        <v>#VALUE!</v>
      </c>
      <c r="GH6" t="e">
        <f>'Site Codes'!#REF!+"r[&amp;!7I"</f>
        <v>#REF!</v>
      </c>
      <c r="GI6" s="1" t="e">
        <f>'Site Codes'!#REF!+"r[&amp;!7J"</f>
        <v>#REF!</v>
      </c>
      <c r="GJ6" t="e">
        <f>'Site Codes'!#REF!+"r[&amp;!7K"</f>
        <v>#REF!</v>
      </c>
      <c r="GK6" t="e">
        <f>'Site Codes'!A162+"r[&amp;!7L"</f>
        <v>#VALUE!</v>
      </c>
      <c r="GL6" s="1" t="e">
        <f>'Site Codes'!B162+"r[&amp;!7M"</f>
        <v>#VALUE!</v>
      </c>
      <c r="GM6" t="e">
        <f>'Site Codes'!D162+"r[&amp;!7N"</f>
        <v>#VALUE!</v>
      </c>
      <c r="GN6" t="e">
        <f>'Site Codes'!A163+"r[&amp;!7O"</f>
        <v>#VALUE!</v>
      </c>
      <c r="GO6" s="1" t="e">
        <f>'Site Codes'!B163+"r[&amp;!7P"</f>
        <v>#VALUE!</v>
      </c>
      <c r="GP6" t="e">
        <f>'Site Codes'!D163+"r[&amp;!7Q"</f>
        <v>#VALUE!</v>
      </c>
      <c r="GQ6" t="e">
        <f>'Site Codes'!E163+"r[&amp;!7R"</f>
        <v>#VALUE!</v>
      </c>
      <c r="GR6" t="e">
        <f>'Site Codes'!F163+"r[&amp;!7S"</f>
        <v>#VALUE!</v>
      </c>
      <c r="GS6" t="e">
        <f>'Site Codes'!A164+"r[&amp;!7T"</f>
        <v>#VALUE!</v>
      </c>
      <c r="GT6" s="1" t="e">
        <f>'Site Codes'!B164+"r[&amp;!7U"</f>
        <v>#VALUE!</v>
      </c>
      <c r="GU6" t="e">
        <f>'Site Codes'!D164+"r[&amp;!7V"</f>
        <v>#VALUE!</v>
      </c>
      <c r="GV6" t="e">
        <f>'Site Codes'!E164+"r[&amp;!7W"</f>
        <v>#VALUE!</v>
      </c>
      <c r="GW6" t="e">
        <f>'Site Codes'!A165+"r[&amp;!7X"</f>
        <v>#VALUE!</v>
      </c>
      <c r="GX6" s="1" t="e">
        <f>'Site Codes'!B165+"r[&amp;!7Y"</f>
        <v>#VALUE!</v>
      </c>
      <c r="GY6" t="e">
        <f>'Site Codes'!D165+"r[&amp;!7Z"</f>
        <v>#VALUE!</v>
      </c>
      <c r="GZ6" t="e">
        <f>'Site Codes'!A166+"r[&amp;!7["</f>
        <v>#VALUE!</v>
      </c>
      <c r="HA6" s="1" t="e">
        <f>'Site Codes'!B166+"r[&amp;!7\"</f>
        <v>#VALUE!</v>
      </c>
      <c r="HB6" t="e">
        <f>'Site Codes'!D166+"r[&amp;!7]"</f>
        <v>#VALUE!</v>
      </c>
      <c r="HC6" t="e">
        <f>'Site Codes'!A167+"r[&amp;!7^"</f>
        <v>#VALUE!</v>
      </c>
      <c r="HD6" s="1" t="e">
        <f>'Site Codes'!B167+"r[&amp;!7_"</f>
        <v>#VALUE!</v>
      </c>
      <c r="HE6" t="e">
        <f>'Site Codes'!D167+"r[&amp;!7`"</f>
        <v>#VALUE!</v>
      </c>
      <c r="HF6" t="e">
        <f>'Site Codes'!E167+"r[&amp;!7a"</f>
        <v>#VALUE!</v>
      </c>
      <c r="HG6" t="e">
        <f>'Site Codes'!F167+"r[&amp;!7b"</f>
        <v>#VALUE!</v>
      </c>
      <c r="HH6" t="e">
        <f>'Site Codes'!G167+"r[&amp;!7c"</f>
        <v>#VALUE!</v>
      </c>
      <c r="HI6" t="e">
        <f>'Site Codes'!H167+"r[&amp;!7d"</f>
        <v>#VALUE!</v>
      </c>
      <c r="HJ6" t="e">
        <f>'Site Codes'!A168+"r[&amp;!7e"</f>
        <v>#VALUE!</v>
      </c>
      <c r="HK6" s="1" t="e">
        <f>'Site Codes'!B168+"r[&amp;!7f"</f>
        <v>#VALUE!</v>
      </c>
      <c r="HL6" t="e">
        <f>'Site Codes'!D168+"r[&amp;!7g"</f>
        <v>#VALUE!</v>
      </c>
      <c r="HM6" t="e">
        <f>'Site Codes'!A169+"r[&amp;!7h"</f>
        <v>#VALUE!</v>
      </c>
      <c r="HN6" s="1" t="e">
        <f>'Site Codes'!B169+"r[&amp;!7i"</f>
        <v>#VALUE!</v>
      </c>
      <c r="HO6" t="e">
        <f>'Site Codes'!D169+"r[&amp;!7j"</f>
        <v>#VALUE!</v>
      </c>
      <c r="HP6" t="e">
        <f>'Site Codes'!A170+"r[&amp;!7k"</f>
        <v>#VALUE!</v>
      </c>
      <c r="HQ6" s="1" t="e">
        <f>'Site Codes'!B170+"r[&amp;!7l"</f>
        <v>#VALUE!</v>
      </c>
      <c r="HR6" t="e">
        <f>'Site Codes'!D170+"r[&amp;!7m"</f>
        <v>#VALUE!</v>
      </c>
      <c r="HS6" t="e">
        <f>'Site Codes'!A171+"r[&amp;!7n"</f>
        <v>#VALUE!</v>
      </c>
      <c r="HT6" s="1" t="e">
        <f>'Site Codes'!B171+"r[&amp;!7o"</f>
        <v>#VALUE!</v>
      </c>
      <c r="HU6" t="e">
        <f>'Site Codes'!D171+"r[&amp;!7p"</f>
        <v>#VALUE!</v>
      </c>
      <c r="HV6" t="e">
        <f>'Site Codes'!A172+"r[&amp;!7q"</f>
        <v>#VALUE!</v>
      </c>
      <c r="HW6" s="1" t="e">
        <f>'Site Codes'!B172+"r[&amp;!7r"</f>
        <v>#VALUE!</v>
      </c>
      <c r="HX6" t="e">
        <f>'Site Codes'!D172+"r[&amp;!7s"</f>
        <v>#VALUE!</v>
      </c>
      <c r="HY6" t="e">
        <f>'Site Codes'!F172+"r[&amp;!7t"</f>
        <v>#VALUE!</v>
      </c>
      <c r="HZ6" t="e">
        <f>'Site Codes'!G172+"r[&amp;!7u"</f>
        <v>#VALUE!</v>
      </c>
      <c r="IA6" t="e">
        <f>'Site Codes'!D173+"r[&amp;!7v"</f>
        <v>#VALUE!</v>
      </c>
      <c r="IB6" t="e">
        <f>'Site Codes'!F173+"r[&amp;!7w"</f>
        <v>#VALUE!</v>
      </c>
      <c r="IC6" t="e">
        <f>'Site Codes'!D174+"r[&amp;!7x"</f>
        <v>#VALUE!</v>
      </c>
      <c r="ID6" t="e">
        <f>'Site Codes'!E174+"r[&amp;!7y"</f>
        <v>#VALUE!</v>
      </c>
      <c r="IE6" t="e">
        <f>'Site Codes'!F174+"r[&amp;!7z"</f>
        <v>#VALUE!</v>
      </c>
      <c r="IF6" t="e">
        <f>'Site Codes'!H174+"r[&amp;!7{"</f>
        <v>#VALUE!</v>
      </c>
      <c r="IG6" t="e">
        <f>'Site Codes'!D175+"r[&amp;!7|"</f>
        <v>#VALUE!</v>
      </c>
      <c r="IH6" t="e">
        <f>'Site Codes'!F175+"r[&amp;!7}"</f>
        <v>#VALUE!</v>
      </c>
      <c r="II6" t="e">
        <f>'Site Codes'!D176+"r[&amp;!7~"</f>
        <v>#VALUE!</v>
      </c>
      <c r="IJ6" t="e">
        <f>'Site Codes'!D177+"r[&amp;!8#"</f>
        <v>#VALUE!</v>
      </c>
      <c r="IK6" t="e">
        <f>'Site Codes'!D178+"r[&amp;!8$"</f>
        <v>#VALUE!</v>
      </c>
      <c r="IL6" t="e">
        <f>'Site Codes'!J178+"r[&amp;!8%"</f>
        <v>#VALUE!</v>
      </c>
      <c r="IM6" t="e">
        <f>'Site Codes'!D179+"r[&amp;!8&amp;"</f>
        <v>#VALUE!</v>
      </c>
      <c r="IN6" t="e">
        <f>'Site Codes'!E179+"r[&amp;!8'"</f>
        <v>#VALUE!</v>
      </c>
      <c r="IO6" t="e">
        <f>'Site Codes'!F179+"r[&amp;!8("</f>
        <v>#VALUE!</v>
      </c>
      <c r="IP6" t="e">
        <f>'Site Codes'!H179+"r[&amp;!8)"</f>
        <v>#VALUE!</v>
      </c>
      <c r="IQ6" t="e">
        <f>'Site Codes'!I179+"r[&amp;!8."</f>
        <v>#VALUE!</v>
      </c>
      <c r="IR6" t="e">
        <f>'Site Codes'!J179+"r[&amp;!8/"</f>
        <v>#VALUE!</v>
      </c>
      <c r="IS6" t="e">
        <f>'Site Codes'!D180+"r[&amp;!80"</f>
        <v>#VALUE!</v>
      </c>
      <c r="IT6" t="e">
        <f>'Site Codes'!E180+"r[&amp;!81"</f>
        <v>#VALUE!</v>
      </c>
      <c r="IU6" t="e">
        <f>'Site Codes'!F180+"r[&amp;!82"</f>
        <v>#VALUE!</v>
      </c>
      <c r="IV6" t="e">
        <f>'Site Codes'!G180+"r[&amp;!83"</f>
        <v>#VALUE!</v>
      </c>
    </row>
    <row r="7" spans="1:256">
      <c r="A7" t="s">
        <v>1404</v>
      </c>
      <c r="F7" t="e">
        <f>'Site Codes'!J180+"r[&amp;!84"</f>
        <v>#VALUE!</v>
      </c>
      <c r="G7" t="e">
        <f>'Site Codes'!D181+"r[&amp;!85"</f>
        <v>#VALUE!</v>
      </c>
      <c r="H7" t="e">
        <f>'Site Codes'!D182+"r[&amp;!86"</f>
        <v>#VALUE!</v>
      </c>
      <c r="I7" t="e">
        <f>'Site Codes'!E182+"r[&amp;!87"</f>
        <v>#VALUE!</v>
      </c>
      <c r="J7" t="e">
        <f>'Site Codes'!F182+"r[&amp;!88"</f>
        <v>#VALUE!</v>
      </c>
      <c r="K7" t="e">
        <f>'Site Codes'!G182+"r[&amp;!89"</f>
        <v>#VALUE!</v>
      </c>
      <c r="L7" t="e">
        <f>'Site Codes'!H182+"r[&amp;!8:"</f>
        <v>#VALUE!</v>
      </c>
      <c r="M7" t="e">
        <f>'Site Codes'!D183+"r[&amp;!8;"</f>
        <v>#VALUE!</v>
      </c>
      <c r="N7" t="e">
        <f>'Site Codes'!E183+"r[&amp;!8&lt;"</f>
        <v>#VALUE!</v>
      </c>
      <c r="O7" t="e">
        <f>'Site Codes'!F183+"r[&amp;!8="</f>
        <v>#VALUE!</v>
      </c>
      <c r="P7" t="e">
        <f>'Site Codes'!G183+"r[&amp;!8&gt;"</f>
        <v>#VALUE!</v>
      </c>
      <c r="Q7" t="e">
        <f>'Site Codes'!H183+"r[&amp;!8?"</f>
        <v>#VALUE!</v>
      </c>
      <c r="R7" t="e">
        <f>'Site Codes'!D184+"r[&amp;!8@"</f>
        <v>#VALUE!</v>
      </c>
      <c r="S7" t="e">
        <f>'Site Codes'!E184+"r[&amp;!8A"</f>
        <v>#VALUE!</v>
      </c>
      <c r="T7" t="e">
        <f>'Site Codes'!F184+"r[&amp;!8B"</f>
        <v>#VALUE!</v>
      </c>
      <c r="U7" t="e">
        <f>'Site Codes'!G184+"r[&amp;!8C"</f>
        <v>#VALUE!</v>
      </c>
      <c r="V7" t="e">
        <f>'Site Codes'!H184+"r[&amp;!8D"</f>
        <v>#VALUE!</v>
      </c>
      <c r="W7" t="e">
        <f>'Site Codes'!D185+"r[&amp;!8E"</f>
        <v>#VALUE!</v>
      </c>
      <c r="X7" t="e">
        <f>'Site Codes'!E185+"r[&amp;!8F"</f>
        <v>#VALUE!</v>
      </c>
      <c r="Y7" t="e">
        <f>'Site Codes'!F185+"r[&amp;!8G"</f>
        <v>#VALUE!</v>
      </c>
      <c r="Z7" t="e">
        <f>'Site Codes'!G185+"r[&amp;!8H"</f>
        <v>#VALUE!</v>
      </c>
      <c r="AA7" t="e">
        <f>'Site Codes'!H185+"r[&amp;!8I"</f>
        <v>#VALUE!</v>
      </c>
      <c r="AB7" t="e">
        <f>'Site Codes'!D186+"r[&amp;!8J"</f>
        <v>#VALUE!</v>
      </c>
      <c r="AC7" t="e">
        <f>'Site Codes'!E186+"r[&amp;!8K"</f>
        <v>#VALUE!</v>
      </c>
      <c r="AD7" t="e">
        <f>'Site Codes'!F186+"r[&amp;!8L"</f>
        <v>#VALUE!</v>
      </c>
      <c r="AE7" t="e">
        <f>'Site Codes'!D187+"r[&amp;!8M"</f>
        <v>#VALUE!</v>
      </c>
      <c r="AF7" t="e">
        <f>'Site Codes'!D188+"r[&amp;!8N"</f>
        <v>#VALUE!</v>
      </c>
      <c r="AG7" t="e">
        <f>'Site Codes'!D189+"r[&amp;!8O"</f>
        <v>#VALUE!</v>
      </c>
      <c r="AH7" t="e">
        <f>'Site Codes'!D190+"r[&amp;!8P"</f>
        <v>#VALUE!</v>
      </c>
      <c r="AI7" t="e">
        <f>'Site Codes'!E190+"r[&amp;!8Q"</f>
        <v>#VALUE!</v>
      </c>
      <c r="AJ7" t="e">
        <f>'Site Codes'!F190+"r[&amp;!8R"</f>
        <v>#VALUE!</v>
      </c>
      <c r="AK7" t="e">
        <f>'Site Codes'!G190+"r[&amp;!8S"</f>
        <v>#VALUE!</v>
      </c>
      <c r="AL7" t="e">
        <f>'Site Codes'!H190+"r[&amp;!8T"</f>
        <v>#VALUE!</v>
      </c>
      <c r="AM7" t="e">
        <f>'Site Codes'!#REF!+"r[&amp;!8U"</f>
        <v>#REF!</v>
      </c>
      <c r="AN7" t="e">
        <f>'Site Codes'!#REF!+"r[&amp;!8V"</f>
        <v>#REF!</v>
      </c>
      <c r="AO7" t="e">
        <f>'Site Codes'!D191+"r[&amp;!8W"</f>
        <v>#VALUE!</v>
      </c>
      <c r="AP7" t="e">
        <f>'Site Codes'!D192+"r[&amp;!8X"</f>
        <v>#VALUE!</v>
      </c>
      <c r="AQ7" t="e">
        <f>'Site Codes'!D193+"r[&amp;!8Y"</f>
        <v>#VALUE!</v>
      </c>
      <c r="AR7" t="e">
        <f>'Site Codes'!D194+"r[&amp;!8Z"</f>
        <v>#VALUE!</v>
      </c>
      <c r="AS7" t="e">
        <f>'Site Codes'!E194+"r[&amp;!8["</f>
        <v>#VALUE!</v>
      </c>
      <c r="AT7" t="e">
        <f>'Site Codes'!F194+"r[&amp;!8\"</f>
        <v>#VALUE!</v>
      </c>
      <c r="AU7" t="e">
        <f>'Site Codes'!G194+"r[&amp;!8]"</f>
        <v>#VALUE!</v>
      </c>
      <c r="AV7" t="e">
        <f>'Site Codes'!H194+"r[&amp;!8^"</f>
        <v>#VALUE!</v>
      </c>
      <c r="AW7" t="e">
        <f>'Site Codes'!D195+"r[&amp;!8_"</f>
        <v>#VALUE!</v>
      </c>
      <c r="AX7" t="e">
        <f>'Site Codes'!#REF!+"r[&amp;!8`"</f>
        <v>#REF!</v>
      </c>
      <c r="AY7" t="e">
        <f>'Site Codes'!D196+"r[&amp;!8a"</f>
        <v>#VALUE!</v>
      </c>
      <c r="AZ7" t="e">
        <f>'Site Codes'!D197+"r[&amp;!8b"</f>
        <v>#VALUE!</v>
      </c>
      <c r="BA7" t="e">
        <f>'Site Codes'!D198+"r[&amp;!8c"</f>
        <v>#VALUE!</v>
      </c>
      <c r="BB7" t="e">
        <f>'Site Codes'!E198+"r[&amp;!8d"</f>
        <v>#VALUE!</v>
      </c>
      <c r="BC7" t="e">
        <f>'Site Codes'!F198+"r[&amp;!8e"</f>
        <v>#VALUE!</v>
      </c>
      <c r="BD7" t="e">
        <f>'Site Codes'!G198+"r[&amp;!8f"</f>
        <v>#VALUE!</v>
      </c>
      <c r="BE7" t="e">
        <f>'Site Codes'!H198+"r[&amp;!8g"</f>
        <v>#VALUE!</v>
      </c>
      <c r="BF7" t="e">
        <f>'Site Codes'!I198+"r[&amp;!8h"</f>
        <v>#VALUE!</v>
      </c>
      <c r="BG7" s="1" t="e">
        <f>'Site Codes'!C199+"r[&amp;!8i"</f>
        <v>#VALUE!</v>
      </c>
      <c r="BH7" t="e">
        <f>'Site Codes'!D199+"r[&amp;!8j"</f>
        <v>#VALUE!</v>
      </c>
      <c r="BI7" t="e">
        <f>'Site Codes'!E199+"r[&amp;!8k"</f>
        <v>#VALUE!</v>
      </c>
      <c r="BJ7" t="e">
        <f>'Site Codes'!F199+"r[&amp;!8l"</f>
        <v>#VALUE!</v>
      </c>
      <c r="BK7" t="e">
        <f>'Site Codes'!G199+"r[&amp;!8m"</f>
        <v>#VALUE!</v>
      </c>
      <c r="BL7" s="1" t="e">
        <f>'Site Codes'!C200+"r[&amp;!8n"</f>
        <v>#VALUE!</v>
      </c>
      <c r="BM7" t="e">
        <f>'Site Codes'!D200+"r[&amp;!8o"</f>
        <v>#VALUE!</v>
      </c>
      <c r="BN7" t="e">
        <f>'Site Codes'!E200+"r[&amp;!8p"</f>
        <v>#VALUE!</v>
      </c>
      <c r="BO7" t="e">
        <f>'Site Codes'!F200+"r[&amp;!8q"</f>
        <v>#VALUE!</v>
      </c>
      <c r="BP7" t="e">
        <f>'Site Codes'!G200+"r[&amp;!8r"</f>
        <v>#VALUE!</v>
      </c>
      <c r="BQ7" t="e">
        <f>'Site Codes'!H200+"r[&amp;!8s"</f>
        <v>#VALUE!</v>
      </c>
      <c r="BR7" t="e">
        <f>'Site Codes'!D201+"r[&amp;!8t"</f>
        <v>#VALUE!</v>
      </c>
      <c r="BS7" t="e">
        <f>'Site Codes'!D202+"r[&amp;!8u"</f>
        <v>#VALUE!</v>
      </c>
      <c r="BT7" t="e">
        <f>'Site Codes'!E202+"r[&amp;!8v"</f>
        <v>#VALUE!</v>
      </c>
      <c r="BU7" t="e">
        <f>'Site Codes'!F202+"r[&amp;!8w"</f>
        <v>#VALUE!</v>
      </c>
      <c r="BV7" t="e">
        <f>'Site Codes'!G202+"r[&amp;!8x"</f>
        <v>#VALUE!</v>
      </c>
      <c r="BW7" t="e">
        <f>'Site Codes'!H202+"r[&amp;!8y"</f>
        <v>#VALUE!</v>
      </c>
      <c r="BX7" t="e">
        <f>'Site Codes'!D203+"r[&amp;!8z"</f>
        <v>#VALUE!</v>
      </c>
      <c r="BY7" t="e">
        <f>'Site Codes'!E203+"r[&amp;!8{"</f>
        <v>#VALUE!</v>
      </c>
      <c r="BZ7" t="e">
        <f>'Site Codes'!F203+"r[&amp;!8|"</f>
        <v>#VALUE!</v>
      </c>
      <c r="CA7" t="e">
        <f>'Site Codes'!G203+"r[&amp;!8}"</f>
        <v>#VALUE!</v>
      </c>
      <c r="CB7" t="e">
        <f>'Site Codes'!H203+"r[&amp;!8~"</f>
        <v>#VALUE!</v>
      </c>
      <c r="CC7" t="e">
        <f>'Site Codes'!D204+"r[&amp;!9#"</f>
        <v>#VALUE!</v>
      </c>
      <c r="CD7" t="e">
        <f>'Site Codes'!D205+"r[&amp;!9$"</f>
        <v>#VALUE!</v>
      </c>
      <c r="CE7" t="e">
        <f>'Site Codes'!D206+"r[&amp;!9%"</f>
        <v>#VALUE!</v>
      </c>
      <c r="CF7" t="e">
        <f>'Site Codes'!E206+"r[&amp;!9&amp;"</f>
        <v>#VALUE!</v>
      </c>
      <c r="CG7" t="e">
        <f>'Site Codes'!F206+"r[&amp;!9'"</f>
        <v>#VALUE!</v>
      </c>
      <c r="CH7" t="e">
        <f>'Site Codes'!G206+"r[&amp;!9("</f>
        <v>#VALUE!</v>
      </c>
      <c r="CI7" t="e">
        <f>'Site Codes'!H206+"r[&amp;!9)"</f>
        <v>#VALUE!</v>
      </c>
      <c r="CJ7" t="e">
        <f>'Site Codes'!D207+"r[&amp;!9."</f>
        <v>#VALUE!</v>
      </c>
      <c r="CK7" t="e">
        <f>'Site Codes'!D208+"r[&amp;!9/"</f>
        <v>#VALUE!</v>
      </c>
      <c r="CL7" t="e">
        <f>'Site Codes'!D209+"r[&amp;!90"</f>
        <v>#VALUE!</v>
      </c>
      <c r="CM7" t="e">
        <f>'Site Codes'!E209+"r[&amp;!91"</f>
        <v>#VALUE!</v>
      </c>
      <c r="CN7" t="e">
        <f>'Site Codes'!F209+"r[&amp;!92"</f>
        <v>#VALUE!</v>
      </c>
      <c r="CO7" t="e">
        <f>'Site Codes'!G209+"r[&amp;!93"</f>
        <v>#VALUE!</v>
      </c>
      <c r="CP7" t="e">
        <f>'Site Codes'!H209+"r[&amp;!94"</f>
        <v>#VALUE!</v>
      </c>
      <c r="CQ7" t="e">
        <f>'Site Codes'!I209+"r[&amp;!95"</f>
        <v>#VALUE!</v>
      </c>
      <c r="CR7" t="e">
        <f>'Site Codes'!J209+"r[&amp;!96"</f>
        <v>#VALUE!</v>
      </c>
      <c r="CS7" t="e">
        <f>'Site Codes'!D210+"r[&amp;!97"</f>
        <v>#VALUE!</v>
      </c>
      <c r="CT7" t="e">
        <f>'Site Codes'!E210+"r[&amp;!98"</f>
        <v>#VALUE!</v>
      </c>
      <c r="CU7" t="e">
        <f>'Site Codes'!F210+"r[&amp;!99"</f>
        <v>#VALUE!</v>
      </c>
      <c r="CV7" t="e">
        <f>'Site Codes'!G210+"r[&amp;!9:"</f>
        <v>#VALUE!</v>
      </c>
      <c r="CW7" t="e">
        <f>'Site Codes'!H210+"r[&amp;!9;"</f>
        <v>#VALUE!</v>
      </c>
      <c r="CX7" t="e">
        <f>'Site Codes'!J210+"r[&amp;!9&lt;"</f>
        <v>#VALUE!</v>
      </c>
      <c r="CY7" t="e">
        <f>'Site Codes'!D211+"r[&amp;!9="</f>
        <v>#VALUE!</v>
      </c>
      <c r="CZ7" t="e">
        <f>'Site Codes'!E211+"r[&amp;!9&gt;"</f>
        <v>#VALUE!</v>
      </c>
      <c r="DA7" t="e">
        <f>'Site Codes'!F211+"r[&amp;!9?"</f>
        <v>#VALUE!</v>
      </c>
      <c r="DB7" t="e">
        <f>'Site Codes'!G211+"r[&amp;!9@"</f>
        <v>#VALUE!</v>
      </c>
      <c r="DC7" t="e">
        <f>'Site Codes'!H211+"r[&amp;!9A"</f>
        <v>#VALUE!</v>
      </c>
      <c r="DD7" t="e">
        <f>'Site Codes'!J211+"r[&amp;!9B"</f>
        <v>#VALUE!</v>
      </c>
      <c r="DE7" t="e">
        <f>'Site Codes'!D212+"r[&amp;!9C"</f>
        <v>#VALUE!</v>
      </c>
      <c r="DF7" t="e">
        <f>'Site Codes'!E212+"r[&amp;!9D"</f>
        <v>#VALUE!</v>
      </c>
      <c r="DG7" t="e">
        <f>'Site Codes'!F212+"r[&amp;!9E"</f>
        <v>#VALUE!</v>
      </c>
      <c r="DH7" t="e">
        <f>'Site Codes'!G212+"r[&amp;!9F"</f>
        <v>#VALUE!</v>
      </c>
      <c r="DI7" t="e">
        <f>'Site Codes'!H212+"r[&amp;!9G"</f>
        <v>#VALUE!</v>
      </c>
      <c r="DJ7" t="e">
        <f>'Site Codes'!D213+"r[&amp;!9H"</f>
        <v>#VALUE!</v>
      </c>
      <c r="DK7" t="e">
        <f>'Site Codes'!E213+"r[&amp;!9I"</f>
        <v>#VALUE!</v>
      </c>
      <c r="DL7" t="e">
        <f>'Site Codes'!F213+"r[&amp;!9J"</f>
        <v>#VALUE!</v>
      </c>
      <c r="DM7" t="e">
        <f>'Site Codes'!H213+"r[&amp;!9K"</f>
        <v>#VALUE!</v>
      </c>
      <c r="DN7" t="e">
        <f>'Site Codes'!D214+"r[&amp;!9L"</f>
        <v>#VALUE!</v>
      </c>
      <c r="DO7" t="e">
        <f>'Site Codes'!E214+"r[&amp;!9M"</f>
        <v>#VALUE!</v>
      </c>
      <c r="DP7" t="e">
        <f>'Site Codes'!F214+"r[&amp;!9N"</f>
        <v>#VALUE!</v>
      </c>
      <c r="DQ7" t="e">
        <f>'Site Codes'!G214+"r[&amp;!9O"</f>
        <v>#VALUE!</v>
      </c>
      <c r="DR7" t="e">
        <f>'Site Codes'!D215+"r[&amp;!9P"</f>
        <v>#VALUE!</v>
      </c>
      <c r="DS7" t="e">
        <f>'Site Codes'!E215+"r[&amp;!9Q"</f>
        <v>#VALUE!</v>
      </c>
      <c r="DT7" t="e">
        <f>'Site Codes'!F215+"r[&amp;!9R"</f>
        <v>#VALUE!</v>
      </c>
      <c r="DU7" t="e">
        <f>'Site Codes'!G215+"r[&amp;!9S"</f>
        <v>#VALUE!</v>
      </c>
      <c r="DV7" t="e">
        <f>'Site Codes'!D216+"r[&amp;!9T"</f>
        <v>#VALUE!</v>
      </c>
      <c r="DW7" t="e">
        <f>'Site Codes'!E216+"r[&amp;!9U"</f>
        <v>#VALUE!</v>
      </c>
      <c r="DX7" t="e">
        <f>'Site Codes'!F216+"r[&amp;!9V"</f>
        <v>#VALUE!</v>
      </c>
      <c r="DY7" t="e">
        <f>'Site Codes'!G216+"r[&amp;!9W"</f>
        <v>#VALUE!</v>
      </c>
      <c r="DZ7" t="e">
        <f>'Site Codes'!D217+"r[&amp;!9X"</f>
        <v>#VALUE!</v>
      </c>
      <c r="EA7" t="e">
        <f>'Site Codes'!E217+"r[&amp;!9Y"</f>
        <v>#VALUE!</v>
      </c>
      <c r="EB7" t="e">
        <f>'Site Codes'!G217+"r[&amp;!9Z"</f>
        <v>#VALUE!</v>
      </c>
      <c r="EC7" t="e">
        <f>'Site Codes'!D218+"r[&amp;!9["</f>
        <v>#VALUE!</v>
      </c>
      <c r="ED7" t="e">
        <f>'Site Codes'!E218+"r[&amp;!9\"</f>
        <v>#VALUE!</v>
      </c>
      <c r="EE7" t="e">
        <f>'Site Codes'!F218+"r[&amp;!9]"</f>
        <v>#VALUE!</v>
      </c>
      <c r="EF7" t="e">
        <f>'Site Codes'!D219+"r[&amp;!9^"</f>
        <v>#VALUE!</v>
      </c>
      <c r="EG7" t="e">
        <f>'Site Codes'!E219+"r[&amp;!9_"</f>
        <v>#VALUE!</v>
      </c>
      <c r="EH7" t="e">
        <f>'Site Codes'!F219+"r[&amp;!9`"</f>
        <v>#VALUE!</v>
      </c>
      <c r="EI7" t="e">
        <f>'Site Codes'!D220+"r[&amp;!9a"</f>
        <v>#VALUE!</v>
      </c>
      <c r="EJ7" t="e">
        <f>'Site Codes'!E220+"r[&amp;!9b"</f>
        <v>#VALUE!</v>
      </c>
      <c r="EK7" t="e">
        <f>'Site Codes'!F220+"r[&amp;!9c"</f>
        <v>#VALUE!</v>
      </c>
      <c r="EL7" t="e">
        <f>'Site Codes'!D221+"r[&amp;!9d"</f>
        <v>#VALUE!</v>
      </c>
      <c r="EM7" t="e">
        <f>'Site Codes'!E221+"r[&amp;!9e"</f>
        <v>#VALUE!</v>
      </c>
      <c r="EN7" t="e">
        <f>'Site Codes'!F221+"r[&amp;!9f"</f>
        <v>#VALUE!</v>
      </c>
      <c r="EO7" t="e">
        <f>'Site Codes'!G221+"r[&amp;!9g"</f>
        <v>#VALUE!</v>
      </c>
      <c r="EP7" t="e">
        <f>'Site Codes'!H221+"r[&amp;!9h"</f>
        <v>#VALUE!</v>
      </c>
      <c r="EQ7" t="e">
        <f>'Site Codes'!D222+"r[&amp;!9i"</f>
        <v>#VALUE!</v>
      </c>
      <c r="ER7" t="e">
        <f>'Site Codes'!E222+"r[&amp;!9j"</f>
        <v>#VALUE!</v>
      </c>
      <c r="ES7" t="e">
        <f>'Site Codes'!F222+"r[&amp;!9k"</f>
        <v>#VALUE!</v>
      </c>
      <c r="ET7" t="e">
        <f>'Site Codes'!D223+"r[&amp;!9l"</f>
        <v>#VALUE!</v>
      </c>
      <c r="EU7" t="e">
        <f>'Site Codes'!E223+"r[&amp;!9m"</f>
        <v>#VALUE!</v>
      </c>
      <c r="EV7" t="e">
        <f>'Site Codes'!F223+"r[&amp;!9n"</f>
        <v>#VALUE!</v>
      </c>
      <c r="EW7" t="e">
        <f>'Site Codes'!D224+"r[&amp;!9o"</f>
        <v>#VALUE!</v>
      </c>
      <c r="EX7" t="e">
        <f>'Site Codes'!E224+"r[&amp;!9p"</f>
        <v>#VALUE!</v>
      </c>
      <c r="EY7" t="e">
        <f>'Site Codes'!F224+"r[&amp;!9q"</f>
        <v>#VALUE!</v>
      </c>
      <c r="EZ7" t="e">
        <f>'Site Codes'!#REF!+"r[&amp;!9r"</f>
        <v>#REF!</v>
      </c>
      <c r="FA7" t="e">
        <f>'Site Codes'!#REF!+"r[&amp;!9s"</f>
        <v>#REF!</v>
      </c>
      <c r="FB7" t="e">
        <f>'Site Codes'!#REF!+"r[&amp;!9t"</f>
        <v>#REF!</v>
      </c>
      <c r="FC7" t="e">
        <f>'Site Codes'!#REF!+"r[&amp;!9u"</f>
        <v>#REF!</v>
      </c>
      <c r="FD7" t="e">
        <f>'Site Codes'!#REF!+"r[&amp;!9v"</f>
        <v>#REF!</v>
      </c>
      <c r="FE7" t="e">
        <f>'Site Codes'!D225+"r[&amp;!9w"</f>
        <v>#VALUE!</v>
      </c>
      <c r="FF7" t="e">
        <f>'Site Codes'!E225+"r[&amp;!9x"</f>
        <v>#VALUE!</v>
      </c>
      <c r="FG7" t="e">
        <f>'Site Codes'!F225+"r[&amp;!9y"</f>
        <v>#VALUE!</v>
      </c>
      <c r="FH7" s="1" t="e">
        <f>'Site Codes'!D226+"r[&amp;!9z"</f>
        <v>#VALUE!</v>
      </c>
      <c r="FI7" t="e">
        <f>'Site Codes'!E226+"r[&amp;!9{"</f>
        <v>#VALUE!</v>
      </c>
      <c r="FJ7" t="e">
        <f>'Site Codes'!F226+"r[&amp;!9|"</f>
        <v>#VALUE!</v>
      </c>
      <c r="FK7" t="e">
        <f>'Site Codes'!G226+"r[&amp;!9}"</f>
        <v>#VALUE!</v>
      </c>
      <c r="FL7" t="e">
        <f>'Site Codes'!H226+"r[&amp;!9~"</f>
        <v>#VALUE!</v>
      </c>
      <c r="FM7" s="1" t="e">
        <f>'Site Codes'!D227+"r[&amp;!:#"</f>
        <v>#VALUE!</v>
      </c>
      <c r="FN7" t="e">
        <f>'Site Codes'!E227+"r[&amp;!:$"</f>
        <v>#VALUE!</v>
      </c>
      <c r="FO7" t="e">
        <f>'Site Codes'!F227+"r[&amp;!:%"</f>
        <v>#VALUE!</v>
      </c>
      <c r="FP7" t="e">
        <f>'Site Codes'!G227+"r[&amp;!:&amp;"</f>
        <v>#VALUE!</v>
      </c>
      <c r="FQ7" t="e">
        <f>'Site Codes'!H227+"r[&amp;!:'"</f>
        <v>#VALUE!</v>
      </c>
      <c r="FR7" s="1" t="e">
        <f>'Site Codes'!D228+"r[&amp;!:("</f>
        <v>#VALUE!</v>
      </c>
      <c r="FS7" s="1" t="e">
        <f>'Site Codes'!D229+"r[&amp;!:)"</f>
        <v>#VALUE!</v>
      </c>
      <c r="FT7" s="1" t="e">
        <f>'Site Codes'!#REF!+"r[&amp;!:."</f>
        <v>#REF!</v>
      </c>
      <c r="FU7" s="1" t="e">
        <f>'Site Codes'!D231+"r[&amp;!:/"</f>
        <v>#VALUE!</v>
      </c>
      <c r="FV7" t="e">
        <f>'Site Codes'!E231+"r[&amp;!:0"</f>
        <v>#VALUE!</v>
      </c>
      <c r="FW7" t="e">
        <f>'Site Codes'!F231+"r[&amp;!:1"</f>
        <v>#VALUE!</v>
      </c>
      <c r="FX7" t="e">
        <f>'Site Codes'!G231+"r[&amp;!:2"</f>
        <v>#VALUE!</v>
      </c>
      <c r="FY7" s="1" t="e">
        <f>'Site Codes'!D232+"r[&amp;!:3"</f>
        <v>#VALUE!</v>
      </c>
      <c r="FZ7" t="e">
        <f>'Site Codes'!E232+"r[&amp;!:4"</f>
        <v>#VALUE!</v>
      </c>
      <c r="GA7" t="e">
        <f>'Site Codes'!G232+"r[&amp;!:5"</f>
        <v>#VALUE!</v>
      </c>
      <c r="GB7" s="1" t="e">
        <f>'Site Codes'!D233+"r[&amp;!:6"</f>
        <v>#VALUE!</v>
      </c>
      <c r="GC7" t="e">
        <f>'Site Codes'!E233+"r[&amp;!:7"</f>
        <v>#VALUE!</v>
      </c>
      <c r="GD7" t="e">
        <f>'Site Codes'!G233+"r[&amp;!:8"</f>
        <v>#VALUE!</v>
      </c>
      <c r="GE7" s="1" t="e">
        <f>'Site Codes'!D234+"r[&amp;!:9"</f>
        <v>#VALUE!</v>
      </c>
      <c r="GF7" t="e">
        <f>'Site Codes'!E234+"r[&amp;!::"</f>
        <v>#VALUE!</v>
      </c>
      <c r="GG7" t="e">
        <f>'Site Codes'!F234+"r[&amp;!:;"</f>
        <v>#VALUE!</v>
      </c>
      <c r="GH7" t="e">
        <f>'Site Codes'!G234+"r[&amp;!:&lt;"</f>
        <v>#VALUE!</v>
      </c>
      <c r="GI7" s="1" t="e">
        <f>'Site Codes'!D235+"r[&amp;!:="</f>
        <v>#VALUE!</v>
      </c>
      <c r="GJ7" t="e">
        <f>'Site Codes'!E235+"r[&amp;!:&gt;"</f>
        <v>#VALUE!</v>
      </c>
      <c r="GK7" t="e">
        <f>'Site Codes'!F235+"r[&amp;!:?"</f>
        <v>#VALUE!</v>
      </c>
      <c r="GL7" t="e">
        <f>'Site Codes'!G235+"r[&amp;!:@"</f>
        <v>#VALUE!</v>
      </c>
      <c r="GM7" s="1" t="e">
        <f>'Site Codes'!D236+"r[&amp;!:A"</f>
        <v>#VALUE!</v>
      </c>
      <c r="GN7" t="e">
        <f>'Site Codes'!E236+"r[&amp;!:B"</f>
        <v>#VALUE!</v>
      </c>
      <c r="GO7" t="e">
        <f>'Site Codes'!F236+"r[&amp;!:C"</f>
        <v>#VALUE!</v>
      </c>
      <c r="GP7" t="e">
        <f>'Site Codes'!G236+"r[&amp;!:D"</f>
        <v>#VALUE!</v>
      </c>
      <c r="GQ7" s="1" t="e">
        <f>'Site Codes'!D237+"r[&amp;!:E"</f>
        <v>#VALUE!</v>
      </c>
      <c r="GR7" t="e">
        <f>'Site Codes'!E237+"r[&amp;!:F"</f>
        <v>#VALUE!</v>
      </c>
      <c r="GS7" t="e">
        <f>'Site Codes'!F237+"r[&amp;!:G"</f>
        <v>#VALUE!</v>
      </c>
      <c r="GT7" t="e">
        <f>'Site Codes'!G237+"r[&amp;!:H"</f>
        <v>#VALUE!</v>
      </c>
      <c r="GU7" t="e">
        <f>'Site Codes'!H237+"r[&amp;!:I"</f>
        <v>#VALUE!</v>
      </c>
      <c r="GV7" s="1" t="e">
        <f>'Site Codes'!D238+"r[&amp;!:J"</f>
        <v>#VALUE!</v>
      </c>
      <c r="GW7" t="e">
        <f>'Site Codes'!E238+"r[&amp;!:K"</f>
        <v>#VALUE!</v>
      </c>
      <c r="GX7" t="e">
        <f>'Site Codes'!F238+"r[&amp;!:L"</f>
        <v>#VALUE!</v>
      </c>
      <c r="GY7" t="e">
        <f>'Site Codes'!G238+"r[&amp;!:M"</f>
        <v>#VALUE!</v>
      </c>
      <c r="GZ7" t="e">
        <f>'Site Codes'!H238+"r[&amp;!:N"</f>
        <v>#VALUE!</v>
      </c>
      <c r="HA7" s="1" t="e">
        <f>'Site Codes'!D239+"r[&amp;!:O"</f>
        <v>#VALUE!</v>
      </c>
      <c r="HB7" t="e">
        <f>'Site Codes'!E239+"r[&amp;!:P"</f>
        <v>#VALUE!</v>
      </c>
      <c r="HC7" t="e">
        <f>'Site Codes'!F239+"r[&amp;!:Q"</f>
        <v>#VALUE!</v>
      </c>
      <c r="HD7" t="e">
        <f>'Site Codes'!G239+"r[&amp;!:R"</f>
        <v>#VALUE!</v>
      </c>
      <c r="HE7" t="e">
        <f>'Site Codes'!H239+"r[&amp;!:S"</f>
        <v>#VALUE!</v>
      </c>
      <c r="HF7" s="1" t="e">
        <f>'Site Codes'!D240+"r[&amp;!:T"</f>
        <v>#VALUE!</v>
      </c>
      <c r="HG7" s="1" t="e">
        <f>'Site Codes'!D241+"r[&amp;!:U"</f>
        <v>#VALUE!</v>
      </c>
      <c r="HH7" s="1" t="e">
        <f>'Site Codes'!D242+"r[&amp;!:V"</f>
        <v>#VALUE!</v>
      </c>
      <c r="HI7" s="1" t="e">
        <f>'Site Codes'!D243+"r[&amp;!:W"</f>
        <v>#VALUE!</v>
      </c>
      <c r="HJ7" s="1" t="e">
        <f>'Site Codes'!D244+"r[&amp;!:X"</f>
        <v>#VALUE!</v>
      </c>
      <c r="HK7" s="1" t="e">
        <f>'Site Codes'!D245+"r[&amp;!:Y"</f>
        <v>#VALUE!</v>
      </c>
      <c r="HL7" s="1" t="e">
        <f>'Site Codes'!D246+"r[&amp;!:Z"</f>
        <v>#VALUE!</v>
      </c>
      <c r="HM7" s="1" t="e">
        <f>'Site Codes'!D247+"r[&amp;!:["</f>
        <v>#VALUE!</v>
      </c>
      <c r="HN7" s="1" t="e">
        <f>'Site Codes'!D248+"r[&amp;!:\"</f>
        <v>#VALUE!</v>
      </c>
      <c r="HO7" s="1" t="e">
        <f>'Site Codes'!D249+"r[&amp;!:]"</f>
        <v>#VALUE!</v>
      </c>
      <c r="HP7" s="1" t="e">
        <f>'Site Codes'!D250+"r[&amp;!:^"</f>
        <v>#VALUE!</v>
      </c>
      <c r="HQ7" s="1" t="e">
        <f>'Site Codes'!D251+"r[&amp;!:_"</f>
        <v>#VALUE!</v>
      </c>
      <c r="HR7" s="1" t="e">
        <f>'Site Codes'!D252+"r[&amp;!:`"</f>
        <v>#VALUE!</v>
      </c>
      <c r="HS7" s="1" t="e">
        <f>'Site Codes'!D253+"r[&amp;!:a"</f>
        <v>#VALUE!</v>
      </c>
      <c r="HT7" s="1" t="e">
        <f>'Site Codes'!D254+"r[&amp;!:b"</f>
        <v>#VALUE!</v>
      </c>
      <c r="HU7" s="1" t="e">
        <f>'Site Codes'!D255+"r[&amp;!:c"</f>
        <v>#VALUE!</v>
      </c>
      <c r="HV7" s="1" t="e">
        <f>'Site Codes'!D256+"r[&amp;!:d"</f>
        <v>#VALUE!</v>
      </c>
      <c r="HW7" s="1" t="e">
        <f>'Site Codes'!D257+"r[&amp;!:e"</f>
        <v>#VALUE!</v>
      </c>
      <c r="HX7" s="1" t="e">
        <f>'Site Codes'!D258+"r[&amp;!:f"</f>
        <v>#VALUE!</v>
      </c>
      <c r="HY7" s="1" t="e">
        <f>'Site Codes'!D259+"r[&amp;!:g"</f>
        <v>#VALUE!</v>
      </c>
      <c r="HZ7" s="1" t="e">
        <f>'Site Codes'!#REF!+"r[&amp;!:h"</f>
        <v>#REF!</v>
      </c>
      <c r="IA7" s="1" t="e">
        <f>'Site Codes'!D260+"r[&amp;!:i"</f>
        <v>#VALUE!</v>
      </c>
      <c r="IB7" s="1" t="e">
        <f>'Site Codes'!D261+"r[&amp;!:j"</f>
        <v>#VALUE!</v>
      </c>
      <c r="IC7" s="1" t="e">
        <f>'Site Codes'!D262+"r[&amp;!:k"</f>
        <v>#VALUE!</v>
      </c>
      <c r="ID7" s="1" t="e">
        <f>'Site Codes'!D263+"r[&amp;!:l"</f>
        <v>#VALUE!</v>
      </c>
      <c r="IE7" s="1" t="e">
        <f>'Site Codes'!D264+"r[&amp;!:m"</f>
        <v>#VALUE!</v>
      </c>
      <c r="IF7" s="1" t="e">
        <f>'Site Codes'!#REF!+"r[&amp;!:n"</f>
        <v>#REF!</v>
      </c>
      <c r="IG7" s="1" t="e">
        <f>'Site Codes'!D265+"r[&amp;!:o"</f>
        <v>#VALUE!</v>
      </c>
      <c r="IH7" s="1" t="e">
        <f>'Site Codes'!D266+"r[&amp;!:p"</f>
        <v>#VALUE!</v>
      </c>
      <c r="II7" s="1" t="e">
        <f>'Site Codes'!D267+"r[&amp;!:q"</f>
        <v>#VALUE!</v>
      </c>
      <c r="IJ7" s="1" t="e">
        <f>'Site Codes'!D268+"r[&amp;!:r"</f>
        <v>#VALUE!</v>
      </c>
      <c r="IK7" s="1" t="e">
        <f>'Site Codes'!D269+"r[&amp;!:s"</f>
        <v>#VALUE!</v>
      </c>
      <c r="IL7" s="1" t="e">
        <f>'Site Codes'!D270+"r[&amp;!:t"</f>
        <v>#VALUE!</v>
      </c>
      <c r="IM7" s="1" t="e">
        <f>'Site Codes'!D271+"r[&amp;!:u"</f>
        <v>#VALUE!</v>
      </c>
      <c r="IN7" s="1" t="e">
        <f>'Site Codes'!D272+"r[&amp;!:v"</f>
        <v>#VALUE!</v>
      </c>
      <c r="IO7" s="1" t="e">
        <f>'Site Codes'!D273+"r[&amp;!:w"</f>
        <v>#VALUE!</v>
      </c>
      <c r="IP7" s="1" t="e">
        <f>'Site Codes'!D274+"r[&amp;!:x"</f>
        <v>#VALUE!</v>
      </c>
      <c r="IQ7" s="1" t="e">
        <f>'Site Codes'!D275+"r[&amp;!:y"</f>
        <v>#VALUE!</v>
      </c>
      <c r="IR7" s="1" t="e">
        <f>'Site Codes'!D276+"r[&amp;!:z"</f>
        <v>#VALUE!</v>
      </c>
      <c r="IS7" s="1" t="e">
        <f>'Site Codes'!D277+"r[&amp;!:{"</f>
        <v>#VALUE!</v>
      </c>
      <c r="IT7" s="1" t="e">
        <f>'Site Codes'!D278+"r[&amp;!:|"</f>
        <v>#VALUE!</v>
      </c>
      <c r="IU7" s="1" t="e">
        <f>'Site Codes'!D279+"r[&amp;!:}"</f>
        <v>#VALUE!</v>
      </c>
      <c r="IV7" s="1" t="e">
        <f>'Site Codes'!D280+"r[&amp;!:~"</f>
        <v>#VALUE!</v>
      </c>
    </row>
    <row r="8" spans="1:256">
      <c r="A8" t="s">
        <v>1405</v>
      </c>
      <c r="F8" s="1" t="e">
        <f>'Site Codes'!D281+"r[&amp;!;#"</f>
        <v>#VALUE!</v>
      </c>
      <c r="G8" s="1" t="e">
        <f>'Site Codes'!D282+"r[&amp;!;$"</f>
        <v>#VALUE!</v>
      </c>
      <c r="H8" s="1" t="e">
        <f>'Site Codes'!D283+"r[&amp;!;%"</f>
        <v>#VALUE!</v>
      </c>
      <c r="I8" s="1" t="e">
        <f>'Site Codes'!D284+"r[&amp;!;&amp;"</f>
        <v>#VALUE!</v>
      </c>
      <c r="J8" s="1" t="e">
        <f>'Site Codes'!D285+"r[&amp;!;'"</f>
        <v>#VALUE!</v>
      </c>
      <c r="K8" s="1" t="e">
        <f>'Site Codes'!D286+"r[&amp;!;("</f>
        <v>#VALUE!</v>
      </c>
      <c r="L8" s="1" t="e">
        <f>'Site Codes'!D287+"r[&amp;!;)"</f>
        <v>#VALUE!</v>
      </c>
      <c r="M8" s="1" t="e">
        <f>'Site Codes'!D288+"r[&amp;!;."</f>
        <v>#VALUE!</v>
      </c>
      <c r="N8" s="1" t="e">
        <f>'Site Codes'!D289+"r[&amp;!;/"</f>
        <v>#VALUE!</v>
      </c>
      <c r="O8" s="1" t="e">
        <f>'Site Codes'!D290+"r[&amp;!;0"</f>
        <v>#VALUE!</v>
      </c>
      <c r="P8" s="1" t="e">
        <f>'Site Codes'!D291+"r[&amp;!;1"</f>
        <v>#VALUE!</v>
      </c>
      <c r="Q8" s="1" t="e">
        <f>'Site Codes'!D292+"r[&amp;!;2"</f>
        <v>#VALUE!</v>
      </c>
      <c r="R8" s="1" t="e">
        <f>'Site Codes'!D293+"r[&amp;!;3"</f>
        <v>#VALUE!</v>
      </c>
      <c r="S8" s="1" t="e">
        <f>'Site Codes'!#REF!+"r[&amp;!;4"</f>
        <v>#REF!</v>
      </c>
      <c r="T8" s="1" t="e">
        <f>'Site Codes'!D294+"r[&amp;!;5"</f>
        <v>#VALUE!</v>
      </c>
      <c r="U8" s="1" t="e">
        <f>'Site Codes'!D295+"r[&amp;!;6"</f>
        <v>#VALUE!</v>
      </c>
      <c r="V8" s="1" t="e">
        <f>'Site Codes'!D296+"r[&amp;!;7"</f>
        <v>#VALUE!</v>
      </c>
      <c r="W8" s="1" t="e">
        <f>'Site Codes'!D297+"r[&amp;!;8"</f>
        <v>#VALUE!</v>
      </c>
      <c r="X8" s="1" t="e">
        <f>'Site Codes'!D298+"r[&amp;!;9"</f>
        <v>#VALUE!</v>
      </c>
      <c r="Y8" s="1" t="e">
        <f>'Site Codes'!#REF!+"r[&amp;!;:"</f>
        <v>#REF!</v>
      </c>
      <c r="Z8" s="1" t="e">
        <f>'Site Codes'!D299+"r[&amp;!;;"</f>
        <v>#VALUE!</v>
      </c>
      <c r="AA8" s="1" t="e">
        <f>'Site Codes'!D300+"r[&amp;!;&lt;"</f>
        <v>#VALUE!</v>
      </c>
      <c r="AB8" t="e">
        <f>'Special PC Codes'!A:A*"r[&amp;!;="</f>
        <v>#VALUE!</v>
      </c>
      <c r="AC8" t="e">
        <f>'Special PC Codes'!B:B*"r[&amp;!;&gt;"</f>
        <v>#VALUE!</v>
      </c>
      <c r="AD8" t="e">
        <f>'Special PC Codes'!C:C*"r[&amp;!;?"</f>
        <v>#VALUE!</v>
      </c>
      <c r="AE8" t="e">
        <f>'Special PC Codes'!D:D*"r[&amp;!;@"</f>
        <v>#VALUE!</v>
      </c>
      <c r="AF8" t="e">
        <f>'Special PC Codes'!E:E*"r[&amp;!;A"</f>
        <v>#VALUE!</v>
      </c>
      <c r="AG8" t="e">
        <f>'Special PC Codes'!F:F*"r[&amp;!;B"</f>
        <v>#VALUE!</v>
      </c>
      <c r="AH8" t="e">
        <f>'Special PC Codes'!G:G*"r[&amp;!;C"</f>
        <v>#VALUE!</v>
      </c>
      <c r="AI8" t="e">
        <f>'Special PC Codes'!H:H*"r[&amp;!;D"</f>
        <v>#VALUE!</v>
      </c>
      <c r="AJ8" t="e">
        <f>'Special PC Codes'!I:I*"r[&amp;!;E"</f>
        <v>#VALUE!</v>
      </c>
      <c r="AK8" t="e">
        <f>'Special PC Codes'!J:J*"r[&amp;!;F"</f>
        <v>#VALUE!</v>
      </c>
      <c r="AL8" t="e">
        <f>'Special PC Codes'!K:K*"r[&amp;!;G"</f>
        <v>#VALUE!</v>
      </c>
      <c r="AM8" t="e">
        <f>'Special PC Codes'!L:L*"r[&amp;!;H"</f>
        <v>#VALUE!</v>
      </c>
      <c r="AN8" t="e">
        <f>'Special PC Codes'!M:M*"r[&amp;!;I"</f>
        <v>#VALUE!</v>
      </c>
      <c r="AO8" t="e">
        <f>'Special PC Codes'!N:N*"r[&amp;!;J"</f>
        <v>#VALUE!</v>
      </c>
      <c r="AP8" t="e">
        <f>'Special PC Codes'!O:O*"r[&amp;!;K"</f>
        <v>#VALUE!</v>
      </c>
      <c r="AQ8" t="e">
        <f>'Special PC Codes'!P:P*"r[&amp;!;L"</f>
        <v>#VALUE!</v>
      </c>
      <c r="AR8" t="e">
        <f>'Special PC Codes'!Q:Q*"r[&amp;!;M"</f>
        <v>#VALUE!</v>
      </c>
      <c r="AS8" t="e">
        <f>'Special PC Codes'!R:R*"r[&amp;!;N"</f>
        <v>#VALUE!</v>
      </c>
      <c r="AT8" t="e">
        <f>'Special PC Codes'!S:S*"r[&amp;!;O"</f>
        <v>#VALUE!</v>
      </c>
      <c r="AU8" t="e">
        <f>'Special PC Codes'!T:T*"r[&amp;!;P"</f>
        <v>#VALUE!</v>
      </c>
      <c r="AV8" t="e">
        <f>'Special PC Codes'!U:U*"r[&amp;!;Q"</f>
        <v>#VALUE!</v>
      </c>
      <c r="AW8" t="e">
        <f>'Special PC Codes'!V:V*"r[&amp;!;R"</f>
        <v>#VALUE!</v>
      </c>
      <c r="AX8" t="e">
        <f>'Special PC Codes'!W:W*"r[&amp;!;S"</f>
        <v>#VALUE!</v>
      </c>
      <c r="AY8" t="e">
        <f>'Special PC Codes'!X:X*"r[&amp;!;T"</f>
        <v>#VALUE!</v>
      </c>
      <c r="AZ8" t="e">
        <f>'Special PC Codes'!Y:Y*"r[&amp;!;U"</f>
        <v>#VALUE!</v>
      </c>
      <c r="BA8" t="e">
        <f>'Special PC Codes'!Z:Z*"r[&amp;!;V"</f>
        <v>#VALUE!</v>
      </c>
      <c r="BB8" t="e">
        <f>'Special PC Codes'!AA:AA*"r[&amp;!;W"</f>
        <v>#VALUE!</v>
      </c>
      <c r="BC8" t="e">
        <f>'Special PC Codes'!AB:AB*"r[&amp;!;X"</f>
        <v>#VALUE!</v>
      </c>
      <c r="BD8" t="e">
        <f>'Special PC Codes'!AC:AC*"r[&amp;!;Y"</f>
        <v>#VALUE!</v>
      </c>
      <c r="BE8" t="e">
        <f>'Special PC Codes'!AD:AD*"r[&amp;!;Z"</f>
        <v>#VALUE!</v>
      </c>
      <c r="BF8" t="e">
        <f>'Special PC Codes'!AE:AE*"r[&amp;!;["</f>
        <v>#VALUE!</v>
      </c>
      <c r="BG8" t="e">
        <f>'Special PC Codes'!AF:AF*"r[&amp;!;\"</f>
        <v>#VALUE!</v>
      </c>
      <c r="BH8" t="e">
        <f>'Special PC Codes'!AG:AG*"r[&amp;!;]"</f>
        <v>#VALUE!</v>
      </c>
      <c r="BI8" t="e">
        <f>'Special PC Codes'!AH:AH*"r[&amp;!;^"</f>
        <v>#VALUE!</v>
      </c>
      <c r="BJ8" t="e">
        <f>'Special PC Codes'!AI:AI*"r[&amp;!;_"</f>
        <v>#VALUE!</v>
      </c>
      <c r="BK8" t="e">
        <f>'Special PC Codes'!AJ:AJ*"r[&amp;!;`"</f>
        <v>#VALUE!</v>
      </c>
      <c r="BL8" t="e">
        <f>'Special PC Codes'!AK:AK*"r[&amp;!;a"</f>
        <v>#VALUE!</v>
      </c>
      <c r="BM8" t="e">
        <f>'Special PC Codes'!AL:AL*"r[&amp;!;b"</f>
        <v>#VALUE!</v>
      </c>
      <c r="BN8" t="e">
        <f>'Special PC Codes'!AM:AM*"r[&amp;!;c"</f>
        <v>#VALUE!</v>
      </c>
      <c r="BO8" t="e">
        <f>'Special PC Codes'!AN:AN*"r[&amp;!;d"</f>
        <v>#VALUE!</v>
      </c>
      <c r="BP8" t="e">
        <f>'Special PC Codes'!AO:AO*"r[&amp;!;e"</f>
        <v>#VALUE!</v>
      </c>
      <c r="BQ8" t="e">
        <f>'Special PC Codes'!AP:AP*"r[&amp;!;f"</f>
        <v>#VALUE!</v>
      </c>
      <c r="BR8" t="e">
        <f>'Special PC Codes'!AQ:AQ*"r[&amp;!;g"</f>
        <v>#VALUE!</v>
      </c>
      <c r="BS8" t="e">
        <f>'Special PC Codes'!AR:AR*"r[&amp;!;h"</f>
        <v>#VALUE!</v>
      </c>
      <c r="BT8" t="e">
        <f>'Special PC Codes'!AS:AS*"r[&amp;!;i"</f>
        <v>#VALUE!</v>
      </c>
      <c r="BU8" t="e">
        <f>'Special PC Codes'!AT:AT*"r[&amp;!;j"</f>
        <v>#VALUE!</v>
      </c>
      <c r="BV8" t="e">
        <f>'Special PC Codes'!AU:AU*"r[&amp;!;k"</f>
        <v>#VALUE!</v>
      </c>
      <c r="BW8" t="e">
        <f>'Special PC Codes'!AV:AV*"r[&amp;!;l"</f>
        <v>#VALUE!</v>
      </c>
      <c r="BX8" t="e">
        <f>'Special PC Codes'!AW:AW*"r[&amp;!;m"</f>
        <v>#VALUE!</v>
      </c>
      <c r="BY8" t="e">
        <f>'Special PC Codes'!AX:AX*"r[&amp;!;n"</f>
        <v>#VALUE!</v>
      </c>
      <c r="BZ8" t="e">
        <f>'Special PC Codes'!AY:AY*"r[&amp;!;o"</f>
        <v>#VALUE!</v>
      </c>
      <c r="CA8" t="e">
        <f>'Special PC Codes'!AZ:AZ*"r[&amp;!;p"</f>
        <v>#VALUE!</v>
      </c>
      <c r="CB8" t="e">
        <f>'Special PC Codes'!BA:BA*"r[&amp;!;q"</f>
        <v>#VALUE!</v>
      </c>
      <c r="CC8" t="e">
        <f>'Special PC Codes'!1:1-"r[&amp;!;r"</f>
        <v>#VALUE!</v>
      </c>
      <c r="CD8" t="e">
        <f>'Special PC Codes'!2:2-"r[&amp;!;s"</f>
        <v>#VALUE!</v>
      </c>
      <c r="CE8" t="e">
        <f>'Special PC Codes'!3:3-"r[&amp;!;t"</f>
        <v>#VALUE!</v>
      </c>
      <c r="CF8" t="e">
        <f>'Special PC Codes'!4:4-"r[&amp;!;u"</f>
        <v>#VALUE!</v>
      </c>
      <c r="CG8" t="e">
        <f>'Special PC Codes'!5:5-"r[&amp;!;v"</f>
        <v>#VALUE!</v>
      </c>
      <c r="CH8" t="e">
        <f>'Special PC Codes'!6:6-"r[&amp;!;w"</f>
        <v>#VALUE!</v>
      </c>
      <c r="CI8" t="e">
        <f>'Special PC Codes'!7:7-"r[&amp;!;x"</f>
        <v>#VALUE!</v>
      </c>
      <c r="CJ8" t="e">
        <f>'Special PC Codes'!8:8-"r[&amp;!;y"</f>
        <v>#VALUE!</v>
      </c>
      <c r="CK8" t="e">
        <f>'Special PC Codes'!9:9-"r[&amp;!;z"</f>
        <v>#VALUE!</v>
      </c>
      <c r="CL8" t="e">
        <f>'Special PC Codes'!10:10-"r[&amp;!;{"</f>
        <v>#VALUE!</v>
      </c>
      <c r="CM8" t="e">
        <f>'Special PC Codes'!11:11-"r[&amp;!;|"</f>
        <v>#VALUE!</v>
      </c>
      <c r="CN8" t="e">
        <f>'Special PC Codes'!12:12-"r[&amp;!;}"</f>
        <v>#VALUE!</v>
      </c>
      <c r="CO8" t="e">
        <f>'Special PC Codes'!13:13-"r[&amp;!;~"</f>
        <v>#VALUE!</v>
      </c>
      <c r="CP8" t="e">
        <f>'Special PC Codes'!14:14-"r[&amp;!&lt;#"</f>
        <v>#VALUE!</v>
      </c>
      <c r="CQ8" t="e">
        <f>'Special PC Codes'!15:15-"r[&amp;!&lt;$"</f>
        <v>#VALUE!</v>
      </c>
      <c r="CR8" t="e">
        <f>'Special PC Codes'!16:16-"r[&amp;!&lt;%"</f>
        <v>#VALUE!</v>
      </c>
      <c r="CS8" t="e">
        <f>'Special PC Codes'!17:17-"r[&amp;!&lt;&amp;"</f>
        <v>#VALUE!</v>
      </c>
      <c r="CT8" t="e">
        <f>'Special PC Codes'!18:18-"r[&amp;!&lt;'"</f>
        <v>#VALUE!</v>
      </c>
      <c r="CU8" t="e">
        <f>'Special PC Codes'!19:19-"r[&amp;!&lt;("</f>
        <v>#VALUE!</v>
      </c>
      <c r="CV8" t="e">
        <f>'Special PC Codes'!20:20-"r[&amp;!&lt;)"</f>
        <v>#VALUE!</v>
      </c>
      <c r="CW8" t="e">
        <f>'Special PC Codes'!21:21-"r[&amp;!&lt;."</f>
        <v>#VALUE!</v>
      </c>
      <c r="CX8" t="e">
        <f>'Special PC Codes'!22:22-"r[&amp;!&lt;/"</f>
        <v>#VALUE!</v>
      </c>
      <c r="CY8" t="e">
        <f>'Special PC Codes'!23:23-"r[&amp;!&lt;0"</f>
        <v>#VALUE!</v>
      </c>
      <c r="CZ8" t="e">
        <f>'Special PC Codes'!24:24-"r[&amp;!&lt;1"</f>
        <v>#VALUE!</v>
      </c>
      <c r="DA8" t="e">
        <f>'Special PC Codes'!25:25-"r[&amp;!&lt;2"</f>
        <v>#VALUE!</v>
      </c>
      <c r="DB8" t="e">
        <f>'Special PC Codes'!26:26-"r[&amp;!&lt;3"</f>
        <v>#VALUE!</v>
      </c>
      <c r="DC8" t="e">
        <f>'Special PC Codes'!27:27-"r[&amp;!&lt;4"</f>
        <v>#VALUE!</v>
      </c>
      <c r="DD8" t="e">
        <f>'Special PC Codes'!28:28-"r[&amp;!&lt;5"</f>
        <v>#VALUE!</v>
      </c>
      <c r="DE8" t="e">
        <f>'Special PC Codes'!29:29-"r[&amp;!&lt;6"</f>
        <v>#VALUE!</v>
      </c>
      <c r="DF8" t="e">
        <f>'Special PC Codes'!30:30-"r[&amp;!&lt;7"</f>
        <v>#VALUE!</v>
      </c>
      <c r="DG8" t="e">
        <f>'Special PC Codes'!31:31-"r[&amp;!&lt;8"</f>
        <v>#VALUE!</v>
      </c>
      <c r="DH8" t="e">
        <f>'Special PC Codes'!32:32-"r[&amp;!&lt;9"</f>
        <v>#VALUE!</v>
      </c>
      <c r="DI8" t="e">
        <f>'Special PC Codes'!33:33-"r[&amp;!&lt;:"</f>
        <v>#VALUE!</v>
      </c>
      <c r="DJ8" t="e">
        <f>'Special PC Codes'!34:34-"r[&amp;!&lt;;"</f>
        <v>#VALUE!</v>
      </c>
      <c r="DK8" t="e">
        <f>'Special PC Codes'!35:35-"r[&amp;!&lt;&lt;"</f>
        <v>#VALUE!</v>
      </c>
      <c r="DL8" t="e">
        <f>'Special PC Codes'!36:36-"r[&amp;!&lt;="</f>
        <v>#VALUE!</v>
      </c>
      <c r="DM8" t="e">
        <f>'Special PC Codes'!37:37-"r[&amp;!&lt;&gt;"</f>
        <v>#VALUE!</v>
      </c>
      <c r="DN8" t="e">
        <f>'Special PC Codes'!38:38-"r[&amp;!&lt;?"</f>
        <v>#VALUE!</v>
      </c>
      <c r="DO8" t="e">
        <f>'Special PC Codes'!39:39-"r[&amp;!&lt;@"</f>
        <v>#VALUE!</v>
      </c>
      <c r="DP8" t="e">
        <f>'Special PC Codes'!40:40-"r[&amp;!&lt;A"</f>
        <v>#VALUE!</v>
      </c>
      <c r="DQ8" t="e">
        <f>'Special PC Codes'!41:41-"r[&amp;!&lt;B"</f>
        <v>#VALUE!</v>
      </c>
      <c r="DR8" t="e">
        <f>'Special PC Codes'!42:42-"r[&amp;!&lt;C"</f>
        <v>#VALUE!</v>
      </c>
      <c r="DS8" t="e">
        <f>'Special PC Codes'!43:43-"r[&amp;!&lt;D"</f>
        <v>#VALUE!</v>
      </c>
      <c r="DT8" t="e">
        <f>'Special PC Codes'!44:44-"r[&amp;!&lt;E"</f>
        <v>#VALUE!</v>
      </c>
      <c r="DU8" t="e">
        <f>'Special PC Codes'!45:45-"r[&amp;!&lt;F"</f>
        <v>#VALUE!</v>
      </c>
      <c r="DV8" t="e">
        <f>'Special PC Codes'!46:46-"r[&amp;!&lt;G"</f>
        <v>#VALUE!</v>
      </c>
      <c r="DW8" t="e">
        <f>'Special PC Codes'!47:47-"r[&amp;!&lt;H"</f>
        <v>#VALUE!</v>
      </c>
      <c r="DX8" t="e">
        <f>'Special PC Codes'!48:48-"r[&amp;!&lt;I"</f>
        <v>#VALUE!</v>
      </c>
      <c r="DY8" t="e">
        <f>'Special PC Codes'!49:49-"r[&amp;!&lt;J"</f>
        <v>#VALUE!</v>
      </c>
      <c r="DZ8" t="e">
        <f>'Special PC Codes'!50:50-"r[&amp;!&lt;K"</f>
        <v>#VALUE!</v>
      </c>
      <c r="EA8" t="e">
        <f>'Special PC Codes'!51:51-"r[&amp;!&lt;L"</f>
        <v>#VALUE!</v>
      </c>
      <c r="EB8" t="e">
        <f>'Special PC Codes'!52:52-"r[&amp;!&lt;M"</f>
        <v>#VALUE!</v>
      </c>
      <c r="EC8" t="e">
        <f>'Special PC Codes'!53:53-"r[&amp;!&lt;N"</f>
        <v>#VALUE!</v>
      </c>
      <c r="ED8" t="e">
        <f>'Special PC Codes'!54:54-"r[&amp;!&lt;O"</f>
        <v>#VALUE!</v>
      </c>
      <c r="EE8" t="e">
        <f>'Special PC Codes'!55:55-"r[&amp;!&lt;P"</f>
        <v>#VALUE!</v>
      </c>
      <c r="EF8" t="e">
        <f>'Special PC Codes'!56:56-"r[&amp;!&lt;Q"</f>
        <v>#VALUE!</v>
      </c>
      <c r="EG8" t="e">
        <f>'Special PC Codes'!57:57-"r[&amp;!&lt;R"</f>
        <v>#VALUE!</v>
      </c>
      <c r="EH8" t="e">
        <f>'Special PC Codes'!58:58-"r[&amp;!&lt;S"</f>
        <v>#VALUE!</v>
      </c>
      <c r="EI8" t="e">
        <f>'Special PC Codes'!59:59-"r[&amp;!&lt;T"</f>
        <v>#VALUE!</v>
      </c>
      <c r="EJ8" t="e">
        <f>'Special PC Codes'!60:60-"r[&amp;!&lt;U"</f>
        <v>#VALUE!</v>
      </c>
      <c r="EK8" t="e">
        <f>'Special PC Codes'!61:61-"r[&amp;!&lt;V"</f>
        <v>#VALUE!</v>
      </c>
      <c r="EL8" t="e">
        <f>'Special PC Codes'!62:62-"r[&amp;!&lt;W"</f>
        <v>#VALUE!</v>
      </c>
      <c r="EM8" t="e">
        <f>'Special PC Codes'!63:63-"r[&amp;!&lt;X"</f>
        <v>#VALUE!</v>
      </c>
      <c r="EN8" t="e">
        <f>'Special PC Codes'!64:64-"r[&amp;!&lt;Y"</f>
        <v>#VALUE!</v>
      </c>
      <c r="EO8" t="e">
        <f>'Special PC Codes'!65:65-"r[&amp;!&lt;Z"</f>
        <v>#VALUE!</v>
      </c>
      <c r="EP8" t="e">
        <f>'Special PC Codes'!66:66-"r[&amp;!&lt;["</f>
        <v>#VALUE!</v>
      </c>
      <c r="EQ8" t="e">
        <f>'Special PC Codes'!67:67-"r[&amp;!&lt;\"</f>
        <v>#VALUE!</v>
      </c>
      <c r="ER8" t="e">
        <f>'Special PC Codes'!68:68-"r[&amp;!&lt;]"</f>
        <v>#VALUE!</v>
      </c>
      <c r="ES8" t="e">
        <f>'Special PC Codes'!69:69-"r[&amp;!&lt;^"</f>
        <v>#VALUE!</v>
      </c>
      <c r="ET8" t="e">
        <f>'Special PC Codes'!70:70-"r[&amp;!&lt;_"</f>
        <v>#VALUE!</v>
      </c>
      <c r="EU8" t="e">
        <f>'Special PC Codes'!71:71-"r[&amp;!&lt;`"</f>
        <v>#VALUE!</v>
      </c>
      <c r="EV8" t="e">
        <f>'Special PC Codes'!72:72-"r[&amp;!&lt;a"</f>
        <v>#VALUE!</v>
      </c>
      <c r="EW8" t="e">
        <f>'Special PC Codes'!73:73-"r[&amp;!&lt;b"</f>
        <v>#VALUE!</v>
      </c>
      <c r="EX8" t="e">
        <f>'Special PC Codes'!74:74-"r[&amp;!&lt;c"</f>
        <v>#VALUE!</v>
      </c>
      <c r="EY8" t="e">
        <f>'Special PC Codes'!75:75-"r[&amp;!&lt;d"</f>
        <v>#VALUE!</v>
      </c>
      <c r="EZ8" t="e">
        <f>'Special PC Codes'!76:76-"r[&amp;!&lt;e"</f>
        <v>#VALUE!</v>
      </c>
      <c r="FA8" t="e">
        <f>'Special PC Codes'!77:77-"r[&amp;!&lt;f"</f>
        <v>#VALUE!</v>
      </c>
      <c r="FB8" t="e">
        <f>'Special PC Codes'!78:78-"r[&amp;!&lt;g"</f>
        <v>#VALUE!</v>
      </c>
      <c r="FC8" t="e">
        <f>'Special PC Codes'!79:79-"r[&amp;!&lt;h"</f>
        <v>#VALUE!</v>
      </c>
      <c r="FD8" t="e">
        <f>'Special PC Codes'!80:80-"r[&amp;!&lt;i"</f>
        <v>#VALUE!</v>
      </c>
      <c r="FE8" t="e">
        <f>'Special PC Codes'!81:81-"r[&amp;!&lt;j"</f>
        <v>#VALUE!</v>
      </c>
      <c r="FF8" t="e">
        <f>'Special PC Codes'!82:82-"r[&amp;!&lt;k"</f>
        <v>#VALUE!</v>
      </c>
      <c r="FG8" t="e">
        <f>'Special PC Codes'!83:83-"r[&amp;!&lt;l"</f>
        <v>#VALUE!</v>
      </c>
      <c r="FH8" t="e">
        <f>'Special PC Codes'!84:84-"r[&amp;!&lt;m"</f>
        <v>#VALUE!</v>
      </c>
      <c r="FI8" t="e">
        <f>'Special PC Codes'!85:85-"r[&amp;!&lt;n"</f>
        <v>#VALUE!</v>
      </c>
      <c r="FJ8" t="e">
        <f>'Special PC Codes'!86:86-"r[&amp;!&lt;o"</f>
        <v>#VALUE!</v>
      </c>
      <c r="FK8" t="e">
        <f>'Special PC Codes'!87:87-"r[&amp;!&lt;p"</f>
        <v>#VALUE!</v>
      </c>
      <c r="FL8" t="e">
        <f>'Special PC Codes'!88:88-"r[&amp;!&lt;q"</f>
        <v>#VALUE!</v>
      </c>
      <c r="FM8" t="e">
        <f>'Special PC Codes'!89:89-"r[&amp;!&lt;r"</f>
        <v>#VALUE!</v>
      </c>
      <c r="FN8" t="e">
        <f>'Special PC Codes'!90:90-"r[&amp;!&lt;s"</f>
        <v>#VALUE!</v>
      </c>
      <c r="FO8" t="e">
        <f>'Special PC Codes'!91:91-"r[&amp;!&lt;t"</f>
        <v>#VALUE!</v>
      </c>
      <c r="FP8" t="e">
        <f>'Special PC Codes'!92:92-"r[&amp;!&lt;u"</f>
        <v>#VALUE!</v>
      </c>
      <c r="FQ8" t="e">
        <f>'Special PC Codes'!93:93-"r[&amp;!&lt;v"</f>
        <v>#VALUE!</v>
      </c>
      <c r="FR8" t="e">
        <f>'Special PC Codes'!94:94-"r[&amp;!&lt;w"</f>
        <v>#VALUE!</v>
      </c>
      <c r="FS8" t="e">
        <f>'Special PC Codes'!95:95-"r[&amp;!&lt;x"</f>
        <v>#VALUE!</v>
      </c>
      <c r="FT8" t="e">
        <f>'Special PC Codes'!96:96-"r[&amp;!&lt;y"</f>
        <v>#VALUE!</v>
      </c>
      <c r="FU8" t="e">
        <f>'Special PC Codes'!97:97-"r[&amp;!&lt;z"</f>
        <v>#VALUE!</v>
      </c>
      <c r="FV8" t="e">
        <f>'Special PC Codes'!98:98-"r[&amp;!&lt;{"</f>
        <v>#VALUE!</v>
      </c>
      <c r="FW8" t="e">
        <f>'Special PC Codes'!99:99-"r[&amp;!&lt;|"</f>
        <v>#VALUE!</v>
      </c>
      <c r="FX8" t="e">
        <f>'Special PC Codes'!100:100-"r[&amp;!&lt;}"</f>
        <v>#VALUE!</v>
      </c>
      <c r="FY8" t="e">
        <f>'Special PC Codes'!101:101-"r[&amp;!&lt;~"</f>
        <v>#VALUE!</v>
      </c>
      <c r="FZ8" t="e">
        <f>'Special PC Codes'!102:102-"r[&amp;!=#"</f>
        <v>#VALUE!</v>
      </c>
      <c r="GA8" t="e">
        <f>'Special PC Codes'!103:103-"r[&amp;!=$"</f>
        <v>#VALUE!</v>
      </c>
      <c r="GB8" t="e">
        <f>'Special PC Codes'!104:104-"r[&amp;!=%"</f>
        <v>#VALUE!</v>
      </c>
      <c r="GC8" t="e">
        <f>'Special PC Codes'!105:105-"r[&amp;!=&amp;"</f>
        <v>#VALUE!</v>
      </c>
      <c r="GD8" t="e">
        <f>'Special PC Codes'!106:106-"r[&amp;!='"</f>
        <v>#VALUE!</v>
      </c>
      <c r="GE8" t="e">
        <f>'Special PC Codes'!107:107-"r[&amp;!=("</f>
        <v>#VALUE!</v>
      </c>
      <c r="GF8" t="e">
        <f>'Special PC Codes'!108:108-"r[&amp;!=)"</f>
        <v>#VALUE!</v>
      </c>
      <c r="GG8" t="e">
        <f>'Special PC Codes'!109:109-"r[&amp;!=."</f>
        <v>#VALUE!</v>
      </c>
      <c r="GH8" t="e">
        <f>'Special PC Codes'!110:110-"r[&amp;!=/"</f>
        <v>#VALUE!</v>
      </c>
      <c r="GI8" t="e">
        <f>'Special PC Codes'!111:111-"r[&amp;!=0"</f>
        <v>#VALUE!</v>
      </c>
      <c r="GJ8" t="e">
        <f>'Special PC Codes'!112:112-"r[&amp;!=1"</f>
        <v>#VALUE!</v>
      </c>
      <c r="GK8" t="e">
        <f>'Special PC Codes'!113:113-"r[&amp;!=2"</f>
        <v>#VALUE!</v>
      </c>
      <c r="GL8" t="e">
        <f>'Special PC Codes'!114:114-"r[&amp;!=3"</f>
        <v>#VALUE!</v>
      </c>
      <c r="GM8" t="e">
        <f>'Special PC Codes'!115:115-"r[&amp;!=4"</f>
        <v>#VALUE!</v>
      </c>
      <c r="GN8" t="e">
        <f>'Special PC Codes'!116:116-"r[&amp;!=5"</f>
        <v>#VALUE!</v>
      </c>
      <c r="GO8" t="e">
        <f>'Special PC Codes'!117:117-"r[&amp;!=6"</f>
        <v>#VALUE!</v>
      </c>
      <c r="GP8" t="e">
        <f>'Special PC Codes'!118:118-"r[&amp;!=7"</f>
        <v>#VALUE!</v>
      </c>
      <c r="GQ8" t="e">
        <f>'Special PC Codes'!119:119-"r[&amp;!=8"</f>
        <v>#VALUE!</v>
      </c>
      <c r="GR8" t="e">
        <f>'Special PC Codes'!120:120-"r[&amp;!=9"</f>
        <v>#VALUE!</v>
      </c>
      <c r="GS8" t="e">
        <f>'Special PC Codes'!121:121-"r[&amp;!=:"</f>
        <v>#VALUE!</v>
      </c>
      <c r="GT8" t="e">
        <f>'Special PC Codes'!122:122-"r[&amp;!=;"</f>
        <v>#VALUE!</v>
      </c>
      <c r="GU8" t="e">
        <f>'Special PC Codes'!123:123-"r[&amp;!=&lt;"</f>
        <v>#VALUE!</v>
      </c>
      <c r="GV8" t="e">
        <f>'Special PC Codes'!124:124-"r[&amp;!=="</f>
        <v>#VALUE!</v>
      </c>
      <c r="GW8" t="e">
        <f>'Special PC Codes'!125:125-"r[&amp;!=&gt;"</f>
        <v>#VALUE!</v>
      </c>
      <c r="GX8" t="e">
        <f>'Special PC Codes'!126:126-"r[&amp;!=?"</f>
        <v>#VALUE!</v>
      </c>
      <c r="GY8" t="e">
        <f>'Special PC Codes'!127:127-"r[&amp;!=@"</f>
        <v>#VALUE!</v>
      </c>
      <c r="GZ8" t="e">
        <f>'Special PC Codes'!128:128-"r[&amp;!=A"</f>
        <v>#VALUE!</v>
      </c>
      <c r="HA8" t="e">
        <f>'Special PC Codes'!129:129-"r[&amp;!=B"</f>
        <v>#VALUE!</v>
      </c>
      <c r="HB8" t="e">
        <f>'Special PC Codes'!130:130-"r[&amp;!=C"</f>
        <v>#VALUE!</v>
      </c>
      <c r="HC8" t="e">
        <f>'Special PC Codes'!131:131-"r[&amp;!=D"</f>
        <v>#VALUE!</v>
      </c>
      <c r="HD8" t="e">
        <f>'Special PC Codes'!132:132-"r[&amp;!=E"</f>
        <v>#VALUE!</v>
      </c>
      <c r="HE8" t="e">
        <f>'Special PC Codes'!133:133-"r[&amp;!=F"</f>
        <v>#VALUE!</v>
      </c>
      <c r="HF8" t="e">
        <f>'Special PC Codes'!134:134-"r[&amp;!=G"</f>
        <v>#VALUE!</v>
      </c>
      <c r="HG8" t="e">
        <f>'Special PC Codes'!135:135-"r[&amp;!=H"</f>
        <v>#VALUE!</v>
      </c>
      <c r="HH8" t="e">
        <f>'Special PC Codes'!136:136-"r[&amp;!=I"</f>
        <v>#VALUE!</v>
      </c>
      <c r="HI8" t="e">
        <f>'Special PC Codes'!137:137-"r[&amp;!=J"</f>
        <v>#VALUE!</v>
      </c>
      <c r="HJ8" t="e">
        <f>'Special PC Codes'!138:138-"r[&amp;!=K"</f>
        <v>#VALUE!</v>
      </c>
      <c r="HK8" t="e">
        <f>'Special PC Codes'!139:139-"r[&amp;!=L"</f>
        <v>#VALUE!</v>
      </c>
      <c r="HL8" t="e">
        <f>'Special PC Codes'!140:140-"r[&amp;!=M"</f>
        <v>#VALUE!</v>
      </c>
      <c r="HM8" t="e">
        <f>'Special PC Codes'!141:141-"r[&amp;!=N"</f>
        <v>#VALUE!</v>
      </c>
      <c r="HN8" t="e">
        <f>'Special PC Codes'!142:142-"r[&amp;!=O"</f>
        <v>#VALUE!</v>
      </c>
      <c r="HO8" t="e">
        <f>'Special PC Codes'!143:143-"r[&amp;!=P"</f>
        <v>#VALUE!</v>
      </c>
      <c r="HP8" t="e">
        <f>'Special PC Codes'!144:144-"r[&amp;!=Q"</f>
        <v>#VALUE!</v>
      </c>
      <c r="HQ8" t="e">
        <f>'Special PC Codes'!145:145-"r[&amp;!=R"</f>
        <v>#VALUE!</v>
      </c>
      <c r="HR8" t="e">
        <f>'Special PC Codes'!146:146-"r[&amp;!=S"</f>
        <v>#VALUE!</v>
      </c>
      <c r="HS8" t="e">
        <f>'Special PC Codes'!147:147-"r[&amp;!=T"</f>
        <v>#VALUE!</v>
      </c>
      <c r="HT8" t="e">
        <f>'Special PC Codes'!148:148-"r[&amp;!=U"</f>
        <v>#VALUE!</v>
      </c>
      <c r="HU8" t="e">
        <f>'Special PC Codes'!149:149-"r[&amp;!=V"</f>
        <v>#VALUE!</v>
      </c>
      <c r="HV8" t="e">
        <f>'Special PC Codes'!150:150-"r[&amp;!=W"</f>
        <v>#VALUE!</v>
      </c>
      <c r="HW8" t="e">
        <f>'Special PC Codes'!151:151-"r[&amp;!=X"</f>
        <v>#VALUE!</v>
      </c>
      <c r="HX8" t="e">
        <f>'Special PC Codes'!152:152-"r[&amp;!=Y"</f>
        <v>#VALUE!</v>
      </c>
      <c r="HY8" t="e">
        <f>'Special PC Codes'!153:153-"r[&amp;!=Z"</f>
        <v>#VALUE!</v>
      </c>
      <c r="HZ8" t="e">
        <f>'Special PC Codes'!154:154-"r[&amp;!=["</f>
        <v>#VALUE!</v>
      </c>
      <c r="IA8" t="e">
        <f>'Special PC Codes'!155:155-"r[&amp;!=\"</f>
        <v>#VALUE!</v>
      </c>
      <c r="IB8" t="e">
        <f>'Special PC Codes'!156:156-"r[&amp;!=]"</f>
        <v>#VALUE!</v>
      </c>
      <c r="IC8" t="e">
        <f>'Special PC Codes'!157:157-"r[&amp;!=^"</f>
        <v>#VALUE!</v>
      </c>
      <c r="ID8" t="e">
        <f>'Special PC Codes'!158:158-"r[&amp;!=_"</f>
        <v>#VALUE!</v>
      </c>
      <c r="IE8" t="e">
        <f>'Special PC Codes'!159:159-"r[&amp;!=`"</f>
        <v>#VALUE!</v>
      </c>
      <c r="IF8" t="e">
        <f>'Special PC Codes'!160:160-"r[&amp;!=a"</f>
        <v>#VALUE!</v>
      </c>
      <c r="IG8" t="e">
        <f>'Special PC Codes'!161:161-"r[&amp;!=b"</f>
        <v>#VALUE!</v>
      </c>
      <c r="IH8" t="e">
        <f>'Special PC Codes'!162:162-"r[&amp;!=c"</f>
        <v>#VALUE!</v>
      </c>
      <c r="II8" t="e">
        <f>'Special PC Codes'!163:163-"r[&amp;!=d"</f>
        <v>#VALUE!</v>
      </c>
      <c r="IJ8" t="e">
        <f>'Special PC Codes'!164:164-"r[&amp;!=e"</f>
        <v>#VALUE!</v>
      </c>
      <c r="IK8" t="e">
        <f>'Special PC Codes'!165:165-"r[&amp;!=f"</f>
        <v>#VALUE!</v>
      </c>
      <c r="IL8" t="e">
        <f>'Special PC Codes'!166:166-"r[&amp;!=g"</f>
        <v>#VALUE!</v>
      </c>
      <c r="IM8" t="e">
        <f>'Special PC Codes'!167:167-"r[&amp;!=h"</f>
        <v>#VALUE!</v>
      </c>
      <c r="IN8" t="e">
        <f>'Special PC Codes'!168:168-"r[&amp;!=i"</f>
        <v>#VALUE!</v>
      </c>
      <c r="IO8" t="e">
        <f>'Special PC Codes'!169:169-"r[&amp;!=j"</f>
        <v>#VALUE!</v>
      </c>
      <c r="IP8" t="e">
        <f>'Special PC Codes'!170:170-"r[&amp;!=k"</f>
        <v>#VALUE!</v>
      </c>
      <c r="IQ8" t="e">
        <f>'Special PC Codes'!171:171-"r[&amp;!=l"</f>
        <v>#VALUE!</v>
      </c>
      <c r="IR8" t="e">
        <f>'Special PC Codes'!172:172-"r[&amp;!=m"</f>
        <v>#VALUE!</v>
      </c>
      <c r="IS8" t="e">
        <f>'Special PC Codes'!173:173-"r[&amp;!=n"</f>
        <v>#VALUE!</v>
      </c>
      <c r="IT8" t="e">
        <f>'Special PC Codes'!174:174-"r[&amp;!=o"</f>
        <v>#VALUE!</v>
      </c>
      <c r="IU8" t="e">
        <f>'Special PC Codes'!175:175-"r[&amp;!=p"</f>
        <v>#VALUE!</v>
      </c>
      <c r="IV8" t="e">
        <f>'Special PC Codes'!176:176-"r[&amp;!=q"</f>
        <v>#VALUE!</v>
      </c>
    </row>
    <row r="9" spans="1:256">
      <c r="A9" t="s">
        <v>1406</v>
      </c>
      <c r="F9" t="e">
        <f>'Special PC Codes'!177:177-"r[&amp;!=r"</f>
        <v>#VALUE!</v>
      </c>
      <c r="G9" t="e">
        <f>'Special PC Codes'!178:178-"r[&amp;!=s"</f>
        <v>#VALUE!</v>
      </c>
      <c r="H9" t="e">
        <f>'Special PC Codes'!179:179-"r[&amp;!=t"</f>
        <v>#VALUE!</v>
      </c>
      <c r="I9" t="e">
        <f>'Special PC Codes'!180:180-"r[&amp;!=u"</f>
        <v>#VALUE!</v>
      </c>
      <c r="J9" t="e">
        <f>'Special PC Codes'!181:181-"r[&amp;!=v"</f>
        <v>#VALUE!</v>
      </c>
      <c r="K9" t="e">
        <f>'Special PC Codes'!182:182-"r[&amp;!=w"</f>
        <v>#VALUE!</v>
      </c>
      <c r="L9" t="e">
        <f>'Special PC Codes'!183:183-"r[&amp;!=x"</f>
        <v>#VALUE!</v>
      </c>
      <c r="M9" t="e">
        <f>'Special PC Codes'!184:184-"r[&amp;!=y"</f>
        <v>#VALUE!</v>
      </c>
      <c r="N9" t="e">
        <f>'Special PC Codes'!185:185-"r[&amp;!=z"</f>
        <v>#VALUE!</v>
      </c>
      <c r="O9" t="e">
        <f>'Special PC Codes'!186:186-"r[&amp;!={"</f>
        <v>#VALUE!</v>
      </c>
      <c r="P9" t="e">
        <f>'Special PC Codes'!187:187-"r[&amp;!=|"</f>
        <v>#VALUE!</v>
      </c>
      <c r="Q9" t="e">
        <f>'Special PC Codes'!188:188-"r[&amp;!=}"</f>
        <v>#VALUE!</v>
      </c>
      <c r="R9" t="e">
        <f>'Special PC Codes'!189:189-"r[&amp;!=~"</f>
        <v>#VALUE!</v>
      </c>
      <c r="S9" t="e">
        <f>'Special PC Codes'!190:190-"r[&amp;!&gt;#"</f>
        <v>#VALUE!</v>
      </c>
      <c r="T9" t="e">
        <f>'Special PC Codes'!191:191-"r[&amp;!&gt;$"</f>
        <v>#VALUE!</v>
      </c>
      <c r="U9" t="e">
        <f>'Special PC Codes'!192:192-"r[&amp;!&gt;%"</f>
        <v>#VALUE!</v>
      </c>
      <c r="V9" t="e">
        <f>'Special PC Codes'!193:193-"r[&amp;!&gt;&amp;"</f>
        <v>#VALUE!</v>
      </c>
      <c r="W9" t="e">
        <f>'Special PC Codes'!194:194-"r[&amp;!&gt;'"</f>
        <v>#VALUE!</v>
      </c>
      <c r="X9" t="e">
        <f>'Special PC Codes'!195:195-"r[&amp;!&gt;("</f>
        <v>#VALUE!</v>
      </c>
      <c r="Y9" t="e">
        <f>'Special PC Codes'!196:196-"r[&amp;!&gt;)"</f>
        <v>#VALUE!</v>
      </c>
      <c r="Z9" t="e">
        <f>'Special PC Codes'!197:197-"r[&amp;!&gt;."</f>
        <v>#VALUE!</v>
      </c>
      <c r="AA9" t="e">
        <f>'Special PC Codes'!198:198-"r[&amp;!&gt;/"</f>
        <v>#VALUE!</v>
      </c>
      <c r="AB9" t="e">
        <f>'Special PC Codes'!199:199-"r[&amp;!&gt;0"</f>
        <v>#VALUE!</v>
      </c>
      <c r="AC9" t="e">
        <f>'Special PC Codes'!200:200-"r[&amp;!&gt;1"</f>
        <v>#VALUE!</v>
      </c>
      <c r="AD9" t="e">
        <f>'Special PC Codes'!201:201-"r[&amp;!&gt;2"</f>
        <v>#VALUE!</v>
      </c>
      <c r="AE9" t="e">
        <f>'Special PC Codes'!202:202-"r[&amp;!&gt;3"</f>
        <v>#VALUE!</v>
      </c>
      <c r="AF9" t="e">
        <f>'Special PC Codes'!203:203-"r[&amp;!&gt;4"</f>
        <v>#VALUE!</v>
      </c>
      <c r="AG9" t="e">
        <f>'Special PC Codes'!204:204-"r[&amp;!&gt;5"</f>
        <v>#VALUE!</v>
      </c>
      <c r="AH9" t="e">
        <f>'Special PC Codes'!205:205-"r[&amp;!&gt;6"</f>
        <v>#VALUE!</v>
      </c>
      <c r="AI9" t="e">
        <f>'Special PC Codes'!206:206-"r[&amp;!&gt;7"</f>
        <v>#VALUE!</v>
      </c>
      <c r="AJ9" t="e">
        <f>'Special PC Codes'!207:207-"r[&amp;!&gt;8"</f>
        <v>#VALUE!</v>
      </c>
      <c r="AK9" t="e">
        <f>'Special PC Codes'!208:208-"r[&amp;!&gt;9"</f>
        <v>#VALUE!</v>
      </c>
      <c r="AL9" t="e">
        <f>'Special PC Codes'!209:209-"r[&amp;!&gt;:"</f>
        <v>#VALUE!</v>
      </c>
      <c r="AM9" t="e">
        <f>'Special PC Codes'!210:210-"r[&amp;!&gt;;"</f>
        <v>#VALUE!</v>
      </c>
      <c r="AN9" t="e">
        <f>'Special PC Codes'!211:211-"r[&amp;!&gt;&lt;"</f>
        <v>#VALUE!</v>
      </c>
      <c r="AO9" t="e">
        <f>'Special PC Codes'!212:212-"r[&amp;!&gt;="</f>
        <v>#VALUE!</v>
      </c>
      <c r="AP9" t="e">
        <f>'Special PC Codes'!213:213-"r[&amp;!&gt;&gt;"</f>
        <v>#VALUE!</v>
      </c>
      <c r="AQ9" t="e">
        <f>'Special PC Codes'!214:214-"r[&amp;!&gt;?"</f>
        <v>#VALUE!</v>
      </c>
      <c r="AR9" t="e">
        <f>'Special PC Codes'!215:215-"r[&amp;!&gt;@"</f>
        <v>#VALUE!</v>
      </c>
      <c r="AS9" t="e">
        <f>'Special PC Codes'!216:216-"r[&amp;!&gt;A"</f>
        <v>#VALUE!</v>
      </c>
      <c r="AT9" t="e">
        <f>'Special PC Codes'!217:217-"r[&amp;!&gt;B"</f>
        <v>#VALUE!</v>
      </c>
      <c r="AU9" t="e">
        <f>'Special PC Codes'!218:218-"r[&amp;!&gt;C"</f>
        <v>#VALUE!</v>
      </c>
      <c r="AV9" t="e">
        <f>'Special PC Codes'!219:219-"r[&amp;!&gt;D"</f>
        <v>#VALUE!</v>
      </c>
      <c r="AW9" t="e">
        <f>'Special PC Codes'!220:220-"r[&amp;!&gt;E"</f>
        <v>#VALUE!</v>
      </c>
      <c r="AX9" t="e">
        <f>'Special PC Codes'!221:221-"r[&amp;!&gt;F"</f>
        <v>#VALUE!</v>
      </c>
      <c r="AY9" t="e">
        <f>'Special PC Codes'!222:222-"r[&amp;!&gt;G"</f>
        <v>#VALUE!</v>
      </c>
      <c r="AZ9" t="e">
        <f>'Special PC Codes'!223:223-"r[&amp;!&gt;H"</f>
        <v>#VALUE!</v>
      </c>
      <c r="BA9" t="e">
        <f>'Special PC Codes'!224:224-"r[&amp;!&gt;I"</f>
        <v>#VALUE!</v>
      </c>
      <c r="BB9" t="e">
        <f>'Special PC Codes'!225:225-"r[&amp;!&gt;J"</f>
        <v>#VALUE!</v>
      </c>
      <c r="BC9" t="e">
        <f>'Special PC Codes'!226:226-"r[&amp;!&gt;K"</f>
        <v>#VALUE!</v>
      </c>
      <c r="BD9" t="e">
        <f>'Special PC Codes'!227:227-"r[&amp;!&gt;L"</f>
        <v>#VALUE!</v>
      </c>
      <c r="BE9" t="e">
        <f>'Special PC Codes'!A1+"r[&amp;!&gt;M"</f>
        <v>#VALUE!</v>
      </c>
      <c r="BF9" t="e">
        <f>'Special PC Codes'!A2+"r[&amp;!&gt;N"</f>
        <v>#VALUE!</v>
      </c>
      <c r="BG9" t="e">
        <f>'Special PC Codes'!B2+"r[&amp;!&gt;O"</f>
        <v>#VALUE!</v>
      </c>
      <c r="BH9" t="e">
        <f>'Special PC Codes'!A3+"r[&amp;!&gt;P"</f>
        <v>#VALUE!</v>
      </c>
      <c r="BI9" t="e">
        <f>'Special PC Codes'!A4+"r[&amp;!&gt;Q"</f>
        <v>#VALUE!</v>
      </c>
      <c r="BJ9" t="e">
        <f>'Special PC Codes'!A5+"r[&amp;!&gt;R"</f>
        <v>#VALUE!</v>
      </c>
      <c r="BK9" t="e">
        <f>'Special PC Codes'!B5+"r[&amp;!&gt;S"</f>
        <v>#VALUE!</v>
      </c>
      <c r="BL9" t="e">
        <f>'Special PC Codes'!A6+"r[&amp;!&gt;T"</f>
        <v>#VALUE!</v>
      </c>
      <c r="BM9" t="e">
        <f>'Special PC Codes'!B6+"r[&amp;!&gt;U"</f>
        <v>#VALUE!</v>
      </c>
      <c r="BN9" t="e">
        <f>'Special PC Codes'!A7+"r[&amp;!&gt;V"</f>
        <v>#VALUE!</v>
      </c>
      <c r="BO9" t="e">
        <f>'Special PC Codes'!B7+"r[&amp;!&gt;W"</f>
        <v>#VALUE!</v>
      </c>
      <c r="BP9" t="e">
        <f>'Special PC Codes'!A8+"r[&amp;!&gt;X"</f>
        <v>#VALUE!</v>
      </c>
      <c r="BQ9" t="e">
        <f>'Special PC Codes'!B8+"r[&amp;!&gt;Y"</f>
        <v>#VALUE!</v>
      </c>
      <c r="BR9" t="e">
        <f>'Special PC Codes'!A9+"r[&amp;!&gt;Z"</f>
        <v>#VALUE!</v>
      </c>
      <c r="BS9" t="e">
        <f>'Special PC Codes'!A10+"r[&amp;!&gt;["</f>
        <v>#VALUE!</v>
      </c>
      <c r="BT9" t="e">
        <f>'Special PC Codes'!A11+"r[&amp;!&gt;\"</f>
        <v>#VALUE!</v>
      </c>
      <c r="BU9" t="e">
        <f>'Special PC Codes'!A12+"r[&amp;!&gt;]"</f>
        <v>#VALUE!</v>
      </c>
      <c r="BV9" t="e">
        <f>'Special PC Codes'!B12+"r[&amp;!&gt;^"</f>
        <v>#VALUE!</v>
      </c>
      <c r="BW9" t="e">
        <f>'Special PC Codes'!A13+"r[&amp;!&gt;_"</f>
        <v>#VALUE!</v>
      </c>
      <c r="BX9" t="e">
        <f>'Special PC Codes'!B13+"r[&amp;!&gt;`"</f>
        <v>#VALUE!</v>
      </c>
      <c r="BY9" t="e">
        <f>'Special PC Codes'!A14+"r[&amp;!&gt;a"</f>
        <v>#VALUE!</v>
      </c>
      <c r="BZ9" t="e">
        <f>'Special PC Codes'!A15+"r[&amp;!&gt;b"</f>
        <v>#VALUE!</v>
      </c>
      <c r="CA9" t="e">
        <f>'Special PC Codes'!B15+"r[&amp;!&gt;c"</f>
        <v>#VALUE!</v>
      </c>
      <c r="CB9" t="e">
        <f>'Special PC Codes'!A16+"r[&amp;!&gt;d"</f>
        <v>#VALUE!</v>
      </c>
      <c r="CC9" t="e">
        <f>'Special PC Codes'!A17+"r[&amp;!&gt;e"</f>
        <v>#VALUE!</v>
      </c>
      <c r="CD9" t="e">
        <f>'Special PC Codes'!B17+"r[&amp;!&gt;f"</f>
        <v>#VALUE!</v>
      </c>
      <c r="CE9" t="e">
        <f>'Special PC Codes'!A18+"r[&amp;!&gt;g"</f>
        <v>#VALUE!</v>
      </c>
      <c r="CF9" t="e">
        <f>'Special PC Codes'!B18+"r[&amp;!&gt;h"</f>
        <v>#VALUE!</v>
      </c>
      <c r="CG9" t="e">
        <f>'Special PC Codes'!A19+"r[&amp;!&gt;i"</f>
        <v>#VALUE!</v>
      </c>
      <c r="CH9" t="e">
        <f>'Special PC Codes'!B19+"r[&amp;!&gt;j"</f>
        <v>#VALUE!</v>
      </c>
      <c r="CI9" t="e">
        <f>'Special PC Codes'!A20+"r[&amp;!&gt;k"</f>
        <v>#VALUE!</v>
      </c>
      <c r="CJ9" t="e">
        <f>'Special PC Codes'!B20+"r[&amp;!&gt;l"</f>
        <v>#VALUE!</v>
      </c>
      <c r="CK9" t="e">
        <f>'Special PC Codes'!C20+"r[&amp;!&gt;m"</f>
        <v>#VALUE!</v>
      </c>
      <c r="CL9" t="e">
        <f>'Special PC Codes'!A21+"r[&amp;!&gt;n"</f>
        <v>#VALUE!</v>
      </c>
      <c r="CM9" t="e">
        <f>'Special PC Codes'!B21+"r[&amp;!&gt;o"</f>
        <v>#VALUE!</v>
      </c>
      <c r="CN9" t="e">
        <f>'Special PC Codes'!A22+"r[&amp;!&gt;p"</f>
        <v>#VALUE!</v>
      </c>
      <c r="CO9" t="e">
        <f>'Special PC Codes'!B22+"r[&amp;!&gt;q"</f>
        <v>#VALUE!</v>
      </c>
      <c r="CP9" t="e">
        <f>'Special PC Codes'!A23+"r[&amp;!&gt;r"</f>
        <v>#VALUE!</v>
      </c>
      <c r="CQ9" t="e">
        <f>'Special PC Codes'!B23+"r[&amp;!&gt;s"</f>
        <v>#VALUE!</v>
      </c>
      <c r="CR9" t="e">
        <f>'Special PC Codes'!C23+"r[&amp;!&gt;t"</f>
        <v>#VALUE!</v>
      </c>
      <c r="CS9" t="e">
        <f>'Special PC Codes'!A24+"r[&amp;!&gt;u"</f>
        <v>#VALUE!</v>
      </c>
      <c r="CT9" t="e">
        <f>'Special PC Codes'!A25+"r[&amp;!&gt;v"</f>
        <v>#VALUE!</v>
      </c>
      <c r="CU9" t="e">
        <f>'Special PC Codes'!A26+"r[&amp;!&gt;w"</f>
        <v>#VALUE!</v>
      </c>
      <c r="CV9" t="e">
        <f>'Special PC Codes'!A27+"r[&amp;!&gt;x"</f>
        <v>#VALUE!</v>
      </c>
      <c r="CW9" t="e">
        <f>'Special PC Codes'!B27+"r[&amp;!&gt;y"</f>
        <v>#VALUE!</v>
      </c>
      <c r="CX9" t="e">
        <f>Sheet3!A:A*"r[&amp;!&gt;z"</f>
        <v>#VALUE!</v>
      </c>
      <c r="CY9" t="e">
        <f>Sheet3!B:B*"r[&amp;!&gt;{"</f>
        <v>#VALUE!</v>
      </c>
      <c r="CZ9" t="e">
        <f>Sheet3!C:C*"r[&amp;!&gt;|"</f>
        <v>#VALUE!</v>
      </c>
      <c r="DA9" t="e">
        <f>Sheet3!D:D*"r[&amp;!&gt;}"</f>
        <v>#VALUE!</v>
      </c>
      <c r="DB9" t="e">
        <f>Sheet3!E:E*"r[&amp;!&gt;~"</f>
        <v>#VALUE!</v>
      </c>
      <c r="DC9" t="e">
        <f>Sheet3!F:F*"r[&amp;!?#"</f>
        <v>#VALUE!</v>
      </c>
      <c r="DD9" t="e">
        <f>Sheet3!G:G*"r[&amp;!?$"</f>
        <v>#VALUE!</v>
      </c>
      <c r="DE9" t="e">
        <f>Sheet3!H:H*"r[&amp;!?%"</f>
        <v>#VALUE!</v>
      </c>
      <c r="DF9" t="e">
        <f>Sheet3!I:I*"r[&amp;!?&amp;"</f>
        <v>#VALUE!</v>
      </c>
      <c r="DG9" t="e">
        <f>Sheet3!J:J*"r[&amp;!?'"</f>
        <v>#VALUE!</v>
      </c>
      <c r="DH9" t="e">
        <f>Sheet3!K:K*"r[&amp;!?("</f>
        <v>#VALUE!</v>
      </c>
      <c r="DI9" t="e">
        <f>Sheet3!L:L*"r[&amp;!?)"</f>
        <v>#VALUE!</v>
      </c>
      <c r="DJ9" t="e">
        <f>Sheet3!M:M*"r[&amp;!?."</f>
        <v>#VALUE!</v>
      </c>
      <c r="DK9" t="e">
        <f>Sheet3!N:N*"r[&amp;!?/"</f>
        <v>#VALUE!</v>
      </c>
      <c r="DL9" t="e">
        <f>Sheet3!O:O*"r[&amp;!?0"</f>
        <v>#VALUE!</v>
      </c>
      <c r="DM9" t="e">
        <f>Sheet3!P:P*"r[&amp;!?1"</f>
        <v>#VALUE!</v>
      </c>
      <c r="DN9" t="e">
        <f>Sheet3!Q:Q*"r[&amp;!?2"</f>
        <v>#VALUE!</v>
      </c>
      <c r="DO9" t="e">
        <f>Sheet3!R:R*"r[&amp;!?3"</f>
        <v>#VALUE!</v>
      </c>
      <c r="DP9" t="e">
        <f>Sheet3!S:S*"r[&amp;!?4"</f>
        <v>#VALUE!</v>
      </c>
      <c r="DQ9" t="e">
        <f>Sheet3!T:T*"r[&amp;!?5"</f>
        <v>#VALUE!</v>
      </c>
      <c r="DR9" t="e">
        <f>Sheet3!U:U*"r[&amp;!?6"</f>
        <v>#VALUE!</v>
      </c>
      <c r="DS9" t="e">
        <f>Sheet3!V:V*"r[&amp;!?7"</f>
        <v>#VALUE!</v>
      </c>
      <c r="DT9" t="e">
        <f>Sheet3!W:W*"r[&amp;!?8"</f>
        <v>#VALUE!</v>
      </c>
      <c r="DU9" t="e">
        <f>Sheet3!X:X*"r[&amp;!?9"</f>
        <v>#VALUE!</v>
      </c>
      <c r="DV9" t="e">
        <f>Sheet3!Y:Y*"r[&amp;!?:"</f>
        <v>#VALUE!</v>
      </c>
      <c r="DW9" t="e">
        <f>Sheet3!Z:Z*"r[&amp;!?;"</f>
        <v>#VALUE!</v>
      </c>
      <c r="DX9" t="e">
        <f>Sheet3!AA:AA*"r[&amp;!?&lt;"</f>
        <v>#VALUE!</v>
      </c>
      <c r="DY9" t="e">
        <f>Sheet3!AB:AB*"r[&amp;!?="</f>
        <v>#VALUE!</v>
      </c>
      <c r="DZ9" t="e">
        <f>Sheet3!AC:AC*"r[&amp;!?&gt;"</f>
        <v>#VALUE!</v>
      </c>
      <c r="EA9" t="e">
        <f>Sheet3!AD:AD*"r[&amp;!??"</f>
        <v>#VALUE!</v>
      </c>
      <c r="EB9" t="e">
        <f>Sheet3!AE:AE*"r[&amp;!?@"</f>
        <v>#VALUE!</v>
      </c>
      <c r="EC9" t="e">
        <f>Sheet3!AF:AF*"r[&amp;!?A"</f>
        <v>#VALUE!</v>
      </c>
      <c r="ED9" t="e">
        <f>Sheet3!AG:AG*"r[&amp;!?B"</f>
        <v>#VALUE!</v>
      </c>
      <c r="EE9" t="e">
        <f>Sheet3!AH:AH*"r[&amp;!?C"</f>
        <v>#VALUE!</v>
      </c>
      <c r="EF9" t="e">
        <f>Sheet3!AI:AI*"r[&amp;!?D"</f>
        <v>#VALUE!</v>
      </c>
      <c r="EG9" t="e">
        <f>Sheet3!AJ:AJ*"r[&amp;!?E"</f>
        <v>#VALUE!</v>
      </c>
      <c r="EH9" t="e">
        <f>Sheet3!AK:AK*"r[&amp;!?F"</f>
        <v>#VALUE!</v>
      </c>
      <c r="EI9" t="e">
        <f>Sheet3!AL:AL*"r[&amp;!?G"</f>
        <v>#VALUE!</v>
      </c>
      <c r="EJ9" t="e">
        <f>Sheet3!AM:AM*"r[&amp;!?H"</f>
        <v>#VALUE!</v>
      </c>
      <c r="EK9" t="e">
        <f>Sheet3!AN:AN*"r[&amp;!?I"</f>
        <v>#VALUE!</v>
      </c>
      <c r="EL9" t="e">
        <f>Sheet3!AO:AO*"r[&amp;!?J"</f>
        <v>#VALUE!</v>
      </c>
      <c r="EM9" t="e">
        <f>Sheet3!AP:AP*"r[&amp;!?K"</f>
        <v>#VALUE!</v>
      </c>
      <c r="EN9" t="e">
        <f>Sheet3!AQ:AQ*"r[&amp;!?L"</f>
        <v>#VALUE!</v>
      </c>
      <c r="EO9" t="e">
        <f>Sheet3!AR:AR*"r[&amp;!?M"</f>
        <v>#VALUE!</v>
      </c>
      <c r="EP9" t="e">
        <f>Sheet3!AS:AS*"r[&amp;!?N"</f>
        <v>#VALUE!</v>
      </c>
      <c r="EQ9" t="e">
        <f>Sheet3!AT:AT*"r[&amp;!?O"</f>
        <v>#VALUE!</v>
      </c>
      <c r="ER9" t="e">
        <f>Sheet3!AU:AU*"r[&amp;!?P"</f>
        <v>#VALUE!</v>
      </c>
      <c r="ES9" t="e">
        <f>Sheet3!AV:AV*"r[&amp;!?Q"</f>
        <v>#VALUE!</v>
      </c>
      <c r="ET9" t="e">
        <f>Sheet3!AW:AW*"r[&amp;!?R"</f>
        <v>#VALUE!</v>
      </c>
      <c r="EU9" t="e">
        <f>Sheet3!AX:AX*"r[&amp;!?S"</f>
        <v>#VALUE!</v>
      </c>
      <c r="EV9" t="e">
        <f>Sheet3!AY:AY*"r[&amp;!?T"</f>
        <v>#VALUE!</v>
      </c>
      <c r="EW9" t="e">
        <f>Sheet3!1:1-"r[&amp;!?U"</f>
        <v>#VALUE!</v>
      </c>
      <c r="EX9" t="e">
        <f>Sheet3!2:2-"r[&amp;!?V"</f>
        <v>#VALUE!</v>
      </c>
      <c r="EY9" t="e">
        <f>Sheet3!3:3-"r[&amp;!?W"</f>
        <v>#VALUE!</v>
      </c>
      <c r="EZ9" t="e">
        <f>Sheet3!4:4-"r[&amp;!?X"</f>
        <v>#VALUE!</v>
      </c>
      <c r="FA9" t="e">
        <f>Sheet3!5:5-"r[&amp;!?Y"</f>
        <v>#VALUE!</v>
      </c>
      <c r="FB9" t="e">
        <f>Sheet3!6:6-"r[&amp;!?Z"</f>
        <v>#VALUE!</v>
      </c>
      <c r="FC9" t="e">
        <f>Sheet3!7:7-"r[&amp;!?["</f>
        <v>#VALUE!</v>
      </c>
      <c r="FD9" t="e">
        <f>Sheet3!8:8-"r[&amp;!?\"</f>
        <v>#VALUE!</v>
      </c>
      <c r="FE9" t="e">
        <f>Sheet3!9:9-"r[&amp;!?]"</f>
        <v>#VALUE!</v>
      </c>
      <c r="FF9" t="e">
        <f>Sheet3!10:10-"r[&amp;!?^"</f>
        <v>#VALUE!</v>
      </c>
      <c r="FG9" t="e">
        <f>Sheet3!11:11-"r[&amp;!?_"</f>
        <v>#VALUE!</v>
      </c>
      <c r="FH9" t="e">
        <f>Sheet3!12:12-"r[&amp;!?`"</f>
        <v>#VALUE!</v>
      </c>
      <c r="FI9" t="e">
        <f>Sheet3!13:13-"r[&amp;!?a"</f>
        <v>#VALUE!</v>
      </c>
      <c r="FJ9" t="e">
        <f>Sheet3!14:14-"r[&amp;!?b"</f>
        <v>#VALUE!</v>
      </c>
      <c r="FK9" t="e">
        <f>Sheet3!15:15-"r[&amp;!?c"</f>
        <v>#VALUE!</v>
      </c>
      <c r="FL9" t="e">
        <f>Sheet3!16:16-"r[&amp;!?d"</f>
        <v>#VALUE!</v>
      </c>
      <c r="FM9" t="e">
        <f>Sheet3!17:17-"r[&amp;!?e"</f>
        <v>#VALUE!</v>
      </c>
      <c r="FN9" t="e">
        <f>Sheet3!18:18-"r[&amp;!?f"</f>
        <v>#VALUE!</v>
      </c>
      <c r="FO9" t="e">
        <f>Sheet3!19:19-"r[&amp;!?g"</f>
        <v>#VALUE!</v>
      </c>
      <c r="FP9" t="e">
        <f>Sheet3!20:20-"r[&amp;!?h"</f>
        <v>#VALUE!</v>
      </c>
      <c r="FQ9" t="e">
        <f>Sheet3!21:21-"r[&amp;!?i"</f>
        <v>#VALUE!</v>
      </c>
      <c r="FR9" t="e">
        <f>Sheet3!22:22-"r[&amp;!?j"</f>
        <v>#VALUE!</v>
      </c>
      <c r="FS9" t="e">
        <f>Sheet3!23:23-"r[&amp;!?k"</f>
        <v>#VALUE!</v>
      </c>
      <c r="FT9" t="e">
        <f>Sheet3!24:24-"r[&amp;!?l"</f>
        <v>#VALUE!</v>
      </c>
      <c r="FU9" t="e">
        <f>Sheet3!25:25-"r[&amp;!?m"</f>
        <v>#VALUE!</v>
      </c>
      <c r="FV9" t="e">
        <f>Sheet3!26:26-"r[&amp;!?n"</f>
        <v>#VALUE!</v>
      </c>
      <c r="FW9" t="e">
        <f>Sheet3!27:27-"r[&amp;!?o"</f>
        <v>#VALUE!</v>
      </c>
      <c r="FX9" t="e">
        <f>Sheet3!28:28-"r[&amp;!?p"</f>
        <v>#VALUE!</v>
      </c>
      <c r="FY9" t="e">
        <f>Sheet3!29:29-"r[&amp;!?q"</f>
        <v>#VALUE!</v>
      </c>
      <c r="FZ9" t="e">
        <f>Sheet3!30:30-"r[&amp;!?r"</f>
        <v>#VALUE!</v>
      </c>
      <c r="GA9" t="e">
        <f>Sheet3!31:31-"r[&amp;!?s"</f>
        <v>#VALUE!</v>
      </c>
      <c r="GB9" t="e">
        <f>Sheet3!32:32-"r[&amp;!?t"</f>
        <v>#VALUE!</v>
      </c>
      <c r="GC9" t="e">
        <f>Sheet3!33:33-"r[&amp;!?u"</f>
        <v>#VALUE!</v>
      </c>
      <c r="GD9" t="e">
        <f>Sheet3!34:34-"r[&amp;!?v"</f>
        <v>#VALUE!</v>
      </c>
      <c r="GE9" t="e">
        <f>Sheet3!35:35-"r[&amp;!?w"</f>
        <v>#VALUE!</v>
      </c>
      <c r="GF9" t="e">
        <f>Sheet3!36:36-"r[&amp;!?x"</f>
        <v>#VALUE!</v>
      </c>
      <c r="GG9" t="e">
        <f>Sheet3!37:37-"r[&amp;!?y"</f>
        <v>#VALUE!</v>
      </c>
      <c r="GH9" t="e">
        <f>Sheet3!38:38-"r[&amp;!?z"</f>
        <v>#VALUE!</v>
      </c>
      <c r="GI9" t="e">
        <f>Sheet3!39:39-"r[&amp;!?{"</f>
        <v>#VALUE!</v>
      </c>
      <c r="GJ9" t="e">
        <f>Sheet3!40:40-"r[&amp;!?|"</f>
        <v>#VALUE!</v>
      </c>
      <c r="GK9" t="e">
        <f>Sheet3!41:41-"r[&amp;!?}"</f>
        <v>#VALUE!</v>
      </c>
      <c r="GL9" t="e">
        <f>Sheet3!42:42-"r[&amp;!?~"</f>
        <v>#VALUE!</v>
      </c>
      <c r="GM9" t="e">
        <f>Sheet3!43:43-"r[&amp;!@#"</f>
        <v>#VALUE!</v>
      </c>
      <c r="GN9" t="e">
        <f>Sheet3!44:44-"r[&amp;!@$"</f>
        <v>#VALUE!</v>
      </c>
      <c r="GO9" t="e">
        <f>Sheet3!45:45-"r[&amp;!@%"</f>
        <v>#VALUE!</v>
      </c>
      <c r="GP9" t="e">
        <f>Sheet3!46:46-"r[&amp;!@&amp;"</f>
        <v>#VALUE!</v>
      </c>
      <c r="GQ9" t="e">
        <f>Sheet3!47:47-"r[&amp;!@'"</f>
        <v>#VALUE!</v>
      </c>
      <c r="GR9" t="e">
        <f>Sheet3!48:48-"r[&amp;!@("</f>
        <v>#VALUE!</v>
      </c>
      <c r="GS9" t="e">
        <f>Sheet3!49:49-"r[&amp;!@)"</f>
        <v>#VALUE!</v>
      </c>
      <c r="GT9" t="e">
        <f>Sheet3!50:50-"r[&amp;!@."</f>
        <v>#VALUE!</v>
      </c>
      <c r="GU9" t="e">
        <f>Sheet3!51:51-"r[&amp;!@/"</f>
        <v>#VALUE!</v>
      </c>
      <c r="GV9" t="e">
        <f>Sheet3!52:52-"r[&amp;!@0"</f>
        <v>#VALUE!</v>
      </c>
      <c r="GW9" t="e">
        <f>Sheet3!53:53-"r[&amp;!@1"</f>
        <v>#VALUE!</v>
      </c>
      <c r="GX9" t="e">
        <f>Sheet3!54:54-"r[&amp;!@2"</f>
        <v>#VALUE!</v>
      </c>
      <c r="GY9" t="e">
        <f>Sheet3!55:55-"r[&amp;!@3"</f>
        <v>#VALUE!</v>
      </c>
      <c r="GZ9" t="e">
        <f>Sheet3!56:56-"r[&amp;!@4"</f>
        <v>#VALUE!</v>
      </c>
      <c r="HA9" t="e">
        <f>Sheet3!57:57-"r[&amp;!@5"</f>
        <v>#VALUE!</v>
      </c>
      <c r="HB9" t="e">
        <f>Sheet3!58:58-"r[&amp;!@6"</f>
        <v>#VALUE!</v>
      </c>
      <c r="HC9" t="e">
        <f>Sheet3!59:59-"r[&amp;!@7"</f>
        <v>#VALUE!</v>
      </c>
      <c r="HD9" t="e">
        <f>Sheet3!60:60-"r[&amp;!@8"</f>
        <v>#VALUE!</v>
      </c>
      <c r="HE9" t="e">
        <f>Sheet3!61:61-"r[&amp;!@9"</f>
        <v>#VALUE!</v>
      </c>
      <c r="HF9" t="e">
        <f>Sheet3!62:62-"r[&amp;!@:"</f>
        <v>#VALUE!</v>
      </c>
      <c r="HG9" t="e">
        <f>Sheet3!63:63-"r[&amp;!@;"</f>
        <v>#VALUE!</v>
      </c>
      <c r="HH9" t="e">
        <f>Sheet3!64:64-"r[&amp;!@&lt;"</f>
        <v>#VALUE!</v>
      </c>
      <c r="HI9" t="e">
        <f>Sheet3!65:65-"r[&amp;!@="</f>
        <v>#VALUE!</v>
      </c>
      <c r="HJ9" t="e">
        <f>Sheet3!66:66-"r[&amp;!@&gt;"</f>
        <v>#VALUE!</v>
      </c>
      <c r="HK9" t="e">
        <f>Sheet3!67:67-"r[&amp;!@?"</f>
        <v>#VALUE!</v>
      </c>
      <c r="HL9" t="e">
        <f>Sheet3!68:68-"r[&amp;!@@"</f>
        <v>#VALUE!</v>
      </c>
      <c r="HM9" t="e">
        <f>Sheet3!69:69-"r[&amp;!@A"</f>
        <v>#VALUE!</v>
      </c>
      <c r="HN9" t="e">
        <f>Sheet3!70:70-"r[&amp;!@B"</f>
        <v>#VALUE!</v>
      </c>
      <c r="HO9" t="e">
        <f>Sheet3!71:71-"r[&amp;!@C"</f>
        <v>#VALUE!</v>
      </c>
      <c r="HP9" t="e">
        <f>Sheet3!72:72-"r[&amp;!@D"</f>
        <v>#VALUE!</v>
      </c>
      <c r="HQ9" t="e">
        <f>Sheet3!73:73-"r[&amp;!@E"</f>
        <v>#VALUE!</v>
      </c>
      <c r="HR9" t="e">
        <f>Sheet3!74:74-"r[&amp;!@F"</f>
        <v>#VALUE!</v>
      </c>
      <c r="HS9" t="e">
        <f>Sheet3!75:75-"r[&amp;!@G"</f>
        <v>#VALUE!</v>
      </c>
      <c r="HT9" t="e">
        <f>Sheet3!76:76-"r[&amp;!@H"</f>
        <v>#VALUE!</v>
      </c>
      <c r="HU9" t="e">
        <f>Sheet3!77:77-"r[&amp;!@I"</f>
        <v>#VALUE!</v>
      </c>
      <c r="HV9" t="e">
        <f>Sheet3!78:78-"r[&amp;!@J"</f>
        <v>#VALUE!</v>
      </c>
      <c r="HW9" t="e">
        <f>Sheet3!79:79-"r[&amp;!@K"</f>
        <v>#VALUE!</v>
      </c>
      <c r="HX9" t="e">
        <f>Sheet3!80:80-"r[&amp;!@L"</f>
        <v>#VALUE!</v>
      </c>
      <c r="HY9" t="e">
        <f>Sheet3!81:81-"r[&amp;!@M"</f>
        <v>#VALUE!</v>
      </c>
      <c r="HZ9" t="e">
        <f>Sheet3!82:82-"r[&amp;!@N"</f>
        <v>#VALUE!</v>
      </c>
      <c r="IA9" t="e">
        <f>Sheet3!83:83-"r[&amp;!@O"</f>
        <v>#VALUE!</v>
      </c>
      <c r="IB9" t="e">
        <f>Sheet3!84:84-"r[&amp;!@P"</f>
        <v>#VALUE!</v>
      </c>
      <c r="IC9" t="e">
        <f>Sheet3!85:85-"r[&amp;!@Q"</f>
        <v>#VALUE!</v>
      </c>
      <c r="ID9" t="e">
        <f>Sheet3!86:86-"r[&amp;!@R"</f>
        <v>#VALUE!</v>
      </c>
      <c r="IE9" t="e">
        <f>Sheet3!87:87-"r[&amp;!@S"</f>
        <v>#VALUE!</v>
      </c>
      <c r="IF9" t="e">
        <f>Sheet3!88:88-"r[&amp;!@T"</f>
        <v>#VALUE!</v>
      </c>
      <c r="IG9" t="e">
        <f>Sheet3!89:89-"r[&amp;!@U"</f>
        <v>#VALUE!</v>
      </c>
      <c r="IH9" t="e">
        <f>Sheet3!90:90-"r[&amp;!@V"</f>
        <v>#VALUE!</v>
      </c>
      <c r="II9" t="e">
        <f>Sheet3!91:91-"r[&amp;!@W"</f>
        <v>#VALUE!</v>
      </c>
      <c r="IJ9" t="e">
        <f>Sheet3!92:92-"r[&amp;!@X"</f>
        <v>#VALUE!</v>
      </c>
      <c r="IK9" t="e">
        <f>Sheet3!93:93-"r[&amp;!@Y"</f>
        <v>#VALUE!</v>
      </c>
      <c r="IL9" t="e">
        <f>Sheet3!94:94-"r[&amp;!@Z"</f>
        <v>#VALUE!</v>
      </c>
      <c r="IM9" t="e">
        <f>Sheet3!95:95-"r[&amp;!@["</f>
        <v>#VALUE!</v>
      </c>
      <c r="IN9" t="e">
        <f>Sheet3!96:96-"r[&amp;!@\"</f>
        <v>#VALUE!</v>
      </c>
      <c r="IO9" t="e">
        <f>Sheet3!97:97-"r[&amp;!@]"</f>
        <v>#VALUE!</v>
      </c>
      <c r="IP9" t="e">
        <f>Sheet3!98:98-"r[&amp;!@^"</f>
        <v>#VALUE!</v>
      </c>
      <c r="IQ9" t="e">
        <f>Sheet3!99:99-"r[&amp;!@_"</f>
        <v>#VALUE!</v>
      </c>
      <c r="IR9" t="e">
        <f>Sheet3!100:100-"r[&amp;!@`"</f>
        <v>#VALUE!</v>
      </c>
      <c r="IS9" t="e">
        <f>Sheet3!101:101-"r[&amp;!@a"</f>
        <v>#VALUE!</v>
      </c>
      <c r="IT9" t="e">
        <f>Sheet3!102:102-"r[&amp;!@b"</f>
        <v>#VALUE!</v>
      </c>
      <c r="IU9" t="e">
        <f>Sheet3!103:103-"r[&amp;!@c"</f>
        <v>#VALUE!</v>
      </c>
      <c r="IV9" t="e">
        <f>Sheet3!104:104-"r[&amp;!@d"</f>
        <v>#VALUE!</v>
      </c>
    </row>
    <row r="10" spans="1:256">
      <c r="A10" t="s">
        <v>1407</v>
      </c>
      <c r="F10" t="e">
        <f>Sheet3!105:105-"r[&amp;!@e"</f>
        <v>#VALUE!</v>
      </c>
      <c r="G10" t="e">
        <f>Sheet3!106:106-"r[&amp;!@f"</f>
        <v>#VALUE!</v>
      </c>
      <c r="H10" t="e">
        <f>Sheet3!107:107-"r[&amp;!@g"</f>
        <v>#VALUE!</v>
      </c>
      <c r="I10" t="e">
        <f>Sheet3!108:108-"r[&amp;!@h"</f>
        <v>#VALUE!</v>
      </c>
      <c r="J10" t="e">
        <f>Sheet3!109:109-"r[&amp;!@i"</f>
        <v>#VALUE!</v>
      </c>
      <c r="K10" t="e">
        <f>Sheet3!110:110-"r[&amp;!@j"</f>
        <v>#VALUE!</v>
      </c>
      <c r="L10" t="e">
        <f>Sheet3!111:111-"r[&amp;!@k"</f>
        <v>#VALUE!</v>
      </c>
      <c r="M10" t="e">
        <f>Sheet3!112:112-"r[&amp;!@l"</f>
        <v>#VALUE!</v>
      </c>
      <c r="N10" t="e">
        <f>Sheet3!113:113-"r[&amp;!@m"</f>
        <v>#VALUE!</v>
      </c>
      <c r="O10" t="e">
        <f>Sheet3!114:114-"r[&amp;!@n"</f>
        <v>#VALUE!</v>
      </c>
      <c r="P10" t="e">
        <f>Sheet3!115:115-"r[&amp;!@o"</f>
        <v>#VALUE!</v>
      </c>
      <c r="Q10" t="e">
        <f>Sheet3!116:116-"r[&amp;!@p"</f>
        <v>#VALUE!</v>
      </c>
      <c r="R10" t="e">
        <f>Sheet3!117:117-"r[&amp;!@q"</f>
        <v>#VALUE!</v>
      </c>
      <c r="S10" t="e">
        <f>Sheet3!118:118-"r[&amp;!@r"</f>
        <v>#VALUE!</v>
      </c>
      <c r="T10" t="e">
        <f>Sheet3!119:119-"r[&amp;!@s"</f>
        <v>#VALUE!</v>
      </c>
      <c r="U10" t="e">
        <f>Sheet3!120:120-"r[&amp;!@t"</f>
        <v>#VALUE!</v>
      </c>
      <c r="V10" t="e">
        <f>Sheet3!121:121-"r[&amp;!@u"</f>
        <v>#VALUE!</v>
      </c>
      <c r="W10" t="e">
        <f>Sheet3!122:122-"r[&amp;!@v"</f>
        <v>#VALUE!</v>
      </c>
      <c r="X10" t="e">
        <f>Sheet3!123:123-"r[&amp;!@w"</f>
        <v>#VALUE!</v>
      </c>
      <c r="Y10" t="e">
        <f>Sheet3!124:124-"r[&amp;!@x"</f>
        <v>#VALUE!</v>
      </c>
      <c r="Z10" t="e">
        <f>Sheet3!125:125-"r[&amp;!@y"</f>
        <v>#VALUE!</v>
      </c>
      <c r="AA10" t="e">
        <f>Sheet3!126:126-"r[&amp;!@z"</f>
        <v>#VALUE!</v>
      </c>
      <c r="AB10" t="e">
        <f>Sheet3!127:127-"r[&amp;!@{"</f>
        <v>#VALUE!</v>
      </c>
      <c r="AC10" t="e">
        <f>Sheet3!128:128-"r[&amp;!@|"</f>
        <v>#VALUE!</v>
      </c>
      <c r="AD10" t="e">
        <f>Sheet3!129:129-"r[&amp;!@}"</f>
        <v>#VALUE!</v>
      </c>
      <c r="AE10" t="e">
        <f>Sheet3!130:130-"r[&amp;!@~"</f>
        <v>#VALUE!</v>
      </c>
      <c r="AF10" t="e">
        <f>Sheet3!131:131-"r[&amp;!A#"</f>
        <v>#VALUE!</v>
      </c>
      <c r="AG10" t="e">
        <f>Sheet3!132:132-"r[&amp;!A$"</f>
        <v>#VALUE!</v>
      </c>
      <c r="AH10" t="e">
        <f>Sheet3!133:133-"r[&amp;!A%"</f>
        <v>#VALUE!</v>
      </c>
      <c r="AI10" t="e">
        <f>Sheet3!134:134-"r[&amp;!A&amp;"</f>
        <v>#VALUE!</v>
      </c>
      <c r="AJ10" t="e">
        <f>Sheet3!135:135-"r[&amp;!A'"</f>
        <v>#VALUE!</v>
      </c>
      <c r="AK10" t="e">
        <f>Sheet3!136:136-"r[&amp;!A("</f>
        <v>#VALUE!</v>
      </c>
      <c r="AL10" t="e">
        <f>Sheet3!137:137-"r[&amp;!A)"</f>
        <v>#VALUE!</v>
      </c>
      <c r="AM10" t="e">
        <f>Sheet3!138:138-"r[&amp;!A."</f>
        <v>#VALUE!</v>
      </c>
      <c r="AN10" t="e">
        <f>Sheet3!139:139-"r[&amp;!A/"</f>
        <v>#VALUE!</v>
      </c>
      <c r="AO10" t="e">
        <f>Sheet3!140:140-"r[&amp;!A0"</f>
        <v>#VALUE!</v>
      </c>
      <c r="AP10" t="e">
        <f>Sheet3!141:141-"r[&amp;!A1"</f>
        <v>#VALUE!</v>
      </c>
      <c r="AQ10" t="e">
        <f>Sheet3!142:142-"r[&amp;!A2"</f>
        <v>#VALUE!</v>
      </c>
      <c r="AR10" t="e">
        <f>Sheet3!143:143-"r[&amp;!A3"</f>
        <v>#VALUE!</v>
      </c>
      <c r="AS10" t="e">
        <f>Sheet3!144:144-"r[&amp;!A4"</f>
        <v>#VALUE!</v>
      </c>
      <c r="AT10" t="e">
        <f>Sheet3!145:145-"r[&amp;!A5"</f>
        <v>#VALUE!</v>
      </c>
      <c r="AU10" t="e">
        <f>Sheet3!146:146-"r[&amp;!A6"</f>
        <v>#VALUE!</v>
      </c>
      <c r="AV10" t="e">
        <f>Sheet3!147:147-"r[&amp;!A7"</f>
        <v>#VALUE!</v>
      </c>
      <c r="AW10" t="e">
        <f>Sheet3!148:148-"r[&amp;!A8"</f>
        <v>#VALUE!</v>
      </c>
      <c r="AX10" t="e">
        <f>Sheet3!149:149-"r[&amp;!A9"</f>
        <v>#VALUE!</v>
      </c>
      <c r="AY10" t="e">
        <f>Sheet3!150:150-"r[&amp;!A:"</f>
        <v>#VALUE!</v>
      </c>
      <c r="AZ10" t="e">
        <f>Sheet3!151:151-"r[&amp;!A;"</f>
        <v>#VALUE!</v>
      </c>
      <c r="BA10" t="e">
        <f>Sheet3!152:152-"r[&amp;!A&lt;"</f>
        <v>#VALUE!</v>
      </c>
      <c r="BB10" t="e">
        <f>Sheet3!153:153-"r[&amp;!A="</f>
        <v>#VALUE!</v>
      </c>
      <c r="BC10" t="e">
        <f>Sheet3!154:154-"r[&amp;!A&gt;"</f>
        <v>#VALUE!</v>
      </c>
      <c r="BD10" t="e">
        <f>Sheet3!155:155-"r[&amp;!A?"</f>
        <v>#VALUE!</v>
      </c>
      <c r="BE10" t="e">
        <f>Sheet3!156:156-"r[&amp;!A@"</f>
        <v>#VALUE!</v>
      </c>
      <c r="BF10" t="e">
        <f>Sheet3!157:157-"r[&amp;!AA"</f>
        <v>#VALUE!</v>
      </c>
      <c r="BG10" t="e">
        <f>Sheet3!158:158-"r[&amp;!AB"</f>
        <v>#VALUE!</v>
      </c>
      <c r="BH10" t="e">
        <f>'Site Codes'!502:502-"$6yz!%"</f>
        <v>#VALUE!</v>
      </c>
      <c r="BI10" t="e">
        <f>'Site Codes'!503:503-"$6yz!&amp;"</f>
        <v>#VALUE!</v>
      </c>
      <c r="BJ10" t="e">
        <f>'Site Codes'!504:504-"$6yz!'"</f>
        <v>#VALUE!</v>
      </c>
      <c r="BK10" t="e">
        <f>'Site Codes'!505:505-"$6yz!("</f>
        <v>#VALUE!</v>
      </c>
      <c r="BL10" t="e">
        <f>'Site Codes'!506:506-"$6yz!)"</f>
        <v>#VALUE!</v>
      </c>
      <c r="BM10" t="e">
        <f>'Site Codes'!507:507-"$6yz!."</f>
        <v>#VALUE!</v>
      </c>
      <c r="BN10" t="e">
        <f>'Site Codes'!508:508-"$6yz!/"</f>
        <v>#VALUE!</v>
      </c>
      <c r="BO10" t="e">
        <f>'Site Codes'!509:509-"$6yz!0"</f>
        <v>#VALUE!</v>
      </c>
      <c r="BP10" t="e">
        <f>'Site Codes'!510:510-"$6yz!1"</f>
        <v>#VALUE!</v>
      </c>
      <c r="BQ10" t="e">
        <f>'Site Codes'!511:511-"$6yz!2"</f>
        <v>#VALUE!</v>
      </c>
      <c r="BR10" t="e">
        <f>'Site Codes'!512:512-"$6yz!3"</f>
        <v>#VALUE!</v>
      </c>
      <c r="BS10" t="e">
        <f>'Site Codes'!513:513-"$6yz!4"</f>
        <v>#VALUE!</v>
      </c>
      <c r="BT10" t="e">
        <f>'Site Codes'!514:514-"$6yz!5"</f>
        <v>#VALUE!</v>
      </c>
      <c r="BU10" t="e">
        <f>'Site Codes'!515:515-"$6yz!6"</f>
        <v>#VALUE!</v>
      </c>
      <c r="BV10" t="e">
        <f>'Site Codes'!516:516-"$6yz!7"</f>
        <v>#VALUE!</v>
      </c>
      <c r="BW10" t="e">
        <f>'Site Codes'!517:517-"$6yz!8"</f>
        <v>#VALUE!</v>
      </c>
      <c r="BX10" t="e">
        <f>'Site Codes'!518:518-"$6yz!9"</f>
        <v>#VALUE!</v>
      </c>
      <c r="BY10" t="e">
        <f>'Site Codes'!519:519-"$6yz!:"</f>
        <v>#VALUE!</v>
      </c>
      <c r="BZ10" t="e">
        <f>'Site Codes'!520:520-"$6yz!;"</f>
        <v>#VALUE!</v>
      </c>
      <c r="CA10" t="e">
        <f>'Site Codes'!521:521-"$6yz!&lt;"</f>
        <v>#VALUE!</v>
      </c>
      <c r="CB10" t="e">
        <f>'Site Codes'!522:522-"$6yz!="</f>
        <v>#VALUE!</v>
      </c>
      <c r="CC10" t="e">
        <f>'Site Codes'!523:523-"$6yz!&gt;"</f>
        <v>#VALUE!</v>
      </c>
      <c r="CD10" t="e">
        <f>_xlfn.SINGLE('Site Codes'!#REF!)-"$6yz!?"</f>
        <v>#REF!</v>
      </c>
      <c r="CE10" t="e">
        <f>'Site Codes'!524:524-"$6yz!@"</f>
        <v>#VALUE!</v>
      </c>
      <c r="CF10" t="e">
        <f>'Site Codes'!525:525-"$6yz!A"</f>
        <v>#VALUE!</v>
      </c>
      <c r="CG10" t="e">
        <f>'Site Codes'!526:526-"$6yz!B"</f>
        <v>#VALUE!</v>
      </c>
      <c r="CH10" t="e">
        <f>'Site Codes'!527:527-"$6yz!C"</f>
        <v>#VALUE!</v>
      </c>
      <c r="CI10" t="e">
        <f>'Site Codes'!528:528-"$6yz!D"</f>
        <v>#VALUE!</v>
      </c>
      <c r="CJ10" t="e">
        <f>'Site Codes'!529:529-"$6yz!E"</f>
        <v>#VALUE!</v>
      </c>
      <c r="CK10" t="e">
        <f>'Site Codes'!530:530-"$6yz!F"</f>
        <v>#VALUE!</v>
      </c>
      <c r="CL10" t="e">
        <f>'Site Codes'!531:531-"$6yz!G"</f>
        <v>#VALUE!</v>
      </c>
      <c r="CM10" t="e">
        <f>'Site Codes'!532:532-"$6yz!H"</f>
        <v>#VALUE!</v>
      </c>
      <c r="CN10" t="e">
        <f>'Site Codes'!533:533-"$6yz!I"</f>
        <v>#VALUE!</v>
      </c>
      <c r="CO10" t="e">
        <f>'Site Codes'!534:534-"$6yz!J"</f>
        <v>#VALUE!</v>
      </c>
      <c r="CP10" t="e">
        <f>'Site Codes'!535:535-"$6yz!K"</f>
        <v>#VALUE!</v>
      </c>
      <c r="CQ10" t="e">
        <f>'Site Codes'!536:536-"$6yz!L"</f>
        <v>#VALUE!</v>
      </c>
      <c r="CR10" t="e">
        <f>'Site Codes'!537:537-"$6yz!M"</f>
        <v>#VALUE!</v>
      </c>
      <c r="CS10" t="e">
        <f>'Site Codes'!538:538-"$6yz!N"</f>
        <v>#VALUE!</v>
      </c>
      <c r="CT10" t="e">
        <f>'Site Codes'!539:539-"$6yz!O"</f>
        <v>#VALUE!</v>
      </c>
      <c r="CU10" t="e">
        <f>'Site Codes'!540:540-"$6yz!P"</f>
        <v>#VALUE!</v>
      </c>
      <c r="CV10" t="e">
        <f>'Site Codes'!541:541-"$6yz!Q"</f>
        <v>#VALUE!</v>
      </c>
      <c r="CW10" t="e">
        <f>'Site Codes'!542:542-"$6yz!R"</f>
        <v>#VALUE!</v>
      </c>
      <c r="CX10" t="e">
        <f>'Site Codes'!543:543-"$6yz!S"</f>
        <v>#VALUE!</v>
      </c>
      <c r="CY10" t="e">
        <f>'Site Codes'!544:544-"$6yz!T"</f>
        <v>#VALUE!</v>
      </c>
      <c r="CZ10" t="e">
        <f>'Site Codes'!545:545-"$6yz!U"</f>
        <v>#VALUE!</v>
      </c>
      <c r="DA10" t="e">
        <f>'Site Codes'!546:546-"$6yz!V"</f>
        <v>#VALUE!</v>
      </c>
      <c r="DB10" t="e">
        <f>'Site Codes'!547:547-"$6yz!W"</f>
        <v>#VALUE!</v>
      </c>
      <c r="DC10" t="e">
        <f>'Site Codes'!548:548-"$6yz!X"</f>
        <v>#VALUE!</v>
      </c>
      <c r="DD10" t="e">
        <f>'Site Codes'!549:549-"$6yz!Y"</f>
        <v>#VALUE!</v>
      </c>
      <c r="DE10" t="e">
        <f>'Site Codes'!550:550-"$6yz!Z"</f>
        <v>#VALUE!</v>
      </c>
      <c r="DF10" t="e">
        <f>'Site Codes'!551:551-"$6yz!["</f>
        <v>#VALUE!</v>
      </c>
      <c r="DG10" t="e">
        <f>'Site Codes'!552:552-"$6yz!\"</f>
        <v>#VALUE!</v>
      </c>
      <c r="DH10" t="e">
        <f>'Site Codes'!553:553-"$6yz!]"</f>
        <v>#VALUE!</v>
      </c>
      <c r="DI10" t="e">
        <f>'Site Codes'!554:554-"$6yz!^"</f>
        <v>#VALUE!</v>
      </c>
      <c r="DJ10" t="e">
        <f>'Site Codes'!555:555-"$6yz!_"</f>
        <v>#VALUE!</v>
      </c>
      <c r="DK10" t="e">
        <f>'Site Codes'!556:556-"$6yz!`"</f>
        <v>#VALUE!</v>
      </c>
      <c r="DL10" t="e">
        <f>'Site Codes'!557:557-"$6yz!a"</f>
        <v>#VALUE!</v>
      </c>
      <c r="DM10" t="e">
        <f>'Site Codes'!558:558-"$6yz!b"</f>
        <v>#VALUE!</v>
      </c>
      <c r="DN10" t="e">
        <f>'Site Codes'!559:559-"$6yz!c"</f>
        <v>#VALUE!</v>
      </c>
      <c r="DO10" t="e">
        <f>'Site Codes'!560:560-"$6yz!d"</f>
        <v>#VALUE!</v>
      </c>
      <c r="DP10" t="e">
        <f>'Site Codes'!561:561-"$6yz!e"</f>
        <v>#VALUE!</v>
      </c>
      <c r="DQ10" t="e">
        <f>'Site Codes'!562:562-"$6yz!f"</f>
        <v>#VALUE!</v>
      </c>
      <c r="DR10" t="e">
        <f>'Site Codes'!563:563-"$6yz!g"</f>
        <v>#VALUE!</v>
      </c>
      <c r="DS10" t="e">
        <f>'Site Codes'!564:564-"$6yz!h"</f>
        <v>#VALUE!</v>
      </c>
      <c r="DT10" t="e">
        <f>'Site Codes'!565:565-"$6yz!i"</f>
        <v>#VALUE!</v>
      </c>
      <c r="DU10" t="e">
        <f>'Site Codes'!566:566-"$6yz!j"</f>
        <v>#VALUE!</v>
      </c>
      <c r="DV10" t="e">
        <f>'Site Codes'!567:567-"$6yz!k"</f>
        <v>#VALUE!</v>
      </c>
      <c r="DW10" t="e">
        <f>'Site Codes'!568:568-"$6yz!l"</f>
        <v>#VALUE!</v>
      </c>
      <c r="DX10" t="e">
        <f>'Site Codes'!569:569-"$6yz!m"</f>
        <v>#VALUE!</v>
      </c>
      <c r="DY10" t="e">
        <f>'Site Codes'!570:570-"$6yz!n"</f>
        <v>#VALUE!</v>
      </c>
      <c r="DZ10" t="e">
        <f>'Site Codes'!571:571-"$6yz!o"</f>
        <v>#VALUE!</v>
      </c>
      <c r="EA10" t="e">
        <f>'Site Codes'!572:572-"$6yz!p"</f>
        <v>#VALUE!</v>
      </c>
      <c r="EB10" t="e">
        <f>'Site Codes'!573:573-"$6yz!q"</f>
        <v>#VALUE!</v>
      </c>
      <c r="EC10" t="e">
        <f>'Site Codes'!574:574-"$6yz!r"</f>
        <v>#VALUE!</v>
      </c>
      <c r="ED10" t="e">
        <f>'Site Codes'!575:575-"$6yz!s"</f>
        <v>#VALUE!</v>
      </c>
      <c r="EE10" t="e">
        <f>'Site Codes'!576:576-"$6yz!t"</f>
        <v>#VALUE!</v>
      </c>
      <c r="EF10" t="e">
        <f>'Site Codes'!577:577-"$6yz!u"</f>
        <v>#VALUE!</v>
      </c>
      <c r="EG10" t="e">
        <f>'Site Codes'!578:578-"$6yz!v"</f>
        <v>#VALUE!</v>
      </c>
      <c r="EH10" t="e">
        <f>'Site Codes'!579:579-"$6yz!w"</f>
        <v>#VALUE!</v>
      </c>
      <c r="EI10" t="e">
        <f>'Site Codes'!580:580-"$6yz!x"</f>
        <v>#VALUE!</v>
      </c>
      <c r="EJ10" t="e">
        <f>'Site Codes'!581:581-"$6yz!y"</f>
        <v>#VALUE!</v>
      </c>
      <c r="EK10" s="1" t="e">
        <f>'Site Codes'!D301+"$6yz!z"</f>
        <v>#VALUE!</v>
      </c>
      <c r="EL10" s="1" t="e">
        <f>'Site Codes'!D302+"$6yz!{"</f>
        <v>#VALUE!</v>
      </c>
      <c r="EM10" s="1" t="e">
        <f>'Site Codes'!D303+"$6yz!|"</f>
        <v>#VALUE!</v>
      </c>
      <c r="EN10" s="1" t="e">
        <f>'Site Codes'!D304+"$6yz!}"</f>
        <v>#VALUE!</v>
      </c>
      <c r="EO10" s="1" t="e">
        <f>'Site Codes'!D305+"$6yz!~"</f>
        <v>#VALUE!</v>
      </c>
      <c r="EP10" s="1" t="e">
        <f>'Site Codes'!D306+"$6yz!$#"</f>
        <v>#VALUE!</v>
      </c>
      <c r="EQ10" s="1" t="e">
        <f>'Site Codes'!D307+"$6yz!$$"</f>
        <v>#VALUE!</v>
      </c>
      <c r="ER10" s="1" t="e">
        <f>'Site Codes'!D308+"$6yz!$%"</f>
        <v>#VALUE!</v>
      </c>
      <c r="ES10" s="1" t="e">
        <f>'Site Codes'!D309+"$6yz!$&amp;"</f>
        <v>#VALUE!</v>
      </c>
      <c r="ET10" t="e">
        <f>'Site Codes'!D310+"$6yz!$'"</f>
        <v>#VALUE!</v>
      </c>
      <c r="EU10" t="e">
        <f>'Site Codes'!D311+"$6yz!$("</f>
        <v>#VALUE!</v>
      </c>
      <c r="EV10" t="e">
        <f>'Site Codes'!D312+"$6yz!$)"</f>
        <v>#VALUE!</v>
      </c>
      <c r="EW10" t="e">
        <f>'Site Codes'!D313+"$6yz!$."</f>
        <v>#VALUE!</v>
      </c>
      <c r="EX10" t="e">
        <f>'Site Codes'!D314+"$6yz!$/"</f>
        <v>#VALUE!</v>
      </c>
      <c r="EY10" t="e">
        <f>'Site Codes'!D315+"$6yz!$0"</f>
        <v>#VALUE!</v>
      </c>
      <c r="EZ10" t="e">
        <f>'Site Codes'!D316+"$6yz!$1"</f>
        <v>#VALUE!</v>
      </c>
      <c r="FA10" t="e">
        <f>'Site Codes'!D317+"$6yz!$2"</f>
        <v>#VALUE!</v>
      </c>
      <c r="FB10" t="e">
        <f>'Site Codes'!D318+"$6yz!$3"</f>
        <v>#VALUE!</v>
      </c>
      <c r="FC10" t="e">
        <f>'Site Codes'!D319+"$6yz!$4"</f>
        <v>#VALUE!</v>
      </c>
      <c r="FD10" t="e">
        <f>'Site Codes'!D320+"$6yz!$5"</f>
        <v>#VALUE!</v>
      </c>
      <c r="FE10" t="e">
        <f>'Site Codes'!D321+"$6yz!$6"</f>
        <v>#VALUE!</v>
      </c>
      <c r="FF10" t="e">
        <f>'Site Codes'!D322+"$6yz!$7"</f>
        <v>#VALUE!</v>
      </c>
      <c r="FG10" t="e">
        <f>'Site Codes'!D323+"$6yz!$8"</f>
        <v>#VALUE!</v>
      </c>
      <c r="FH10" t="e">
        <f>'Site Codes'!D324+"$6yz!$9"</f>
        <v>#VALUE!</v>
      </c>
      <c r="FI10" t="e">
        <f>'Site Codes'!D325+"$6yz!$:"</f>
        <v>#VALUE!</v>
      </c>
      <c r="FJ10" t="e">
        <f>'Site Codes'!D326+"$6yz!$;"</f>
        <v>#VALUE!</v>
      </c>
      <c r="FK10" t="e">
        <f>'Site Codes'!D327+"$6yz!$&lt;"</f>
        <v>#VALUE!</v>
      </c>
      <c r="FL10" t="e">
        <f>'Site Codes'!D328+"$6yz!$="</f>
        <v>#VALUE!</v>
      </c>
      <c r="FM10" t="e">
        <f>'Site Codes'!D329+"$6yz!$&gt;"</f>
        <v>#VALUE!</v>
      </c>
      <c r="FN10" t="e">
        <f>'Site Codes'!D330+"$6yz!$?"</f>
        <v>#VALUE!</v>
      </c>
      <c r="FO10" t="e">
        <f>'Site Codes'!D331+"$6yz!$@"</f>
        <v>#VALUE!</v>
      </c>
      <c r="FP10" t="e">
        <f>'Site Codes'!D332+"$6yz!$A"</f>
        <v>#VALUE!</v>
      </c>
      <c r="FQ10" t="e">
        <f>'Site Codes'!D333+"$6yz!$B"</f>
        <v>#VALUE!</v>
      </c>
      <c r="FR10" t="e">
        <f>'Site Codes'!D334+"$6yz!$C"</f>
        <v>#VALUE!</v>
      </c>
      <c r="FS10" t="e">
        <f>'Site Codes'!D335+"$6yz!$D"</f>
        <v>#VALUE!</v>
      </c>
      <c r="FT10" t="e">
        <f>'Site Codes'!D336+"$6yz!$E"</f>
        <v>#VALUE!</v>
      </c>
      <c r="FU10" t="e">
        <f>'Site Codes'!D337+"$6yz!$F"</f>
        <v>#VALUE!</v>
      </c>
      <c r="FV10" t="e">
        <f>'Site Codes'!D338+"$6yz!$G"</f>
        <v>#VALUE!</v>
      </c>
      <c r="FW10" t="e">
        <f>'Site Codes'!D339+"$6yz!$H"</f>
        <v>#VALUE!</v>
      </c>
      <c r="FX10" t="e">
        <f>'Site Codes'!D340+"$6yz!$I"</f>
        <v>#VALUE!</v>
      </c>
      <c r="FY10" t="e">
        <f>'Site Codes'!D341+"$6yz!$J"</f>
        <v>#VALUE!</v>
      </c>
      <c r="FZ10" t="e">
        <f>'Site Codes'!D342+"$6yz!$K"</f>
        <v>#VALUE!</v>
      </c>
      <c r="GA10" t="e">
        <f>'Site Codes'!D343+"$6yz!$L"</f>
        <v>#VALUE!</v>
      </c>
      <c r="GB10" t="e">
        <f>'Site Codes'!D344+"$6yz!$M"</f>
        <v>#VALUE!</v>
      </c>
      <c r="GC10" t="e">
        <f>'Site Codes'!E344+"$6yz!$N"</f>
        <v>#VALUE!</v>
      </c>
      <c r="GD10" t="e">
        <f>'Site Codes'!F344+"$6yz!$O"</f>
        <v>#VALUE!</v>
      </c>
      <c r="GE10" t="e">
        <f>'Site Codes'!G344+"$6yz!$P"</f>
        <v>#VALUE!</v>
      </c>
      <c r="GF10" t="e">
        <f>'Site Codes'!H344+"$6yz!$Q"</f>
        <v>#VALUE!</v>
      </c>
      <c r="GG10" t="e">
        <f>'Site Codes'!D345+"$6yz!$R"</f>
        <v>#VALUE!</v>
      </c>
      <c r="GH10" t="e">
        <f>'Site Codes'!D346+"$6yz!$S"</f>
        <v>#VALUE!</v>
      </c>
      <c r="GI10" t="e">
        <f>'Site Codes'!D347+"$6yz!$T"</f>
        <v>#VALUE!</v>
      </c>
      <c r="GJ10" t="e">
        <f>'Site Codes'!D348+"$6yz!$U"</f>
        <v>#VALUE!</v>
      </c>
      <c r="GK10" t="e">
        <f>'Site Codes'!D349+"$6yz!$V"</f>
        <v>#VALUE!</v>
      </c>
      <c r="GL10" t="e">
        <f>'Site Codes'!D350+"$6yz!$W"</f>
        <v>#VALUE!</v>
      </c>
      <c r="GM10" t="e">
        <f>'Site Codes'!D351+"$6yz!$X"</f>
        <v>#VALUE!</v>
      </c>
      <c r="GN10" t="e">
        <f>'Site Codes'!D352+"$6yz!$Y"</f>
        <v>#VALUE!</v>
      </c>
      <c r="GO10" t="e">
        <f>'Site Codes'!D353+"$6yz!$Z"</f>
        <v>#VALUE!</v>
      </c>
      <c r="GP10" t="e">
        <f>'Site Codes'!D354+"$6yz!$["</f>
        <v>#VALUE!</v>
      </c>
      <c r="GQ10" t="e">
        <f>'Site Codes'!D355+"$6yz!$\"</f>
        <v>#VALUE!</v>
      </c>
      <c r="GR10" t="e">
        <f>'Site Codes'!D356+"$6yz!$]"</f>
        <v>#VALUE!</v>
      </c>
      <c r="GS10" t="e">
        <f>'Site Codes'!D357+"$6yz!$^"</f>
        <v>#VALUE!</v>
      </c>
      <c r="GT10" t="e">
        <f>'Site Codes'!D358+"$6yz!$_"</f>
        <v>#VALUE!</v>
      </c>
      <c r="GU10" t="e">
        <f>'Site Codes'!D359+"$6yz!$`"</f>
        <v>#VALUE!</v>
      </c>
      <c r="GV10" t="e">
        <f>'Site Codes'!D360+"$6yz!$a"</f>
        <v>#VALUE!</v>
      </c>
      <c r="GW10" t="e">
        <f>'Site Codes'!D361+"$6yz!$b"</f>
        <v>#VALUE!</v>
      </c>
      <c r="GX10" t="e">
        <f>'Site Codes'!D362+"$6yz!$c"</f>
        <v>#VALUE!</v>
      </c>
      <c r="GY10" t="e">
        <f>'Site Codes'!D363+"$6yz!$d"</f>
        <v>#VALUE!</v>
      </c>
      <c r="GZ10" t="e">
        <f>'Site Codes'!D364+"$6yz!$e"</f>
        <v>#VALUE!</v>
      </c>
      <c r="HA10" t="e">
        <f>'Site Codes'!D365+"$6yz!$f"</f>
        <v>#VALUE!</v>
      </c>
      <c r="HB10" t="e">
        <f>'Site Codes'!D366+"$6yz!$g"</f>
        <v>#VALUE!</v>
      </c>
      <c r="HC10" t="e">
        <f>'Site Codes'!D367+"$6yz!$h"</f>
        <v>#VALUE!</v>
      </c>
      <c r="HD10" t="e">
        <f>'Site Codes'!D368+"$6yz!$i"</f>
        <v>#VALUE!</v>
      </c>
      <c r="HE10" t="e">
        <f>'Site Codes'!D369+"$6yz!$j"</f>
        <v>#VALUE!</v>
      </c>
      <c r="HF10" t="e">
        <f>'Site Codes'!D370+"$6yz!$k"</f>
        <v>#VALUE!</v>
      </c>
      <c r="HG10" t="e">
        <f>'Site Codes'!D371+"$6yz!$l"</f>
        <v>#VALUE!</v>
      </c>
      <c r="HH10" t="e">
        <f>'Site Codes'!D372+"$6yz!$m"</f>
        <v>#VALUE!</v>
      </c>
      <c r="HI10" t="e">
        <f>'Site Codes'!D373+"$6yz!$n"</f>
        <v>#VALUE!</v>
      </c>
      <c r="HJ10" t="e">
        <f>'Site Codes'!D374+"$6yz!$o"</f>
        <v>#VALUE!</v>
      </c>
      <c r="HK10" t="e">
        <f>'Site Codes'!D375+"$6yz!$p"</f>
        <v>#VALUE!</v>
      </c>
      <c r="HL10" t="e">
        <f>'Site Codes'!D376+"$6yz!$q"</f>
        <v>#VALUE!</v>
      </c>
      <c r="HM10" t="e">
        <f>'Site Codes'!D377+"$6yz!$r"</f>
        <v>#VALUE!</v>
      </c>
      <c r="HN10" t="e">
        <f>'Site Codes'!D378+"$6yz!$s"</f>
        <v>#VALUE!</v>
      </c>
      <c r="HO10" t="e">
        <f>'Site Codes'!D379+"$6yz!$t"</f>
        <v>#VALUE!</v>
      </c>
    </row>
    <row r="11" spans="1:256">
      <c r="A11" t="s">
        <v>1408</v>
      </c>
    </row>
    <row r="12" spans="1:256">
      <c r="A12" t="s">
        <v>1409</v>
      </c>
    </row>
    <row r="13" spans="1:256">
      <c r="A13" t="s">
        <v>1410</v>
      </c>
    </row>
    <row r="14" spans="1:256">
      <c r="A14" t="s">
        <v>1411</v>
      </c>
    </row>
    <row r="15" spans="1:256">
      <c r="A15" t="s">
        <v>1412</v>
      </c>
    </row>
    <row r="16" spans="1:256">
      <c r="A16" t="s">
        <v>1413</v>
      </c>
    </row>
    <row r="17" spans="1:1">
      <c r="A17" t="s">
        <v>1414</v>
      </c>
    </row>
    <row r="18" spans="1:1">
      <c r="A18" t="s">
        <v>1415</v>
      </c>
    </row>
    <row r="19" spans="1:1">
      <c r="A19" t="s">
        <v>1416</v>
      </c>
    </row>
    <row r="20" spans="1:1">
      <c r="A20" t="s">
        <v>1417</v>
      </c>
    </row>
    <row r="21" spans="1:1">
      <c r="A21" t="s">
        <v>1418</v>
      </c>
    </row>
    <row r="22" spans="1:1">
      <c r="A22" t="s">
        <v>1419</v>
      </c>
    </row>
    <row r="23" spans="1:1">
      <c r="A23" t="s">
        <v>1420</v>
      </c>
    </row>
    <row r="24" spans="1:1">
      <c r="A24" t="s">
        <v>1421</v>
      </c>
    </row>
    <row r="25" spans="1:1">
      <c r="A25" t="s">
        <v>1422</v>
      </c>
    </row>
    <row r="26" spans="1:1">
      <c r="A26" t="s">
        <v>1423</v>
      </c>
    </row>
    <row r="27" spans="1:1">
      <c r="A27" t="s">
        <v>1424</v>
      </c>
    </row>
    <row r="28" spans="1:1">
      <c r="A28" t="s">
        <v>1425</v>
      </c>
    </row>
    <row r="29" spans="1:1">
      <c r="A29" t="s">
        <v>1426</v>
      </c>
    </row>
    <row r="30" spans="1:1">
      <c r="A30" t="s">
        <v>1427</v>
      </c>
    </row>
    <row r="31" spans="1:1">
      <c r="A31" t="s">
        <v>1428</v>
      </c>
    </row>
    <row r="32" spans="1:1">
      <c r="A32" t="s">
        <v>1429</v>
      </c>
    </row>
    <row r="33" spans="1:1">
      <c r="A33" t="s">
        <v>1430</v>
      </c>
    </row>
    <row r="34" spans="1:1">
      <c r="A34" t="s">
        <v>1431</v>
      </c>
    </row>
    <row r="35" spans="1:1">
      <c r="A35" t="s">
        <v>1432</v>
      </c>
    </row>
    <row r="36" spans="1:1">
      <c r="A36" t="s">
        <v>1433</v>
      </c>
    </row>
    <row r="37" spans="1:1">
      <c r="A37" t="s">
        <v>1434</v>
      </c>
    </row>
    <row r="38" spans="1:1">
      <c r="A38" t="s">
        <v>1435</v>
      </c>
    </row>
    <row r="39" spans="1:1">
      <c r="A39" t="s">
        <v>1436</v>
      </c>
    </row>
    <row r="40" spans="1:1">
      <c r="A40" t="s">
        <v>1437</v>
      </c>
    </row>
    <row r="41" spans="1:1">
      <c r="A41" t="s">
        <v>1438</v>
      </c>
    </row>
    <row r="42" spans="1:1">
      <c r="A42" t="s">
        <v>1439</v>
      </c>
    </row>
    <row r="43" spans="1:1">
      <c r="A43" t="s">
        <v>1440</v>
      </c>
    </row>
    <row r="44" spans="1:1">
      <c r="A44" t="s">
        <v>1441</v>
      </c>
    </row>
    <row r="45" spans="1:1">
      <c r="A45" t="s">
        <v>1442</v>
      </c>
    </row>
    <row r="46" spans="1:1">
      <c r="A46" t="s">
        <v>1443</v>
      </c>
    </row>
    <row r="47" spans="1:1">
      <c r="A47" t="s">
        <v>1444</v>
      </c>
    </row>
    <row r="48" spans="1:1">
      <c r="A48" t="s">
        <v>1445</v>
      </c>
    </row>
    <row r="49" spans="1:1">
      <c r="A49" t="s">
        <v>1446</v>
      </c>
    </row>
    <row r="50" spans="1:1">
      <c r="A50" t="s">
        <v>1447</v>
      </c>
    </row>
    <row r="51" spans="1:1">
      <c r="A51" t="s">
        <v>1448</v>
      </c>
    </row>
  </sheetData>
  <customSheetViews>
    <customSheetView guid="{66D5434F-97F5-4D22-9C23-700B42C56302}" state="veryHidden">
      <pageMargins left="0" right="0" top="0" bottom="0" header="0" footer="0"/>
    </customSheetView>
    <customSheetView guid="{73D4A972-8423-463D-92ED-00F3151FD702}" state="veryHidden">
      <pageMargins left="0" right="0" top="0" bottom="0" header="0" footer="0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iginalCreationDate xmlns="89ff350e-557b-44d9-b255-927eefb3f01e" xsi:nil="true"/>
    <DocCategory xmlns="89ff350e-557b-44d9-b255-927eefb3f01e" xsi:nil="true"/>
    <OriginalAuthor xmlns="89ff350e-557b-44d9-b255-927eefb3f01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9C9A89ECB41C47972B934847A33B30" ma:contentTypeVersion="14" ma:contentTypeDescription="Create a new document." ma:contentTypeScope="" ma:versionID="10452d4c37c448caf2502a4cfc7df5b8">
  <xsd:schema xmlns:xsd="http://www.w3.org/2001/XMLSchema" xmlns:xs="http://www.w3.org/2001/XMLSchema" xmlns:p="http://schemas.microsoft.com/office/2006/metadata/properties" xmlns:ns2="348af41a-ed67-44b7-b025-a07f57bc71b1" xmlns:ns3="89ff350e-557b-44d9-b255-927eefb3f01e" targetNamespace="http://schemas.microsoft.com/office/2006/metadata/properties" ma:root="true" ma:fieldsID="adde47c0b281fe4b88598ceb0000bb7a" ns2:_="" ns3:_="">
    <xsd:import namespace="348af41a-ed67-44b7-b025-a07f57bc71b1"/>
    <xsd:import namespace="89ff350e-557b-44d9-b255-927eefb3f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DocCategory" minOccurs="0"/>
                <xsd:element ref="ns3:OriginalCreationDate" minOccurs="0"/>
                <xsd:element ref="ns3:OriginalAuthor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af41a-ed67-44b7-b025-a07f57bc71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ff350e-557b-44d9-b255-927eefb3f01e" elementFormDefault="qualified">
    <xsd:import namespace="http://schemas.microsoft.com/office/2006/documentManagement/types"/>
    <xsd:import namespace="http://schemas.microsoft.com/office/infopath/2007/PartnerControls"/>
    <xsd:element name="DocCategory" ma:index="14" nillable="true" ma:displayName="DocCategory" ma:internalName="DocCategory">
      <xsd:simpleType>
        <xsd:restriction base="dms:Text">
          <xsd:maxLength value="255"/>
        </xsd:restriction>
      </xsd:simpleType>
    </xsd:element>
    <xsd:element name="OriginalCreationDate" ma:index="15" nillable="true" ma:displayName="OriginalCreationDate" ma:format="DateOnly" ma:internalName="OriginalCreationDate">
      <xsd:simpleType>
        <xsd:restriction base="dms:DateTime"/>
      </xsd:simpleType>
    </xsd:element>
    <xsd:element name="OriginalAuthor" ma:index="16" nillable="true" ma:displayName="OriginalAuthor" ma:internalName="OriginalAutho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F6EE90-0CA1-4A31-9670-047A948C85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B76798-AA5D-44AF-AA8E-B48DECB128B8}">
  <ds:schemaRefs>
    <ds:schemaRef ds:uri="http://schemas.microsoft.com/office/2006/metadata/properties"/>
    <ds:schemaRef ds:uri="http://schemas.microsoft.com/office/infopath/2007/PartnerControls"/>
    <ds:schemaRef ds:uri="89ff350e-557b-44d9-b255-927eefb3f01e"/>
  </ds:schemaRefs>
</ds:datastoreItem>
</file>

<file path=customXml/itemProps3.xml><?xml version="1.0" encoding="utf-8"?>
<ds:datastoreItem xmlns:ds="http://schemas.openxmlformats.org/officeDocument/2006/customXml" ds:itemID="{B311AF6C-B386-40AB-A639-F8659F25E8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8af41a-ed67-44b7-b025-a07f57bc71b1"/>
    <ds:schemaRef ds:uri="89ff350e-557b-44d9-b255-927eefb3f0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 Codes</vt:lpstr>
      <vt:lpstr>Special PC Codes</vt:lpstr>
      <vt:lpstr>Sheet3</vt:lpstr>
    </vt:vector>
  </TitlesOfParts>
  <Manager/>
  <Company>Mylan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Fouts</dc:creator>
  <cp:keywords/>
  <dc:description/>
  <cp:lastModifiedBy>Keshavamurti Vadavi</cp:lastModifiedBy>
  <cp:revision/>
  <dcterms:created xsi:type="dcterms:W3CDTF">2007-10-22T21:03:24Z</dcterms:created>
  <dcterms:modified xsi:type="dcterms:W3CDTF">2024-08-27T05:46:49Z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ffisync_UniqueId">
    <vt:lpwstr>39577</vt:lpwstr>
  </property>
  <property fmtid="{D5CDD505-2E9C-101B-9397-08002B2CF9AE}" pid="3" name="Jive_ModifiedButNotPublished">
    <vt:lpwstr/>
  </property>
  <property fmtid="{D5CDD505-2E9C-101B-9397-08002B2CF9AE}" pid="4" name="Offisync_ProviderInitializationData">
    <vt:lpwstr>https://jive.mylan.com</vt:lpwstr>
  </property>
  <property fmtid="{D5CDD505-2E9C-101B-9397-08002B2CF9AE}" pid="5" name="Offisync_ServerID">
    <vt:lpwstr>377fbd00-b9d1-4358-9de3-43764a5985b4</vt:lpwstr>
  </property>
  <property fmtid="{D5CDD505-2E9C-101B-9397-08002B2CF9AE}" pid="6" name="Jive_VersionGuid_v2.5">
    <vt:lpwstr/>
  </property>
  <property fmtid="{D5CDD505-2E9C-101B-9397-08002B2CF9AE}" pid="7" name="Jive_LatestUserAccountName">
    <vt:lpwstr>m503610</vt:lpwstr>
  </property>
  <property fmtid="{D5CDD505-2E9C-101B-9397-08002B2CF9AE}" pid="8" name="Jive_PrevVersionNumber">
    <vt:lpwstr/>
  </property>
  <property fmtid="{D5CDD505-2E9C-101B-9397-08002B2CF9AE}" pid="9" name="Jive_LatestFileFullName">
    <vt:lpwstr/>
  </property>
  <property fmtid="{D5CDD505-2E9C-101B-9397-08002B2CF9AE}" pid="10" name="Offisync_UpdateToken">
    <vt:lpwstr>46</vt:lpwstr>
  </property>
  <property fmtid="{D5CDD505-2E9C-101B-9397-08002B2CF9AE}" pid="11" name="Jive_VersionGuid">
    <vt:lpwstr>ff22a91e077b414b84ffd81b8eeb90bb</vt:lpwstr>
  </property>
  <property fmtid="{D5CDD505-2E9C-101B-9397-08002B2CF9AE}" pid="12" name="ContentTypeId">
    <vt:lpwstr>0x010100C89C9A89ECB41C47972B934847A33B30</vt:lpwstr>
  </property>
  <property fmtid="{D5CDD505-2E9C-101B-9397-08002B2CF9AE}" pid="13" name="MSIP_Label_d56ee2b5-6f31-444f-a952-51f9d8d772b6_Enabled">
    <vt:lpwstr>true</vt:lpwstr>
  </property>
  <property fmtid="{D5CDD505-2E9C-101B-9397-08002B2CF9AE}" pid="14" name="MSIP_Label_d56ee2b5-6f31-444f-a952-51f9d8d772b6_SetDate">
    <vt:lpwstr>2024-04-03T18:18:31Z</vt:lpwstr>
  </property>
  <property fmtid="{D5CDD505-2E9C-101B-9397-08002B2CF9AE}" pid="15" name="MSIP_Label_d56ee2b5-6f31-444f-a952-51f9d8d772b6_Method">
    <vt:lpwstr>Privileged</vt:lpwstr>
  </property>
  <property fmtid="{D5CDD505-2E9C-101B-9397-08002B2CF9AE}" pid="16" name="MSIP_Label_d56ee2b5-6f31-444f-a952-51f9d8d772b6_Name">
    <vt:lpwstr>Confidential</vt:lpwstr>
  </property>
  <property fmtid="{D5CDD505-2E9C-101B-9397-08002B2CF9AE}" pid="17" name="MSIP_Label_d56ee2b5-6f31-444f-a952-51f9d8d772b6_SiteId">
    <vt:lpwstr>b7dcea4e-d150-4ba1-8b2a-c8b27a75525c</vt:lpwstr>
  </property>
  <property fmtid="{D5CDD505-2E9C-101B-9397-08002B2CF9AE}" pid="18" name="MSIP_Label_d56ee2b5-6f31-444f-a952-51f9d8d772b6_ActionId">
    <vt:lpwstr>f68cd76c-2a71-44d4-9cf2-6ad690f8fe6f</vt:lpwstr>
  </property>
  <property fmtid="{D5CDD505-2E9C-101B-9397-08002B2CF9AE}" pid="19" name="MSIP_Label_d56ee2b5-6f31-444f-a952-51f9d8d772b6_ContentBits">
    <vt:lpwstr>0</vt:lpwstr>
  </property>
</Properties>
</file>