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CT196\Desktop\LIRV 2\Life Insurance and Retirement Valuation Exams 2019\LIRV Questions and Solutions_Semester 1 2019\"/>
    </mc:Choice>
  </mc:AlternateContent>
  <xr:revisionPtr revIDLastSave="0" documentId="13_ncr:1_{DBA8678C-5099-47A3-AA00-1CCF27CCC7F5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Q3 Inputs" sheetId="1" r:id="rId1"/>
    <sheet name="Q3b Projected cash flows" sheetId="2" r:id="rId2"/>
    <sheet name="Q3c AV" sheetId="3" r:id="rId3"/>
    <sheet name="Q3g Movements" sheetId="5" r:id="rId4"/>
  </sheets>
  <definedNames>
    <definedName name="claims">'Q3 Inputs'!$B$11</definedName>
    <definedName name="exp_solv">'Q3 Inputs'!$C$13</definedName>
    <definedName name="expenses">'Q3 Inputs'!$B$13</definedName>
    <definedName name="hurdle">'Q3 Inputs'!$B$16</definedName>
    <definedName name="inv_rate">'Q3 Inputs'!$B$15</definedName>
    <definedName name="mort_solv">'Q3 Inputs'!$C$14</definedName>
    <definedName name="mortality">'Q3 Inputs'!$B$14</definedName>
    <definedName name="premium">'Q3 Inputs'!$B$12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3" l="1"/>
  <c r="N9" i="3"/>
  <c r="N7" i="3"/>
  <c r="K7" i="2" l="1"/>
  <c r="D12" i="5" l="1"/>
  <c r="D13" i="5" s="1"/>
  <c r="F32" i="3"/>
  <c r="B27" i="3"/>
  <c r="B28" i="3" s="1"/>
  <c r="D28" i="3" s="1"/>
  <c r="D26" i="3"/>
  <c r="D12" i="3"/>
  <c r="G9" i="3"/>
  <c r="H9" i="3" s="1"/>
  <c r="G8" i="3"/>
  <c r="I8" i="3" s="1"/>
  <c r="G7" i="3"/>
  <c r="H7" i="3" s="1"/>
  <c r="D14" i="5" s="1"/>
  <c r="E7" i="2"/>
  <c r="E8" i="2" s="1"/>
  <c r="E9" i="2" s="1"/>
  <c r="F9" i="2" s="1"/>
  <c r="H9" i="2" s="1"/>
  <c r="D7" i="2"/>
  <c r="D8" i="2" s="1"/>
  <c r="C7" i="2"/>
  <c r="F7" i="2" s="1"/>
  <c r="H7" i="2" s="1"/>
  <c r="I7" i="2" l="1"/>
  <c r="L7" i="2" s="1"/>
  <c r="G8" i="2" s="1"/>
  <c r="J7" i="2"/>
  <c r="F8" i="2"/>
  <c r="H8" i="2" s="1"/>
  <c r="I9" i="2"/>
  <c r="J9" i="2"/>
  <c r="D15" i="5"/>
  <c r="J7" i="3"/>
  <c r="H8" i="3"/>
  <c r="K8" i="3" s="1"/>
  <c r="J8" i="3"/>
  <c r="J9" i="3"/>
  <c r="D14" i="3"/>
  <c r="E28" i="3"/>
  <c r="F28" i="3"/>
  <c r="F26" i="3"/>
  <c r="D27" i="3"/>
  <c r="E26" i="3"/>
  <c r="J26" i="3" s="1"/>
  <c r="G26" i="3"/>
  <c r="H26" i="3" s="1"/>
  <c r="C27" i="3" s="1"/>
  <c r="G27" i="3" s="1"/>
  <c r="I7" i="3"/>
  <c r="K7" i="3" s="1"/>
  <c r="I9" i="3"/>
  <c r="K9" i="3" s="1"/>
  <c r="D15" i="3" l="1"/>
  <c r="D16" i="3" s="1"/>
  <c r="L7" i="3"/>
  <c r="L11" i="3" s="1"/>
  <c r="L9" i="3"/>
  <c r="L8" i="3"/>
  <c r="K8" i="2"/>
  <c r="I8" i="2"/>
  <c r="J8" i="2"/>
  <c r="E27" i="3"/>
  <c r="F27" i="3"/>
  <c r="J28" i="3"/>
  <c r="I26" i="3"/>
  <c r="L8" i="2" l="1"/>
  <c r="G9" i="2" s="1"/>
  <c r="K9" i="2" s="1"/>
  <c r="L9" i="2" s="1"/>
  <c r="J27" i="3"/>
  <c r="K26" i="3" s="1"/>
  <c r="F37" i="3"/>
  <c r="H27" i="3"/>
  <c r="C28" i="3" s="1"/>
  <c r="G28" i="3" s="1"/>
  <c r="I27" i="3"/>
  <c r="K27" i="3" s="1"/>
  <c r="H28" i="3" l="1"/>
  <c r="I28" i="3"/>
  <c r="K28" i="3" s="1"/>
  <c r="K30" i="3" s="1"/>
  <c r="F33" i="3" s="1"/>
  <c r="F38" i="3" s="1"/>
  <c r="F39" i="3" s="1"/>
  <c r="A53" i="5" l="1"/>
  <c r="A54" i="5" s="1"/>
  <c r="A46" i="5"/>
  <c r="A47" i="5" s="1"/>
  <c r="A40" i="5"/>
  <c r="A39" i="5"/>
  <c r="A31" i="5"/>
  <c r="A32" i="5" s="1"/>
  <c r="A23" i="5"/>
  <c r="A24" i="5" s="1"/>
  <c r="A9" i="3" l="1"/>
  <c r="A8" i="3"/>
  <c r="A7" i="3"/>
</calcChain>
</file>

<file path=xl/sharedStrings.xml><?xml version="1.0" encoding="utf-8"?>
<sst xmlns="http://schemas.openxmlformats.org/spreadsheetml/2006/main" count="122" uniqueCount="82">
  <si>
    <t>Question 3</t>
  </si>
  <si>
    <t>Term (years)</t>
  </si>
  <si>
    <t>Inputs</t>
  </si>
  <si>
    <t>Age at purchase</t>
  </si>
  <si>
    <t>Date of purchase</t>
  </si>
  <si>
    <t>Assumptions</t>
  </si>
  <si>
    <t>Gender</t>
  </si>
  <si>
    <t>F</t>
  </si>
  <si>
    <t>Claims (% premium)</t>
  </si>
  <si>
    <t>Annual premium</t>
  </si>
  <si>
    <t>Expenses (% premium)</t>
  </si>
  <si>
    <t>Mortality p.a</t>
  </si>
  <si>
    <t>Investment return p.a</t>
  </si>
  <si>
    <t>Hurdle rate p.a</t>
  </si>
  <si>
    <t>Sales volumes</t>
  </si>
  <si>
    <t>Year</t>
  </si>
  <si>
    <t>2017 sales</t>
  </si>
  <si>
    <t>Policies (boy)</t>
  </si>
  <si>
    <t>2018 sales</t>
  </si>
  <si>
    <t>2019 sales</t>
  </si>
  <si>
    <t>2016 sales</t>
  </si>
  <si>
    <t>Best Estimate</t>
  </si>
  <si>
    <t>Solvency</t>
  </si>
  <si>
    <t>Data:</t>
  </si>
  <si>
    <t xml:space="preserve">Volume </t>
  </si>
  <si>
    <t>Actual</t>
  </si>
  <si>
    <t>Expected</t>
  </si>
  <si>
    <t xml:space="preserve">Investment </t>
  </si>
  <si>
    <t>Lapse</t>
  </si>
  <si>
    <t>Death</t>
  </si>
  <si>
    <t>Question 3 c AV calcuation</t>
  </si>
  <si>
    <t>Step 1:  4800 policies</t>
  </si>
  <si>
    <t>Step 2: 6% assets</t>
  </si>
  <si>
    <t xml:space="preserve">Step 3: </t>
  </si>
  <si>
    <t>20 deaths</t>
  </si>
  <si>
    <t>Step 4:  7% lapse</t>
  </si>
  <si>
    <t>Overall movements</t>
  </si>
  <si>
    <t>Sales</t>
  </si>
  <si>
    <t>Question 3 b</t>
  </si>
  <si>
    <t>Extend the table to calculate the cash flows and profit</t>
  </si>
  <si>
    <t xml:space="preserve">EXTEND THE COLUMNS TO CALCULATE THE VEB </t>
  </si>
  <si>
    <t>Expected deaths in 2019 - this has to be derived from the original assumptions</t>
  </si>
  <si>
    <t>Question 3 g Movement Calculations</t>
  </si>
  <si>
    <t>Value of future business: Hint - start with one year's new business</t>
  </si>
  <si>
    <t>ANW</t>
  </si>
  <si>
    <t>Retained earnings
(boy)</t>
  </si>
  <si>
    <t>The retained earnings represents the accumulated profit as at the end of 2018.</t>
  </si>
  <si>
    <t>Policy Liability
(boy)</t>
  </si>
  <si>
    <t>You are instructed to ignore future  investment returns on any assets held at the end of 2018  that exceed the retained earnings figure when calculating profit arising in future years.</t>
  </si>
  <si>
    <t>Premiums (boy)</t>
  </si>
  <si>
    <t>Claims (eoy)</t>
  </si>
  <si>
    <t>Expenses (eoy)</t>
  </si>
  <si>
    <t>Investment earnings</t>
  </si>
  <si>
    <t>Investment earnings (eoy)</t>
  </si>
  <si>
    <t>Profit (eoy)</t>
  </si>
  <si>
    <t>(MC: Not sure what the intsruction above was intented to achieve. Full credit if investment earning included premiums + assets held as at end 2018)</t>
  </si>
  <si>
    <t>Value of existing business: Copy your table from 'Q3b projected cash flows' and extend to calculate the VEB. Take care with the changed heading for column f.</t>
  </si>
  <si>
    <t>Solvency Margin (boy)</t>
  </si>
  <si>
    <t>Distributable profit (EOY)</t>
  </si>
  <si>
    <t>Cash assets</t>
  </si>
  <si>
    <t>less o/s claim</t>
  </si>
  <si>
    <t>less UPR</t>
  </si>
  <si>
    <t>less Solvency margin</t>
  </si>
  <si>
    <t>Look at one year's new business</t>
  </si>
  <si>
    <t>2020 sales</t>
  </si>
  <si>
    <t>Assets
(boy)</t>
  </si>
  <si>
    <t>Claims
(eoy)</t>
  </si>
  <si>
    <t>Investment Earnings (eoy)</t>
  </si>
  <si>
    <t>Assets
(eoy)</t>
  </si>
  <si>
    <r>
      <t>Profit</t>
    </r>
    <r>
      <rPr>
        <b/>
        <vertAlign val="super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
(eoy)</t>
    </r>
  </si>
  <si>
    <t xml:space="preserve">Solvency margin </t>
  </si>
  <si>
    <t xml:space="preserve">Assuming 10% return and flat sales, annuity factor is </t>
  </si>
  <si>
    <t>VNB</t>
  </si>
  <si>
    <t>Total EV</t>
  </si>
  <si>
    <t>AV</t>
  </si>
  <si>
    <t>7% due at end 2020 - means 7% of 2018 policies at start of 2019 did not pay premium</t>
  </si>
  <si>
    <t>Number policies</t>
  </si>
  <si>
    <t>Death rate</t>
  </si>
  <si>
    <t>expected claims</t>
  </si>
  <si>
    <t>Actual claims</t>
  </si>
  <si>
    <t>Assets</t>
  </si>
  <si>
    <t>ANW + VEB (up to the 2019 sales tranche)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</si>
</sst>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0.0%"/>
    <numFmt numFmtId="166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166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8" fontId="2" fillId="0" borderId="0" xfId="0" applyNumberFormat="1" applyFont="1"/>
    <xf numFmtId="0" fontId="1" fillId="2" borderId="0" xfId="0" applyFont="1" applyFill="1"/>
    <xf numFmtId="9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" fontId="0" fillId="3" borderId="0" xfId="0" applyNumberFormat="1" applyFill="1"/>
    <xf numFmtId="164" fontId="0" fillId="4" borderId="0" xfId="0" applyNumberFormat="1" applyFill="1"/>
    <xf numFmtId="8" fontId="0" fillId="0" borderId="0" xfId="0" applyNumberFormat="1"/>
    <xf numFmtId="0" fontId="1" fillId="2" borderId="0" xfId="0" applyFont="1" applyFill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'Q3c AV'!$K$26:$K$28</c:f>
              <c:numCache>
                <c:formatCode>"$"#,##0</c:formatCode>
                <c:ptCount val="3"/>
                <c:pt idx="0">
                  <c:v>907668</c:v>
                </c:pt>
                <c:pt idx="1">
                  <c:v>949944.99600000028</c:v>
                </c:pt>
                <c:pt idx="2">
                  <c:v>3527410.1040000003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F-46D5-9E38-C01F11E9C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'Q3c AV'!$L$7:$L$9</c:f>
              <c:numCache>
                <c:formatCode>#,##0</c:formatCode>
                <c:ptCount val="3"/>
                <c:pt idx="0">
                  <c:v>3439020.8910000012</c:v>
                </c:pt>
                <c:pt idx="1">
                  <c:v>3330592.1579999994</c:v>
                </c:pt>
                <c:pt idx="2">
                  <c:v>2862745.92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F-46D5-9E38-C01F11E9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16272"/>
        <c:axId val="488072208"/>
      </c:lineChart>
      <c:catAx>
        <c:axId val="3894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2208"/>
        <c:crosses val="autoZero"/>
        <c:auto val="1"/>
        <c:lblAlgn val="ctr"/>
        <c:lblOffset val="100"/>
        <c:noMultiLvlLbl val="0"/>
      </c:catAx>
      <c:valAx>
        <c:axId val="488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15</xdr:row>
      <xdr:rowOff>98425</xdr:rowOff>
    </xdr:from>
    <xdr:to>
      <xdr:col>17</xdr:col>
      <xdr:colOff>3175</xdr:colOff>
      <xdr:row>28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778BF-1FEA-43F9-8AC3-59027ACB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2" workbookViewId="0">
      <selection activeCell="B14" sqref="B14"/>
    </sheetView>
  </sheetViews>
  <sheetFormatPr defaultRowHeight="14.5" x14ac:dyDescent="0.35"/>
  <cols>
    <col min="1" max="1" width="21.54296875" customWidth="1"/>
  </cols>
  <sheetData>
    <row r="1" spans="1:3" ht="23.5" x14ac:dyDescent="0.55000000000000004">
      <c r="A1" s="3" t="s">
        <v>0</v>
      </c>
    </row>
    <row r="3" spans="1:3" ht="21" x14ac:dyDescent="0.5">
      <c r="A3" s="2" t="s">
        <v>2</v>
      </c>
    </row>
    <row r="4" spans="1:3" x14ac:dyDescent="0.35">
      <c r="A4" t="s">
        <v>1</v>
      </c>
      <c r="B4">
        <v>3</v>
      </c>
    </row>
    <row r="5" spans="1:3" x14ac:dyDescent="0.35">
      <c r="A5" t="s">
        <v>6</v>
      </c>
      <c r="B5" s="5" t="s">
        <v>7</v>
      </c>
    </row>
    <row r="6" spans="1:3" x14ac:dyDescent="0.35">
      <c r="A6" t="s">
        <v>3</v>
      </c>
      <c r="B6">
        <v>50</v>
      </c>
    </row>
    <row r="7" spans="1:3" x14ac:dyDescent="0.35">
      <c r="A7" t="s">
        <v>4</v>
      </c>
      <c r="B7" s="4">
        <v>43466</v>
      </c>
    </row>
    <row r="9" spans="1:3" ht="21" x14ac:dyDescent="0.5">
      <c r="A9" s="2" t="s">
        <v>5</v>
      </c>
      <c r="B9" s="7"/>
      <c r="C9" s="7"/>
    </row>
    <row r="10" spans="1:3" ht="30.5" x14ac:dyDescent="0.5">
      <c r="A10" s="2"/>
      <c r="B10" s="7" t="s">
        <v>21</v>
      </c>
      <c r="C10" s="7" t="s">
        <v>22</v>
      </c>
    </row>
    <row r="11" spans="1:3" x14ac:dyDescent="0.35">
      <c r="A11" t="s">
        <v>8</v>
      </c>
      <c r="B11" s="17">
        <v>0.7</v>
      </c>
    </row>
    <row r="12" spans="1:3" x14ac:dyDescent="0.35">
      <c r="A12" t="s">
        <v>9</v>
      </c>
      <c r="B12" s="19">
        <v>600</v>
      </c>
    </row>
    <row r="13" spans="1:3" x14ac:dyDescent="0.35">
      <c r="A13" t="s">
        <v>10</v>
      </c>
      <c r="B13" s="17">
        <v>0.1</v>
      </c>
      <c r="C13" s="17">
        <v>0.11</v>
      </c>
    </row>
    <row r="14" spans="1:3" x14ac:dyDescent="0.35">
      <c r="A14" t="s">
        <v>11</v>
      </c>
      <c r="B14" s="20">
        <v>3.0000000000000001E-3</v>
      </c>
      <c r="C14" s="20">
        <v>6.0000000000000001E-3</v>
      </c>
    </row>
    <row r="15" spans="1:3" x14ac:dyDescent="0.35">
      <c r="A15" t="s">
        <v>12</v>
      </c>
      <c r="B15" s="17">
        <v>0.05</v>
      </c>
      <c r="C15" s="17">
        <v>0</v>
      </c>
    </row>
    <row r="16" spans="1:3" x14ac:dyDescent="0.35">
      <c r="A16" t="s">
        <v>13</v>
      </c>
      <c r="B16" s="17">
        <v>0.1</v>
      </c>
    </row>
    <row r="18" spans="1:2" ht="21" x14ac:dyDescent="0.5">
      <c r="A18" s="2" t="s">
        <v>14</v>
      </c>
    </row>
    <row r="19" spans="1:2" x14ac:dyDescent="0.35">
      <c r="A19">
        <v>2016</v>
      </c>
      <c r="B19" s="18">
        <v>2000</v>
      </c>
    </row>
    <row r="20" spans="1:2" x14ac:dyDescent="0.35">
      <c r="A20">
        <v>2017</v>
      </c>
      <c r="B20" s="18">
        <v>3500</v>
      </c>
    </row>
    <row r="21" spans="1:2" x14ac:dyDescent="0.35">
      <c r="A21">
        <v>2018</v>
      </c>
      <c r="B21" s="18">
        <v>4500</v>
      </c>
    </row>
    <row r="22" spans="1:2" x14ac:dyDescent="0.35">
      <c r="A22">
        <v>2019</v>
      </c>
      <c r="B22" s="18">
        <v>5000</v>
      </c>
    </row>
    <row r="23" spans="1:2" x14ac:dyDescent="0.35">
      <c r="A23">
        <v>2020</v>
      </c>
      <c r="B23" s="18">
        <v>6000</v>
      </c>
    </row>
    <row r="24" spans="1:2" x14ac:dyDescent="0.35">
      <c r="A24">
        <v>2021</v>
      </c>
      <c r="B24" s="18">
        <v>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K7" sqref="K7"/>
    </sheetView>
  </sheetViews>
  <sheetFormatPr defaultRowHeight="14.5" x14ac:dyDescent="0.35"/>
  <cols>
    <col min="2" max="3" width="11.453125" customWidth="1"/>
    <col min="4" max="6" width="10.453125" customWidth="1"/>
    <col min="7" max="7" width="12" customWidth="1"/>
    <col min="8" max="8" width="10.7265625" customWidth="1"/>
    <col min="9" max="15" width="12.1796875" customWidth="1"/>
  </cols>
  <sheetData>
    <row r="1" spans="1:12" ht="23.5" x14ac:dyDescent="0.55000000000000004">
      <c r="A1" s="3" t="s">
        <v>38</v>
      </c>
      <c r="B1" s="3"/>
      <c r="C1" s="3"/>
    </row>
    <row r="3" spans="1:12" x14ac:dyDescent="0.35">
      <c r="A3" t="s">
        <v>39</v>
      </c>
    </row>
    <row r="5" spans="1:12" x14ac:dyDescent="0.35">
      <c r="A5" s="16"/>
      <c r="B5" s="25" t="s">
        <v>37</v>
      </c>
      <c r="C5" s="25"/>
      <c r="D5" s="25"/>
      <c r="E5" s="25"/>
      <c r="F5" s="16"/>
      <c r="G5" s="16"/>
    </row>
    <row r="6" spans="1:12" ht="43.5" x14ac:dyDescent="0.35">
      <c r="A6" s="9" t="s">
        <v>15</v>
      </c>
      <c r="B6" s="10" t="s">
        <v>20</v>
      </c>
      <c r="C6" s="10" t="s">
        <v>16</v>
      </c>
      <c r="D6" s="10" t="s">
        <v>18</v>
      </c>
      <c r="E6" s="10" t="s">
        <v>19</v>
      </c>
      <c r="F6" s="10" t="s">
        <v>17</v>
      </c>
      <c r="G6" s="10" t="s">
        <v>45</v>
      </c>
      <c r="H6" s="10" t="s">
        <v>49</v>
      </c>
      <c r="I6" s="10" t="s">
        <v>50</v>
      </c>
      <c r="J6" s="10" t="s">
        <v>51</v>
      </c>
      <c r="K6" s="10" t="s">
        <v>53</v>
      </c>
      <c r="L6" s="10" t="s">
        <v>54</v>
      </c>
    </row>
    <row r="7" spans="1:12" x14ac:dyDescent="0.35">
      <c r="A7">
        <v>2019</v>
      </c>
      <c r="B7" s="21">
        <v>0</v>
      </c>
      <c r="C7" s="21">
        <f>'Q3 Inputs'!B20*(1-mortality)^2</f>
        <v>3479.0315000000001</v>
      </c>
      <c r="D7" s="21">
        <f>'Q3 Inputs'!B21*(1-mortality)</f>
        <v>4486.5</v>
      </c>
      <c r="E7" s="21">
        <f xml:space="preserve"> 'Q3 Inputs'!B22</f>
        <v>5000</v>
      </c>
      <c r="F7" s="21">
        <f>SUM(B7:E7)</f>
        <v>12965.531500000001</v>
      </c>
      <c r="G7" s="23">
        <v>2692683</v>
      </c>
      <c r="H7" s="8">
        <f>F7*premium</f>
        <v>7779318.9000000004</v>
      </c>
      <c r="I7" s="8">
        <f>H7*claims</f>
        <v>5445523.2299999995</v>
      </c>
      <c r="J7" s="8">
        <f>H7*expenses</f>
        <v>777931.89000000013</v>
      </c>
      <c r="K7" s="6">
        <f>(G7+H7)*inv_rate</f>
        <v>523600.09500000003</v>
      </c>
      <c r="L7" s="8">
        <f>H7-I7-J7+K7</f>
        <v>2079463.8750000007</v>
      </c>
    </row>
    <row r="8" spans="1:12" x14ac:dyDescent="0.35">
      <c r="A8">
        <v>2020</v>
      </c>
      <c r="B8" s="21">
        <v>0</v>
      </c>
      <c r="C8" s="21">
        <v>0</v>
      </c>
      <c r="D8" s="21">
        <f>D7*(1-mortality)</f>
        <v>4473.0405000000001</v>
      </c>
      <c r="E8" s="21">
        <f>E7*(1-mortality)</f>
        <v>4985</v>
      </c>
      <c r="F8" s="21">
        <f t="shared" ref="F8:F9" si="0">SUM(B8:E8)</f>
        <v>9458.0404999999992</v>
      </c>
      <c r="G8" s="19">
        <f>G7+L7</f>
        <v>4772146.8750000009</v>
      </c>
      <c r="H8" s="8">
        <f>F8*premium</f>
        <v>5674824.2999999998</v>
      </c>
      <c r="I8" s="8">
        <f>H8*claims</f>
        <v>3972377.01</v>
      </c>
      <c r="J8" s="8">
        <f>H8*expenses</f>
        <v>567482.43000000005</v>
      </c>
      <c r="K8">
        <f>(G8+H8)*inv_rate</f>
        <v>522348.55875000008</v>
      </c>
      <c r="L8" s="8">
        <f t="shared" ref="L8:L9" si="1">H8-I8-J8+K8</f>
        <v>1657313.41875</v>
      </c>
    </row>
    <row r="9" spans="1:12" x14ac:dyDescent="0.35">
      <c r="A9">
        <v>2021</v>
      </c>
      <c r="B9" s="21">
        <v>0</v>
      </c>
      <c r="C9" s="21">
        <v>0</v>
      </c>
      <c r="D9" s="21">
        <v>0</v>
      </c>
      <c r="E9" s="21">
        <f>E8*(1-mortality)</f>
        <v>4970.0450000000001</v>
      </c>
      <c r="F9" s="21">
        <f t="shared" si="0"/>
        <v>4970.0450000000001</v>
      </c>
      <c r="G9" s="19">
        <f>G8+L8</f>
        <v>6429460.2937500011</v>
      </c>
      <c r="H9" s="8">
        <f>F9*premium</f>
        <v>2982027</v>
      </c>
      <c r="I9" s="8">
        <f>H9*claims</f>
        <v>2087418.9</v>
      </c>
      <c r="J9" s="8">
        <f>H9*expenses</f>
        <v>298202.7</v>
      </c>
      <c r="K9">
        <f>(G9+H9)*inv_rate</f>
        <v>470574.36468750006</v>
      </c>
      <c r="L9" s="8">
        <f t="shared" si="1"/>
        <v>1066979.7646875002</v>
      </c>
    </row>
    <row r="12" spans="1:12" x14ac:dyDescent="0.35">
      <c r="B12" s="1" t="s">
        <v>46</v>
      </c>
    </row>
    <row r="13" spans="1:12" x14ac:dyDescent="0.35">
      <c r="B13" s="1" t="s">
        <v>48</v>
      </c>
    </row>
    <row r="15" spans="1:12" x14ac:dyDescent="0.35">
      <c r="B15" t="s">
        <v>55</v>
      </c>
    </row>
  </sheetData>
  <mergeCells count="1">
    <mergeCell ref="B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tabSelected="1" topLeftCell="A24" workbookViewId="0">
      <selection activeCell="F33" sqref="F33"/>
    </sheetView>
  </sheetViews>
  <sheetFormatPr defaultRowHeight="14.5" x14ac:dyDescent="0.35"/>
  <cols>
    <col min="1" max="1" width="8.1796875" customWidth="1"/>
    <col min="2" max="2" width="10.1796875" bestFit="1" customWidth="1"/>
    <col min="3" max="3" width="12.81640625" bestFit="1" customWidth="1"/>
    <col min="4" max="5" width="11.26953125" customWidth="1"/>
    <col min="6" max="6" width="18" bestFit="1" customWidth="1"/>
    <col min="7" max="7" width="11.1796875" customWidth="1"/>
    <col min="8" max="8" width="15.81640625" customWidth="1"/>
    <col min="9" max="9" width="11.54296875" bestFit="1" customWidth="1"/>
    <col min="10" max="11" width="13.7265625" bestFit="1" customWidth="1"/>
    <col min="12" max="12" width="12.81640625" customWidth="1"/>
    <col min="13" max="13" width="11.54296875" customWidth="1"/>
    <col min="14" max="14" width="15.26953125" customWidth="1"/>
    <col min="15" max="15" width="10.453125" customWidth="1"/>
    <col min="16" max="16" width="12.26953125" customWidth="1"/>
    <col min="17" max="17" width="13.26953125" customWidth="1"/>
  </cols>
  <sheetData>
    <row r="1" spans="1:14" ht="23.5" x14ac:dyDescent="0.55000000000000004">
      <c r="A1" s="3" t="s">
        <v>30</v>
      </c>
    </row>
    <row r="4" spans="1:14" x14ac:dyDescent="0.35">
      <c r="A4" s="1" t="s">
        <v>56</v>
      </c>
    </row>
    <row r="6" spans="1:14" ht="29" x14ac:dyDescent="0.35">
      <c r="A6" s="9" t="s">
        <v>15</v>
      </c>
      <c r="B6" s="10" t="s">
        <v>16</v>
      </c>
      <c r="C6" s="10" t="s">
        <v>18</v>
      </c>
      <c r="D6" s="10" t="s">
        <v>19</v>
      </c>
      <c r="E6" s="10" t="s">
        <v>17</v>
      </c>
      <c r="F6" s="10" t="s">
        <v>47</v>
      </c>
      <c r="G6" s="10" t="s">
        <v>49</v>
      </c>
      <c r="H6" s="10" t="s">
        <v>50</v>
      </c>
      <c r="I6" s="10" t="s">
        <v>51</v>
      </c>
      <c r="J6" s="10" t="s">
        <v>52</v>
      </c>
      <c r="K6" s="10" t="s">
        <v>57</v>
      </c>
      <c r="L6" s="10" t="s">
        <v>58</v>
      </c>
      <c r="M6" s="10" t="s">
        <v>80</v>
      </c>
    </row>
    <row r="7" spans="1:14" x14ac:dyDescent="0.35">
      <c r="A7">
        <f>'Q3b Projected cash flows'!A7</f>
        <v>2019</v>
      </c>
      <c r="B7" s="21">
        <v>3479.0315000000001</v>
      </c>
      <c r="C7" s="21">
        <v>4486.5</v>
      </c>
      <c r="D7" s="21">
        <v>5000</v>
      </c>
      <c r="E7" s="21">
        <v>12965.531500000001</v>
      </c>
      <c r="F7" s="22">
        <v>0</v>
      </c>
      <c r="G7" s="8">
        <f>E7*premium</f>
        <v>7779318.9000000004</v>
      </c>
      <c r="H7" s="8">
        <f>G7*claims</f>
        <v>5445523.2299999995</v>
      </c>
      <c r="I7" s="8">
        <f>G7*expenses</f>
        <v>777931.89000000013</v>
      </c>
      <c r="J7" s="8">
        <f>G7*inv_rate</f>
        <v>388965.94500000007</v>
      </c>
      <c r="K7" s="26">
        <f>H7+0.1*I7</f>
        <v>5523316.4189999998</v>
      </c>
      <c r="L7" s="8">
        <f>G7+J7-H7-I7-(K8-K7)</f>
        <v>3439020.8910000012</v>
      </c>
      <c r="N7" s="8">
        <f>G7-H7-I7+J7</f>
        <v>1944829.7250000008</v>
      </c>
    </row>
    <row r="8" spans="1:14" x14ac:dyDescent="0.35">
      <c r="A8">
        <f>'Q3b Projected cash flows'!A8</f>
        <v>2020</v>
      </c>
      <c r="B8" s="21">
        <v>0</v>
      </c>
      <c r="C8" s="21">
        <v>4473.0405000000001</v>
      </c>
      <c r="D8" s="21">
        <v>4985</v>
      </c>
      <c r="E8" s="21">
        <v>9458.0404999999992</v>
      </c>
      <c r="F8" s="19">
        <v>0</v>
      </c>
      <c r="G8" s="8">
        <f>E8*premium</f>
        <v>5674824.2999999998</v>
      </c>
      <c r="H8" s="8">
        <f>G8*claims</f>
        <v>3972377.01</v>
      </c>
      <c r="I8" s="8">
        <f>G8*expenses</f>
        <v>567482.43000000005</v>
      </c>
      <c r="J8" s="8">
        <f>G8*inv_rate</f>
        <v>283741.21500000003</v>
      </c>
      <c r="K8" s="26">
        <f t="shared" ref="K8:K9" si="0">H8+0.1*I8</f>
        <v>4029125.2529999996</v>
      </c>
      <c r="L8" s="8">
        <f t="shared" ref="L8:L9" si="1">G8+J8-H8-I8-(K9-K8)</f>
        <v>3330592.1579999994</v>
      </c>
      <c r="M8" s="6"/>
      <c r="N8" s="8">
        <f t="shared" ref="N8:N9" si="2">G8-H8-I8+J8</f>
        <v>1418706.075</v>
      </c>
    </row>
    <row r="9" spans="1:14" x14ac:dyDescent="0.35">
      <c r="A9">
        <f>'Q3b Projected cash flows'!A9</f>
        <v>2021</v>
      </c>
      <c r="B9" s="21">
        <v>0</v>
      </c>
      <c r="C9" s="21">
        <v>0</v>
      </c>
      <c r="D9" s="21">
        <v>4970.0450000000001</v>
      </c>
      <c r="E9" s="21">
        <v>4970.0450000000001</v>
      </c>
      <c r="F9" s="19">
        <v>0</v>
      </c>
      <c r="G9" s="8">
        <f>E9*premium</f>
        <v>2982027</v>
      </c>
      <c r="H9" s="8">
        <f>G9*claims</f>
        <v>2087418.9</v>
      </c>
      <c r="I9" s="8">
        <f>G9*expenses</f>
        <v>298202.7</v>
      </c>
      <c r="J9" s="8">
        <f>G9*inv_rate</f>
        <v>149101.35</v>
      </c>
      <c r="K9" s="26">
        <f t="shared" si="0"/>
        <v>2117239.17</v>
      </c>
      <c r="L9" s="8">
        <f t="shared" si="1"/>
        <v>2862745.92</v>
      </c>
      <c r="M9" s="6"/>
      <c r="N9" s="8">
        <f t="shared" si="2"/>
        <v>745506.75000000012</v>
      </c>
    </row>
    <row r="11" spans="1:14" x14ac:dyDescent="0.35">
      <c r="L11" s="6">
        <f>NPV(hurdle,L7:L9)</f>
        <v>8029761.5115777599</v>
      </c>
      <c r="N11" s="14"/>
    </row>
    <row r="12" spans="1:14" x14ac:dyDescent="0.35">
      <c r="A12" t="s">
        <v>44</v>
      </c>
      <c r="B12" t="s">
        <v>59</v>
      </c>
      <c r="D12" s="8">
        <f>25000000</f>
        <v>25000000</v>
      </c>
    </row>
    <row r="13" spans="1:14" x14ac:dyDescent="0.35">
      <c r="A13" s="1"/>
      <c r="B13" t="s">
        <v>60</v>
      </c>
      <c r="D13" s="8">
        <v>1000000</v>
      </c>
    </row>
    <row r="14" spans="1:14" x14ac:dyDescent="0.35">
      <c r="B14" t="s">
        <v>61</v>
      </c>
      <c r="D14" s="8">
        <f>G7</f>
        <v>7779318.9000000004</v>
      </c>
    </row>
    <row r="15" spans="1:14" x14ac:dyDescent="0.35">
      <c r="B15" t="s">
        <v>62</v>
      </c>
      <c r="D15" s="8">
        <f>K7</f>
        <v>5523316.4189999998</v>
      </c>
    </row>
    <row r="16" spans="1:14" x14ac:dyDescent="0.35">
      <c r="B16" s="1" t="s">
        <v>44</v>
      </c>
      <c r="D16" s="13">
        <f>D12-D13-D14-D15</f>
        <v>10697364.681</v>
      </c>
    </row>
    <row r="17" spans="1:13" x14ac:dyDescent="0.35">
      <c r="D17" s="8"/>
    </row>
    <row r="18" spans="1:13" x14ac:dyDescent="0.35">
      <c r="B18" s="1"/>
      <c r="D18" s="13"/>
    </row>
    <row r="20" spans="1:13" x14ac:dyDescent="0.35">
      <c r="A20" s="1" t="s">
        <v>43</v>
      </c>
    </row>
    <row r="22" spans="1:13" x14ac:dyDescent="0.35">
      <c r="A22" t="s">
        <v>63</v>
      </c>
    </row>
    <row r="24" spans="1:13" x14ac:dyDescent="0.35">
      <c r="A24" s="25" t="s">
        <v>64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3" ht="43.5" x14ac:dyDescent="0.35">
      <c r="A25" s="9" t="s">
        <v>15</v>
      </c>
      <c r="B25" s="10" t="s">
        <v>17</v>
      </c>
      <c r="C25" s="10" t="s">
        <v>65</v>
      </c>
      <c r="D25" s="10" t="s">
        <v>49</v>
      </c>
      <c r="E25" s="10" t="s">
        <v>66</v>
      </c>
      <c r="F25" s="10" t="s">
        <v>51</v>
      </c>
      <c r="G25" s="10" t="s">
        <v>67</v>
      </c>
      <c r="H25" s="10" t="s">
        <v>68</v>
      </c>
      <c r="I25" s="10" t="s">
        <v>69</v>
      </c>
      <c r="J25" s="10" t="s">
        <v>70</v>
      </c>
      <c r="K25" s="10" t="s">
        <v>58</v>
      </c>
    </row>
    <row r="26" spans="1:13" x14ac:dyDescent="0.35">
      <c r="A26">
        <v>2020</v>
      </c>
      <c r="B26" s="8">
        <v>6000</v>
      </c>
      <c r="C26" s="6">
        <v>0</v>
      </c>
      <c r="D26" s="6">
        <f>premium*B26</f>
        <v>3600000</v>
      </c>
      <c r="E26" s="6">
        <f>claims*D26</f>
        <v>2520000</v>
      </c>
      <c r="F26" s="6">
        <f>expenses*D26</f>
        <v>360000</v>
      </c>
      <c r="G26" s="6">
        <f>(C26+D26)*inv_rate</f>
        <v>180000</v>
      </c>
      <c r="H26" s="6">
        <f>SUM(C26:D26)-SUM(E26:F26)+G26</f>
        <v>900000</v>
      </c>
      <c r="I26" s="6">
        <f>D26-E26-F26+G26</f>
        <v>900000</v>
      </c>
      <c r="J26" s="6">
        <f>E26+0.1*F26</f>
        <v>2556000</v>
      </c>
      <c r="K26" s="6">
        <f>I26-(J27-J26)</f>
        <v>907668</v>
      </c>
      <c r="M26" s="6"/>
    </row>
    <row r="27" spans="1:13" x14ac:dyDescent="0.35">
      <c r="A27">
        <v>2021</v>
      </c>
      <c r="B27" s="8">
        <f>B26*(1-mortality)</f>
        <v>5982</v>
      </c>
      <c r="C27" s="6">
        <f>H26</f>
        <v>900000</v>
      </c>
      <c r="D27" s="6">
        <f>premium*B27</f>
        <v>3589200</v>
      </c>
      <c r="E27" s="6">
        <f>claims*D27</f>
        <v>2512440</v>
      </c>
      <c r="F27" s="6">
        <f>expenses*D27</f>
        <v>358920</v>
      </c>
      <c r="G27" s="6">
        <f>(C27+D27)*inv_rate</f>
        <v>224460</v>
      </c>
      <c r="H27" s="6">
        <f t="shared" ref="H27:H28" si="3">SUM(C27:D27)-SUM(E27:F27)+G27</f>
        <v>1842300</v>
      </c>
      <c r="I27" s="6">
        <f t="shared" ref="I27:I28" si="4">D27-E27-F27+G27</f>
        <v>942300</v>
      </c>
      <c r="J27" s="6">
        <f t="shared" ref="J27:J28" si="5">E27+0.1*F27</f>
        <v>2548332</v>
      </c>
      <c r="K27" s="6">
        <f t="shared" ref="K27:K28" si="6">I27-(J28-J27)</f>
        <v>949944.99600000028</v>
      </c>
    </row>
    <row r="28" spans="1:13" x14ac:dyDescent="0.35">
      <c r="A28">
        <v>2022</v>
      </c>
      <c r="B28" s="8">
        <f>B27*(1-mortality)</f>
        <v>5964.0540000000001</v>
      </c>
      <c r="C28" s="6">
        <f>H27</f>
        <v>1842300</v>
      </c>
      <c r="D28" s="6">
        <f>premium*B28</f>
        <v>3578432.4</v>
      </c>
      <c r="E28" s="6">
        <f>claims*D28</f>
        <v>2504902.6799999997</v>
      </c>
      <c r="F28" s="6">
        <f>expenses*D28</f>
        <v>357843.24</v>
      </c>
      <c r="G28" s="6">
        <f>(C28+D28)*inv_rate</f>
        <v>271036.62000000005</v>
      </c>
      <c r="H28" s="6">
        <f t="shared" si="3"/>
        <v>2829023.1000000006</v>
      </c>
      <c r="I28" s="6">
        <f t="shared" si="4"/>
        <v>986723.10000000033</v>
      </c>
      <c r="J28" s="6">
        <f t="shared" si="5"/>
        <v>2540687.0039999997</v>
      </c>
      <c r="K28" s="6">
        <f t="shared" si="6"/>
        <v>3527410.1040000003</v>
      </c>
    </row>
    <row r="29" spans="1:13" x14ac:dyDescent="0.35">
      <c r="B29" s="8"/>
      <c r="C29" s="6"/>
      <c r="D29" s="6"/>
      <c r="E29" s="6"/>
      <c r="F29" s="6"/>
      <c r="G29" s="6"/>
      <c r="H29" s="6"/>
      <c r="I29" s="6"/>
    </row>
    <row r="30" spans="1:13" x14ac:dyDescent="0.35">
      <c r="B30" s="8"/>
      <c r="C30" s="6"/>
      <c r="D30" s="6"/>
      <c r="E30" s="6"/>
      <c r="F30" s="6"/>
      <c r="G30" s="6"/>
      <c r="H30" s="6"/>
      <c r="I30" s="6"/>
      <c r="K30" s="24">
        <f>NPV(10%,K26:K28)-J26</f>
        <v>1704426.6563486103</v>
      </c>
      <c r="L30" s="12"/>
    </row>
    <row r="32" spans="1:13" x14ac:dyDescent="0.35">
      <c r="A32" t="s">
        <v>71</v>
      </c>
      <c r="F32">
        <f>1/0.1</f>
        <v>10</v>
      </c>
    </row>
    <row r="33" spans="1:7" x14ac:dyDescent="0.35">
      <c r="A33" t="s">
        <v>72</v>
      </c>
      <c r="F33" s="15">
        <f>F32*K30</f>
        <v>17044266.563486103</v>
      </c>
    </row>
    <row r="37" spans="1:7" x14ac:dyDescent="0.35">
      <c r="A37" t="s">
        <v>73</v>
      </c>
      <c r="F37" s="8">
        <f>D16+L11</f>
        <v>18727126.192577761</v>
      </c>
      <c r="G37" t="s">
        <v>81</v>
      </c>
    </row>
    <row r="38" spans="1:7" x14ac:dyDescent="0.35">
      <c r="A38" t="s">
        <v>72</v>
      </c>
      <c r="F38" s="8">
        <f>F33</f>
        <v>17044266.563486103</v>
      </c>
    </row>
    <row r="39" spans="1:7" x14ac:dyDescent="0.35">
      <c r="A39" t="s">
        <v>74</v>
      </c>
      <c r="F39" s="13">
        <f>F38+F37</f>
        <v>35771392.756063864</v>
      </c>
    </row>
  </sheetData>
  <mergeCells count="1">
    <mergeCell ref="A24:K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11CF-2D86-4436-90F2-A9DCC612687A}">
  <dimension ref="A1:E54"/>
  <sheetViews>
    <sheetView workbookViewId="0">
      <selection activeCell="H1" sqref="H1"/>
    </sheetView>
  </sheetViews>
  <sheetFormatPr defaultRowHeight="14.5" x14ac:dyDescent="0.35"/>
  <cols>
    <col min="10" max="10" width="13.7265625" customWidth="1"/>
    <col min="14" max="14" width="13.54296875" bestFit="1" customWidth="1"/>
    <col min="16" max="16" width="10" bestFit="1" customWidth="1"/>
  </cols>
  <sheetData>
    <row r="1" spans="1:4" ht="23.5" x14ac:dyDescent="0.55000000000000004">
      <c r="A1" s="3" t="s">
        <v>42</v>
      </c>
    </row>
    <row r="4" spans="1:4" x14ac:dyDescent="0.35">
      <c r="A4" t="s">
        <v>23</v>
      </c>
      <c r="C4" t="s">
        <v>25</v>
      </c>
      <c r="D4" t="s">
        <v>26</v>
      </c>
    </row>
    <row r="5" spans="1:4" x14ac:dyDescent="0.35">
      <c r="A5" t="s">
        <v>24</v>
      </c>
      <c r="C5" s="18">
        <v>4800</v>
      </c>
      <c r="D5" s="18">
        <v>5000</v>
      </c>
    </row>
    <row r="6" spans="1:4" x14ac:dyDescent="0.35">
      <c r="A6" t="s">
        <v>27</v>
      </c>
      <c r="C6" s="17">
        <v>0.06</v>
      </c>
      <c r="D6" s="17">
        <v>0.05</v>
      </c>
    </row>
    <row r="7" spans="1:4" x14ac:dyDescent="0.35">
      <c r="A7" t="s">
        <v>28</v>
      </c>
      <c r="C7" t="s">
        <v>75</v>
      </c>
      <c r="D7" s="18"/>
    </row>
    <row r="8" spans="1:4" x14ac:dyDescent="0.35">
      <c r="A8" t="s">
        <v>29</v>
      </c>
      <c r="C8">
        <v>20</v>
      </c>
      <c r="D8" s="18"/>
    </row>
    <row r="10" spans="1:4" x14ac:dyDescent="0.35">
      <c r="A10" s="1" t="s">
        <v>41</v>
      </c>
    </row>
    <row r="12" spans="1:4" x14ac:dyDescent="0.35">
      <c r="A12" t="s">
        <v>76</v>
      </c>
      <c r="D12" s="8">
        <f>'Q3b Projected cash flows'!F21</f>
        <v>0</v>
      </c>
    </row>
    <row r="13" spans="1:4" x14ac:dyDescent="0.35">
      <c r="A13" t="s">
        <v>77</v>
      </c>
      <c r="D13">
        <f>mortality*D12</f>
        <v>0</v>
      </c>
    </row>
    <row r="14" spans="1:4" x14ac:dyDescent="0.35">
      <c r="A14" t="s">
        <v>78</v>
      </c>
      <c r="D14" s="8">
        <f>'Q3c AV'!H7</f>
        <v>5445523.2299999995</v>
      </c>
    </row>
    <row r="15" spans="1:4" x14ac:dyDescent="0.35">
      <c r="A15" t="s">
        <v>79</v>
      </c>
      <c r="D15" t="e">
        <f>C8/D13*D14</f>
        <v>#DIV/0!</v>
      </c>
    </row>
    <row r="17" spans="1:5" x14ac:dyDescent="0.35">
      <c r="A17" s="1"/>
    </row>
    <row r="18" spans="1:5" x14ac:dyDescent="0.35">
      <c r="A18" s="1" t="s">
        <v>40</v>
      </c>
    </row>
    <row r="20" spans="1:5" x14ac:dyDescent="0.35">
      <c r="A20" t="s">
        <v>36</v>
      </c>
    </row>
    <row r="21" spans="1:5" ht="29" x14ac:dyDescent="0.35">
      <c r="A21" s="9" t="s">
        <v>15</v>
      </c>
      <c r="B21" s="10" t="s">
        <v>16</v>
      </c>
      <c r="C21" s="10" t="s">
        <v>18</v>
      </c>
      <c r="D21" s="10" t="s">
        <v>19</v>
      </c>
      <c r="E21" s="10" t="s">
        <v>17</v>
      </c>
    </row>
    <row r="22" spans="1:5" x14ac:dyDescent="0.35">
      <c r="A22">
        <v>2019</v>
      </c>
      <c r="B22" s="11"/>
      <c r="C22" s="11"/>
      <c r="D22" s="11"/>
      <c r="E22" s="11"/>
    </row>
    <row r="23" spans="1:5" x14ac:dyDescent="0.35">
      <c r="A23">
        <f>1+A22</f>
        <v>2020</v>
      </c>
      <c r="B23" s="11"/>
      <c r="C23" s="11"/>
      <c r="D23" s="11"/>
      <c r="E23" s="11"/>
    </row>
    <row r="24" spans="1:5" x14ac:dyDescent="0.35">
      <c r="A24">
        <f>1+A23</f>
        <v>2021</v>
      </c>
      <c r="B24" s="11"/>
      <c r="C24" s="11"/>
      <c r="D24" s="11"/>
      <c r="E24" s="11"/>
    </row>
    <row r="27" spans="1:5" x14ac:dyDescent="0.35">
      <c r="A27" t="s">
        <v>31</v>
      </c>
    </row>
    <row r="29" spans="1:5" ht="29" x14ac:dyDescent="0.35">
      <c r="A29" s="9" t="s">
        <v>15</v>
      </c>
      <c r="B29" s="10" t="s">
        <v>16</v>
      </c>
      <c r="C29" s="10" t="s">
        <v>18</v>
      </c>
      <c r="D29" s="10" t="s">
        <v>19</v>
      </c>
      <c r="E29" s="10" t="s">
        <v>17</v>
      </c>
    </row>
    <row r="30" spans="1:5" x14ac:dyDescent="0.35">
      <c r="A30">
        <v>2019</v>
      </c>
      <c r="B30" s="11"/>
      <c r="C30" s="11"/>
      <c r="D30" s="11"/>
      <c r="E30" s="11"/>
    </row>
    <row r="31" spans="1:5" x14ac:dyDescent="0.35">
      <c r="A31">
        <f>1+A30</f>
        <v>2020</v>
      </c>
      <c r="B31" s="11"/>
      <c r="C31" s="11"/>
      <c r="D31" s="11"/>
      <c r="E31" s="11"/>
    </row>
    <row r="32" spans="1:5" x14ac:dyDescent="0.35">
      <c r="A32">
        <f>1+A31</f>
        <v>2021</v>
      </c>
      <c r="B32" s="11"/>
      <c r="C32" s="11"/>
      <c r="D32" s="11"/>
      <c r="E32" s="11"/>
    </row>
    <row r="35" spans="1:5" x14ac:dyDescent="0.35">
      <c r="A35" t="s">
        <v>32</v>
      </c>
    </row>
    <row r="37" spans="1:5" ht="29" x14ac:dyDescent="0.35">
      <c r="A37" s="9" t="s">
        <v>15</v>
      </c>
      <c r="B37" s="10" t="s">
        <v>16</v>
      </c>
      <c r="C37" s="10" t="s">
        <v>18</v>
      </c>
      <c r="D37" s="10" t="s">
        <v>19</v>
      </c>
      <c r="E37" s="10" t="s">
        <v>17</v>
      </c>
    </row>
    <row r="38" spans="1:5" x14ac:dyDescent="0.35">
      <c r="A38">
        <v>2019</v>
      </c>
      <c r="B38" s="11"/>
      <c r="C38" s="11"/>
      <c r="D38" s="11"/>
      <c r="E38" s="11"/>
    </row>
    <row r="39" spans="1:5" x14ac:dyDescent="0.35">
      <c r="A39">
        <f>1+A38</f>
        <v>2020</v>
      </c>
      <c r="B39" s="11"/>
      <c r="C39" s="11"/>
      <c r="D39" s="11"/>
      <c r="E39" s="11"/>
    </row>
    <row r="40" spans="1:5" x14ac:dyDescent="0.35">
      <c r="A40">
        <f>1+A39</f>
        <v>2021</v>
      </c>
      <c r="B40" s="11"/>
      <c r="C40" s="11"/>
      <c r="D40" s="11"/>
      <c r="E40" s="11"/>
    </row>
    <row r="43" spans="1:5" x14ac:dyDescent="0.35">
      <c r="A43" t="s">
        <v>33</v>
      </c>
      <c r="B43" t="s">
        <v>34</v>
      </c>
    </row>
    <row r="44" spans="1:5" ht="29" x14ac:dyDescent="0.35">
      <c r="A44" s="9" t="s">
        <v>15</v>
      </c>
      <c r="B44" s="10" t="s">
        <v>16</v>
      </c>
      <c r="C44" s="10" t="s">
        <v>18</v>
      </c>
      <c r="D44" s="10" t="s">
        <v>19</v>
      </c>
      <c r="E44" s="10" t="s">
        <v>17</v>
      </c>
    </row>
    <row r="45" spans="1:5" x14ac:dyDescent="0.35">
      <c r="A45">
        <v>2019</v>
      </c>
      <c r="B45" s="11"/>
      <c r="C45" s="11"/>
      <c r="D45" s="11"/>
      <c r="E45" s="11"/>
    </row>
    <row r="46" spans="1:5" x14ac:dyDescent="0.35">
      <c r="A46">
        <f>1+A45</f>
        <v>2020</v>
      </c>
      <c r="B46" s="11"/>
      <c r="C46" s="11"/>
      <c r="D46" s="11"/>
      <c r="E46" s="11"/>
    </row>
    <row r="47" spans="1:5" x14ac:dyDescent="0.35">
      <c r="A47">
        <f>1+A46</f>
        <v>2021</v>
      </c>
      <c r="B47" s="11"/>
      <c r="C47" s="11"/>
      <c r="D47" s="11"/>
      <c r="E47" s="11"/>
    </row>
    <row r="50" spans="1:5" x14ac:dyDescent="0.35">
      <c r="A50" t="s">
        <v>35</v>
      </c>
    </row>
    <row r="51" spans="1:5" ht="29" x14ac:dyDescent="0.35">
      <c r="A51" s="9" t="s">
        <v>15</v>
      </c>
      <c r="B51" s="10" t="s">
        <v>16</v>
      </c>
      <c r="C51" s="10" t="s">
        <v>18</v>
      </c>
      <c r="D51" s="10" t="s">
        <v>19</v>
      </c>
      <c r="E51" s="10" t="s">
        <v>17</v>
      </c>
    </row>
    <row r="52" spans="1:5" x14ac:dyDescent="0.35">
      <c r="A52">
        <v>2019</v>
      </c>
      <c r="B52" s="11"/>
      <c r="C52" s="11"/>
      <c r="D52" s="11"/>
      <c r="E52" s="11"/>
    </row>
    <row r="53" spans="1:5" x14ac:dyDescent="0.35">
      <c r="A53">
        <f>1+A52</f>
        <v>2020</v>
      </c>
      <c r="B53" s="11"/>
      <c r="C53" s="11"/>
      <c r="D53" s="11"/>
      <c r="E53" s="11"/>
    </row>
    <row r="54" spans="1:5" x14ac:dyDescent="0.35">
      <c r="A54">
        <f>1+A53</f>
        <v>2021</v>
      </c>
      <c r="B54" s="11"/>
      <c r="C54" s="11"/>
      <c r="D54" s="11"/>
      <c r="E5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Q3 Inputs</vt:lpstr>
      <vt:lpstr>Q3b Projected cash flows</vt:lpstr>
      <vt:lpstr>Q3c AV</vt:lpstr>
      <vt:lpstr>Q3g Movements</vt:lpstr>
      <vt:lpstr>claims</vt:lpstr>
      <vt:lpstr>exp_solv</vt:lpstr>
      <vt:lpstr>expenses</vt:lpstr>
      <vt:lpstr>hurdle</vt:lpstr>
      <vt:lpstr>inv_rate</vt:lpstr>
      <vt:lpstr>mort_solv</vt:lpstr>
      <vt:lpstr>mortality</vt:lpstr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Aitken</dc:creator>
  <cp:lastModifiedBy>Reksadinata, Evan</cp:lastModifiedBy>
  <dcterms:created xsi:type="dcterms:W3CDTF">2019-02-24T23:46:24Z</dcterms:created>
  <dcterms:modified xsi:type="dcterms:W3CDTF">2020-07-07T14:56:00Z</dcterms:modified>
</cp:coreProperties>
</file>