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8680" yWindow="-120" windowWidth="29040" windowHeight="15840" tabRatio="800" activeTab="1"/>
  </bookViews>
  <sheets>
    <sheet name="Key Information" sheetId="2" r:id="rId1"/>
    <sheet name="Embedded Value 31 Dec 2019 (a)" sheetId="1" r:id="rId2"/>
    <sheet name="Analysis of Movement 2020" sheetId="7" state="hidden" r:id="rId3"/>
    <sheet name="Embedded Value 31 Dec 2019 (b)" sheetId="8" r:id="rId4"/>
    <sheet name="Analysis of Movement 2020 (b)" sheetId="9" r:id="rId5"/>
  </sheets>
  <definedNames>
    <definedName name="OLE_LINK1" localSheetId="0">'Key Information'!$B$15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9" l="1"/>
  <c r="F15" i="9"/>
  <c r="F14" i="9"/>
  <c r="C16" i="9"/>
  <c r="D20" i="8"/>
  <c r="D19" i="8"/>
  <c r="D18" i="8"/>
  <c r="E14" i="9"/>
  <c r="D14" i="9"/>
  <c r="F6" i="9"/>
  <c r="E6" i="9"/>
  <c r="D6" i="9"/>
  <c r="C6" i="9"/>
  <c r="C10" i="9"/>
  <c r="F10" i="9" s="1"/>
  <c r="E11" i="9"/>
  <c r="C11" i="9"/>
  <c r="D8" i="1"/>
  <c r="D11" i="9"/>
  <c r="N19" i="1"/>
  <c r="N20" i="1"/>
  <c r="N21" i="1"/>
  <c r="P21" i="1" s="1"/>
  <c r="N22" i="1"/>
  <c r="P22" i="1" s="1"/>
  <c r="N23" i="1"/>
  <c r="N24" i="1"/>
  <c r="N25" i="1"/>
  <c r="P25" i="1" s="1"/>
  <c r="N26" i="1"/>
  <c r="P26" i="1" s="1"/>
  <c r="N27" i="1"/>
  <c r="N28" i="1"/>
  <c r="N29" i="1"/>
  <c r="P29" i="1" s="1"/>
  <c r="N30" i="1"/>
  <c r="P30" i="1" s="1"/>
  <c r="N31" i="1"/>
  <c r="N32" i="1"/>
  <c r="N33" i="1"/>
  <c r="P33" i="1" s="1"/>
  <c r="N34" i="1"/>
  <c r="P34" i="1" s="1"/>
  <c r="N35" i="1"/>
  <c r="N36" i="1"/>
  <c r="N37" i="1"/>
  <c r="P37" i="1" s="1"/>
  <c r="P19" i="1"/>
  <c r="P20" i="1"/>
  <c r="P23" i="1"/>
  <c r="P24" i="1"/>
  <c r="P27" i="1"/>
  <c r="P28" i="1"/>
  <c r="P31" i="1"/>
  <c r="P32" i="1"/>
  <c r="P35" i="1"/>
  <c r="P36" i="1"/>
  <c r="P18" i="1"/>
  <c r="N18" i="1"/>
  <c r="Q37" i="8"/>
  <c r="O37" i="8"/>
  <c r="I17" i="8"/>
  <c r="G19" i="1"/>
  <c r="G20" i="1"/>
  <c r="G21" i="1"/>
  <c r="G22" i="1"/>
  <c r="L22" i="1" s="1"/>
  <c r="G23" i="1"/>
  <c r="L23" i="1" s="1"/>
  <c r="G24" i="1"/>
  <c r="G25" i="1"/>
  <c r="G26" i="1"/>
  <c r="L26" i="1" s="1"/>
  <c r="G27" i="1"/>
  <c r="L27" i="1" s="1"/>
  <c r="G28" i="1"/>
  <c r="G29" i="1"/>
  <c r="G30" i="1"/>
  <c r="L30" i="1" s="1"/>
  <c r="G31" i="1"/>
  <c r="L31" i="1" s="1"/>
  <c r="G32" i="1"/>
  <c r="G33" i="1"/>
  <c r="G34" i="1"/>
  <c r="L34" i="1" s="1"/>
  <c r="G35" i="1"/>
  <c r="L35" i="1" s="1"/>
  <c r="G36" i="1"/>
  <c r="G37" i="1"/>
  <c r="G18" i="1"/>
  <c r="L18" i="1" s="1"/>
  <c r="C8" i="1"/>
  <c r="Q37" i="1"/>
  <c r="O37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18" i="1"/>
  <c r="L19" i="1"/>
  <c r="L20" i="1"/>
  <c r="L21" i="1"/>
  <c r="L24" i="1"/>
  <c r="L25" i="1"/>
  <c r="L28" i="1"/>
  <c r="L29" i="1"/>
  <c r="L32" i="1"/>
  <c r="L33" i="1"/>
  <c r="L36" i="1"/>
  <c r="L3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7" i="1"/>
  <c r="K18" i="1"/>
  <c r="K19" i="1"/>
  <c r="K20" i="1"/>
  <c r="K21" i="1"/>
  <c r="K22" i="1"/>
  <c r="K23" i="1"/>
  <c r="K24" i="1"/>
  <c r="H25" i="1" s="1"/>
  <c r="K25" i="1"/>
  <c r="H26" i="1" s="1"/>
  <c r="K26" i="1"/>
  <c r="K27" i="1"/>
  <c r="K28" i="1"/>
  <c r="K29" i="1"/>
  <c r="K30" i="1"/>
  <c r="K31" i="1"/>
  <c r="K32" i="1"/>
  <c r="K33" i="1"/>
  <c r="K34" i="1"/>
  <c r="K35" i="1"/>
  <c r="K36" i="1"/>
  <c r="K37" i="1"/>
  <c r="H19" i="1"/>
  <c r="H20" i="1"/>
  <c r="H21" i="1"/>
  <c r="H22" i="1"/>
  <c r="H23" i="1"/>
  <c r="H24" i="1"/>
  <c r="H27" i="1"/>
  <c r="H28" i="1"/>
  <c r="H29" i="1"/>
  <c r="H30" i="1"/>
  <c r="H31" i="1"/>
  <c r="H32" i="1"/>
  <c r="H33" i="1"/>
  <c r="H34" i="1"/>
  <c r="H35" i="1"/>
  <c r="H36" i="1"/>
  <c r="H37" i="1"/>
  <c r="H18" i="1"/>
  <c r="K17" i="1"/>
  <c r="I19" i="1"/>
  <c r="I18" i="1"/>
  <c r="F18" i="1"/>
  <c r="E18" i="1"/>
  <c r="D18" i="1"/>
  <c r="F11" i="9" l="1"/>
  <c r="O36" i="1"/>
  <c r="E18" i="8"/>
  <c r="F18" i="8" s="1"/>
  <c r="J17" i="8"/>
  <c r="K17" i="8"/>
  <c r="G18" i="8"/>
  <c r="Q35" i="1"/>
  <c r="O35" i="1"/>
  <c r="O34" i="1"/>
  <c r="O17" i="1"/>
  <c r="C10" i="1" s="1"/>
  <c r="Q36" i="1"/>
  <c r="D19" i="1"/>
  <c r="E19" i="1"/>
  <c r="F19" i="1" s="1"/>
  <c r="C38" i="2"/>
  <c r="C36" i="2"/>
  <c r="C30" i="2"/>
  <c r="C29" i="2"/>
  <c r="C19" i="2"/>
  <c r="H18" i="8" l="1"/>
  <c r="C8" i="8"/>
  <c r="L18" i="8"/>
  <c r="I18" i="8"/>
  <c r="Q24" i="1"/>
  <c r="O28" i="1"/>
  <c r="O19" i="1"/>
  <c r="Q18" i="1"/>
  <c r="D9" i="1" s="1"/>
  <c r="Q28" i="1"/>
  <c r="Q22" i="1"/>
  <c r="O18" i="1"/>
  <c r="D10" i="1" s="1"/>
  <c r="Q25" i="1"/>
  <c r="O23" i="1"/>
  <c r="O21" i="1"/>
  <c r="O33" i="1"/>
  <c r="Q32" i="1"/>
  <c r="O22" i="1"/>
  <c r="O30" i="1"/>
  <c r="O31" i="1"/>
  <c r="O25" i="1"/>
  <c r="Q23" i="1"/>
  <c r="O24" i="1"/>
  <c r="O27" i="1"/>
  <c r="Q20" i="1"/>
  <c r="O26" i="1"/>
  <c r="Q34" i="1"/>
  <c r="O20" i="1"/>
  <c r="Q27" i="1"/>
  <c r="O32" i="1"/>
  <c r="O29" i="1"/>
  <c r="Q19" i="1"/>
  <c r="Q17" i="1"/>
  <c r="C9" i="1" s="1"/>
  <c r="C11" i="1" s="1"/>
  <c r="D20" i="1"/>
  <c r="I17" i="1"/>
  <c r="E19" i="8" l="1"/>
  <c r="J18" i="8"/>
  <c r="K18" i="8"/>
  <c r="G19" i="8"/>
  <c r="N18" i="8"/>
  <c r="Q29" i="1"/>
  <c r="Q33" i="1"/>
  <c r="D11" i="1"/>
  <c r="Q31" i="1"/>
  <c r="Q30" i="1"/>
  <c r="Q21" i="1"/>
  <c r="Q26" i="1"/>
  <c r="I20" i="1"/>
  <c r="E20" i="1"/>
  <c r="F20" i="1" s="1"/>
  <c r="C6" i="7"/>
  <c r="L19" i="8" l="1"/>
  <c r="N19" i="8" s="1"/>
  <c r="F19" i="8"/>
  <c r="I19" i="8" s="1"/>
  <c r="H19" i="8"/>
  <c r="M18" i="8"/>
  <c r="P18" i="8" s="1"/>
  <c r="D21" i="1"/>
  <c r="E21" i="1" s="1"/>
  <c r="E6" i="7"/>
  <c r="J19" i="8" l="1"/>
  <c r="G20" i="8"/>
  <c r="K19" i="8"/>
  <c r="D8" i="8"/>
  <c r="C19" i="9" s="1"/>
  <c r="C17" i="9" s="1"/>
  <c r="F21" i="1"/>
  <c r="I21" i="1" s="1"/>
  <c r="D6" i="7"/>
  <c r="H20" i="8" l="1"/>
  <c r="M19" i="8"/>
  <c r="P19" i="8" s="1"/>
  <c r="E20" i="8"/>
  <c r="F20" i="8" s="1"/>
  <c r="I22" i="1"/>
  <c r="D22" i="1"/>
  <c r="E22" i="1"/>
  <c r="F22" i="1" s="1"/>
  <c r="F6" i="7"/>
  <c r="L20" i="8" l="1"/>
  <c r="I20" i="8"/>
  <c r="D23" i="1"/>
  <c r="D21" i="8" l="1"/>
  <c r="E21" i="8" s="1"/>
  <c r="J20" i="8"/>
  <c r="G21" i="8"/>
  <c r="K20" i="8"/>
  <c r="N20" i="8"/>
  <c r="F23" i="1"/>
  <c r="E23" i="1"/>
  <c r="F21" i="8" l="1"/>
  <c r="I21" i="8" s="1"/>
  <c r="H21" i="8"/>
  <c r="M20" i="8"/>
  <c r="P20" i="8" s="1"/>
  <c r="L21" i="8"/>
  <c r="I23" i="1"/>
  <c r="D22" i="8" l="1"/>
  <c r="E22" i="8" s="1"/>
  <c r="K21" i="8"/>
  <c r="M21" i="8" s="1"/>
  <c r="G22" i="8"/>
  <c r="J21" i="8"/>
  <c r="N21" i="8"/>
  <c r="I24" i="1"/>
  <c r="D24" i="1"/>
  <c r="E24" i="1"/>
  <c r="F24" i="1" s="1"/>
  <c r="H22" i="8" l="1"/>
  <c r="P21" i="8"/>
  <c r="L22" i="8"/>
  <c r="F22" i="8"/>
  <c r="I22" i="8" s="1"/>
  <c r="I25" i="1"/>
  <c r="D25" i="1"/>
  <c r="E25" i="1"/>
  <c r="F25" i="1" s="1"/>
  <c r="D23" i="8" l="1"/>
  <c r="E23" i="8" s="1"/>
  <c r="J22" i="8"/>
  <c r="K22" i="8"/>
  <c r="G23" i="8"/>
  <c r="N22" i="8"/>
  <c r="I26" i="1"/>
  <c r="D26" i="1"/>
  <c r="E26" i="1"/>
  <c r="F26" i="1" s="1"/>
  <c r="L23" i="8" l="1"/>
  <c r="F23" i="8"/>
  <c r="I23" i="8" s="1"/>
  <c r="H23" i="8"/>
  <c r="M22" i="8"/>
  <c r="P22" i="8" s="1"/>
  <c r="E27" i="1"/>
  <c r="D27" i="1"/>
  <c r="D24" i="8" l="1"/>
  <c r="J23" i="8"/>
  <c r="G24" i="8"/>
  <c r="K23" i="8"/>
  <c r="N23" i="8"/>
  <c r="I27" i="1"/>
  <c r="F27" i="1"/>
  <c r="H24" i="8" l="1"/>
  <c r="M23" i="8"/>
  <c r="P23" i="8" s="1"/>
  <c r="E24" i="8"/>
  <c r="I28" i="1"/>
  <c r="D28" i="1"/>
  <c r="E28" i="1" s="1"/>
  <c r="F28" i="1"/>
  <c r="L24" i="8" l="1"/>
  <c r="F24" i="8"/>
  <c r="I24" i="8" s="1"/>
  <c r="D29" i="1"/>
  <c r="E29" i="1" s="1"/>
  <c r="F29" i="1" s="1"/>
  <c r="D25" i="8" l="1"/>
  <c r="E25" i="8" s="1"/>
  <c r="F25" i="8" s="1"/>
  <c r="J24" i="8"/>
  <c r="G25" i="8"/>
  <c r="K24" i="8"/>
  <c r="N24" i="8"/>
  <c r="I29" i="1"/>
  <c r="D30" i="1"/>
  <c r="I25" i="8" l="1"/>
  <c r="D26" i="8" s="1"/>
  <c r="E26" i="8" s="1"/>
  <c r="H25" i="8"/>
  <c r="M24" i="8"/>
  <c r="P24" i="8" s="1"/>
  <c r="L25" i="8"/>
  <c r="E30" i="1"/>
  <c r="F30" i="1" s="1"/>
  <c r="G26" i="8" l="1"/>
  <c r="L26" i="8" s="1"/>
  <c r="N26" i="8" s="1"/>
  <c r="J25" i="8"/>
  <c r="K25" i="8"/>
  <c r="M25" i="8" s="1"/>
  <c r="F26" i="8"/>
  <c r="I26" i="8" s="1"/>
  <c r="N25" i="8"/>
  <c r="I30" i="1"/>
  <c r="H26" i="8" l="1"/>
  <c r="D27" i="8"/>
  <c r="E27" i="8" s="1"/>
  <c r="J26" i="8"/>
  <c r="K26" i="8"/>
  <c r="G27" i="8"/>
  <c r="P25" i="8"/>
  <c r="D31" i="1"/>
  <c r="L27" i="8" l="1"/>
  <c r="F27" i="8"/>
  <c r="I27" i="8" s="1"/>
  <c r="H27" i="8"/>
  <c r="M26" i="8"/>
  <c r="P26" i="8" s="1"/>
  <c r="F31" i="1"/>
  <c r="I31" i="1" s="1"/>
  <c r="E31" i="1"/>
  <c r="D28" i="8" l="1"/>
  <c r="J27" i="8"/>
  <c r="G28" i="8"/>
  <c r="K27" i="8"/>
  <c r="N27" i="8"/>
  <c r="D32" i="1"/>
  <c r="E32" i="1" s="1"/>
  <c r="F32" i="1" s="1"/>
  <c r="H28" i="8" l="1"/>
  <c r="M27" i="8"/>
  <c r="P27" i="8" s="1"/>
  <c r="E28" i="8"/>
  <c r="I32" i="1"/>
  <c r="L28" i="8" l="1"/>
  <c r="F28" i="8"/>
  <c r="I28" i="8" s="1"/>
  <c r="D33" i="1"/>
  <c r="E33" i="1" s="1"/>
  <c r="F33" i="1" s="1"/>
  <c r="D29" i="8" l="1"/>
  <c r="J28" i="8"/>
  <c r="K28" i="8"/>
  <c r="G29" i="8"/>
  <c r="E29" i="8"/>
  <c r="N28" i="8"/>
  <c r="I33" i="1"/>
  <c r="L29" i="8" l="1"/>
  <c r="F29" i="8"/>
  <c r="I29" i="8" s="1"/>
  <c r="H29" i="8"/>
  <c r="M28" i="8"/>
  <c r="P28" i="8" s="1"/>
  <c r="D34" i="1"/>
  <c r="E34" i="1" s="1"/>
  <c r="D30" i="8" l="1"/>
  <c r="J29" i="8"/>
  <c r="K29" i="8"/>
  <c r="G30" i="8"/>
  <c r="E30" i="8"/>
  <c r="N29" i="8"/>
  <c r="F34" i="1"/>
  <c r="I34" i="1" s="1"/>
  <c r="L30" i="8" l="1"/>
  <c r="F30" i="8"/>
  <c r="H30" i="8"/>
  <c r="M29" i="8"/>
  <c r="P29" i="8" s="1"/>
  <c r="N30" i="8"/>
  <c r="I30" i="8"/>
  <c r="D35" i="1"/>
  <c r="E35" i="1" s="1"/>
  <c r="D31" i="8" l="1"/>
  <c r="J30" i="8"/>
  <c r="K30" i="8"/>
  <c r="G31" i="8"/>
  <c r="F35" i="1"/>
  <c r="I35" i="1" s="1"/>
  <c r="H31" i="8" l="1"/>
  <c r="M30" i="8"/>
  <c r="P30" i="8" s="1"/>
  <c r="E31" i="8"/>
  <c r="L31" i="8" s="1"/>
  <c r="D36" i="1"/>
  <c r="I36" i="1" s="1"/>
  <c r="E36" i="1"/>
  <c r="F36" i="1" s="1"/>
  <c r="N31" i="8" l="1"/>
  <c r="F31" i="8"/>
  <c r="I31" i="8" s="1"/>
  <c r="D37" i="1"/>
  <c r="D32" i="8" l="1"/>
  <c r="J31" i="8"/>
  <c r="G32" i="8"/>
  <c r="K31" i="8"/>
  <c r="E37" i="1"/>
  <c r="F37" i="1" s="1"/>
  <c r="I37" i="1" s="1"/>
  <c r="E32" i="8" l="1"/>
  <c r="F32" i="8" s="1"/>
  <c r="I32" i="8" s="1"/>
  <c r="H32" i="8"/>
  <c r="M31" i="8"/>
  <c r="P31" i="8" s="1"/>
  <c r="L32" i="8" l="1"/>
  <c r="N32" i="8" s="1"/>
  <c r="D33" i="8"/>
  <c r="J32" i="8"/>
  <c r="K32" i="8"/>
  <c r="G33" i="8"/>
  <c r="E33" i="8" l="1"/>
  <c r="L33" i="8" s="1"/>
  <c r="H33" i="8"/>
  <c r="M32" i="8"/>
  <c r="P32" i="8" s="1"/>
  <c r="N33" i="8" l="1"/>
  <c r="F33" i="8"/>
  <c r="I33" i="8" s="1"/>
  <c r="D34" i="8" l="1"/>
  <c r="J33" i="8"/>
  <c r="K33" i="8"/>
  <c r="G34" i="8"/>
  <c r="E34" i="8"/>
  <c r="L34" i="8" l="1"/>
  <c r="F34" i="8"/>
  <c r="H34" i="8"/>
  <c r="M33" i="8"/>
  <c r="P33" i="8" s="1"/>
  <c r="N34" i="8"/>
  <c r="I34" i="8"/>
  <c r="D35" i="8" l="1"/>
  <c r="J34" i="8"/>
  <c r="G35" i="8"/>
  <c r="K34" i="8"/>
  <c r="E35" i="8" l="1"/>
  <c r="F35" i="8" s="1"/>
  <c r="I35" i="8" s="1"/>
  <c r="H35" i="8"/>
  <c r="M34" i="8"/>
  <c r="P34" i="8" s="1"/>
  <c r="L35" i="8" l="1"/>
  <c r="N35" i="8" s="1"/>
  <c r="K35" i="8"/>
  <c r="D36" i="8"/>
  <c r="J35" i="8"/>
  <c r="G36" i="8"/>
  <c r="H36" i="8" l="1"/>
  <c r="M35" i="8"/>
  <c r="P35" i="8" s="1"/>
  <c r="E36" i="8"/>
  <c r="L36" i="8" s="1"/>
  <c r="F36" i="8" l="1"/>
  <c r="I36" i="8" s="1"/>
  <c r="N36" i="8"/>
  <c r="D37" i="8" l="1"/>
  <c r="J36" i="8"/>
  <c r="G37" i="8"/>
  <c r="K36" i="8"/>
  <c r="E37" i="8" l="1"/>
  <c r="L37" i="8" s="1"/>
  <c r="N37" i="8" s="1"/>
  <c r="H37" i="8"/>
  <c r="M36" i="8"/>
  <c r="P36" i="8" s="1"/>
  <c r="F37" i="8" l="1"/>
  <c r="I37" i="8" s="1"/>
  <c r="J37" i="8" s="1"/>
  <c r="O36" i="8"/>
  <c r="O17" i="8"/>
  <c r="C10" i="8" s="1"/>
  <c r="E9" i="9" s="1"/>
  <c r="O18" i="8"/>
  <c r="D10" i="8" s="1"/>
  <c r="E19" i="9" s="1"/>
  <c r="E17" i="9" s="1"/>
  <c r="O19" i="8"/>
  <c r="O20" i="8"/>
  <c r="O21" i="8"/>
  <c r="O22" i="8"/>
  <c r="O23" i="8"/>
  <c r="O25" i="8"/>
  <c r="O24" i="8"/>
  <c r="O26" i="8"/>
  <c r="O27" i="8"/>
  <c r="O28" i="8"/>
  <c r="O29" i="8"/>
  <c r="O30" i="8"/>
  <c r="O35" i="8"/>
  <c r="O33" i="8"/>
  <c r="O32" i="8"/>
  <c r="O31" i="8"/>
  <c r="O34" i="8"/>
  <c r="K37" i="8" l="1"/>
  <c r="M37" i="8" s="1"/>
  <c r="P37" i="8" s="1"/>
  <c r="Q34" i="8" s="1"/>
  <c r="Q19" i="8"/>
  <c r="Q18" i="8"/>
  <c r="Q32" i="8"/>
  <c r="Q28" i="8" l="1"/>
  <c r="Q26" i="8"/>
  <c r="Q24" i="8"/>
  <c r="Q30" i="8"/>
  <c r="Q21" i="8"/>
  <c r="Q35" i="8"/>
  <c r="Q29" i="8"/>
  <c r="Q25" i="8"/>
  <c r="Q22" i="8"/>
  <c r="Q17" i="8"/>
  <c r="C9" i="8" s="1"/>
  <c r="C11" i="8" s="1"/>
  <c r="D9" i="8"/>
  <c r="D19" i="9" s="1"/>
  <c r="D15" i="9"/>
  <c r="Q36" i="8"/>
  <c r="Q33" i="8"/>
  <c r="Q27" i="8"/>
  <c r="Q23" i="8"/>
  <c r="Q20" i="8"/>
  <c r="Q31" i="8"/>
  <c r="D9" i="9"/>
  <c r="F9" i="9" s="1"/>
  <c r="D17" i="9" l="1"/>
  <c r="D11" i="8"/>
  <c r="F19" i="9" s="1"/>
  <c r="F17" i="9" s="1"/>
</calcChain>
</file>

<file path=xl/sharedStrings.xml><?xml version="1.0" encoding="utf-8"?>
<sst xmlns="http://schemas.openxmlformats.org/spreadsheetml/2006/main" count="161" uniqueCount="74">
  <si>
    <t>EOY</t>
  </si>
  <si>
    <t>Projection Year</t>
  </si>
  <si>
    <t>Year Ending 31 December</t>
  </si>
  <si>
    <t>Investment Return on FUM</t>
  </si>
  <si>
    <t>FUM Withdrawals</t>
  </si>
  <si>
    <t>Management Fees</t>
  </si>
  <si>
    <t>Management Expense</t>
  </si>
  <si>
    <t>Policy Liability</t>
  </si>
  <si>
    <t>Reported Profit</t>
  </si>
  <si>
    <t>Capital Release</t>
  </si>
  <si>
    <t>Capital Requirement</t>
  </si>
  <si>
    <t>Embedded Value Components</t>
  </si>
  <si>
    <t>- Assume no adjustments are required to be made to FUM to determine the policy liability</t>
  </si>
  <si>
    <t>- Assume no regulatory adjustments are required to be made to Net Assets to determine the Capital Base</t>
  </si>
  <si>
    <t>Investment Return on Capital Requirements</t>
  </si>
  <si>
    <t>p.a., as % of FUM at start of year</t>
  </si>
  <si>
    <t>as % of FUM</t>
  </si>
  <si>
    <t>Capital Requirement (Regulatory Capital Requirement + Target Surplus)</t>
  </si>
  <si>
    <t>As at 31 December 2019</t>
  </si>
  <si>
    <t>FUM (after cash flows for the year)</t>
  </si>
  <si>
    <t>Expected Movement</t>
  </si>
  <si>
    <t>Value of In-Force Business (VIF)</t>
  </si>
  <si>
    <t>Adjusted Net Worth (ANW)</t>
  </si>
  <si>
    <t>Embedded Value (EV)</t>
  </si>
  <si>
    <t>Actual Value as at 31 December 2019</t>
  </si>
  <si>
    <t>Event 1: Dividend Payment of $10 million</t>
  </si>
  <si>
    <t>Event 2: Impact of Fraud Event</t>
  </si>
  <si>
    <t>Event 3: Impact of Stock Market Crash</t>
  </si>
  <si>
    <t>- For Event 3, assume:</t>
  </si>
  <si>
    <t>- Investment Return on FUM for 2020</t>
  </si>
  <si>
    <t>as % of FUM at start of year</t>
  </si>
  <si>
    <t>Question parts (a) &amp; (b): Embedded Value Valuation Assumptions</t>
  </si>
  <si>
    <t>Question part (b): Further Information and Assumptions on EV Movement over Calendar Year 2020</t>
  </si>
  <si>
    <t>Actual Value as at 31 December 2020</t>
  </si>
  <si>
    <t>p.a., as % of Net Assets at start of year</t>
  </si>
  <si>
    <t>Investment Return on Net Assets (i.e. Capital Requirements &amp; Adjusted Net Worth)</t>
  </si>
  <si>
    <t>Unwinding of Discount Rate</t>
  </si>
  <si>
    <t>- Assets</t>
  </si>
  <si>
    <t>- Liabilities (other than Policy Liabilities)</t>
  </si>
  <si>
    <t>FUM Withdrawal (for projection year 1 to 19)</t>
  </si>
  <si>
    <t>FUM Withdrawal (for projection year 20)</t>
  </si>
  <si>
    <t>As at 31 December 2020</t>
  </si>
  <si>
    <t>Tax on Reported Profit</t>
  </si>
  <si>
    <t>PV of Tax on Reported Profit</t>
  </si>
  <si>
    <t>Value of Imputation Credits (VIC)</t>
  </si>
  <si>
    <t>Transfer between VIF, VIC and ANW</t>
  </si>
  <si>
    <t>Distributable Profit (Net of Tax)</t>
  </si>
  <si>
    <t>PV of Distributable Profits (Net of Tax)</t>
  </si>
  <si>
    <t>- Balance Sheet information as at 31 December 2019:</t>
  </si>
  <si>
    <t>- Investment Return on FUM for 2021 to 2022</t>
  </si>
  <si>
    <t>- Investment Return on FUM for 2023 onwards</t>
  </si>
  <si>
    <t>p.a.</t>
  </si>
  <si>
    <t>Management Expense (Variable)</t>
  </si>
  <si>
    <t>Projection to determine VIF and VIC</t>
  </si>
  <si>
    <t>Risk Discount Rate (p.a.)</t>
  </si>
  <si>
    <t>Key:</t>
  </si>
  <si>
    <t>Provided data</t>
  </si>
  <si>
    <t>To be completed by candidates</t>
  </si>
  <si>
    <t>Imputation credits as a % of future tax payable</t>
  </si>
  <si>
    <t>Question parts (a) &amp; (b): Further Information and Assumptions</t>
  </si>
  <si>
    <t xml:space="preserve">    - Assume no change to the withdrawal rate assumption for future years.</t>
  </si>
  <si>
    <t>- For Event 2, FUM withdrawal above expected (one-off) for year ending 31 December 2020</t>
  </si>
  <si>
    <t>Management Expense (Fixed) for year ending 31 December 2020</t>
  </si>
  <si>
    <t>Management Expense (Fixed) inflation</t>
  </si>
  <si>
    <t>Tax Rate on shareholder profit</t>
  </si>
  <si>
    <t>- Assume no tax on policyholder investment returns</t>
  </si>
  <si>
    <t>- Assume there are no unused franking credits as at 31 December 2018</t>
  </si>
  <si>
    <t>p.a., as % of FUM after investment return credited and management fees deducted</t>
  </si>
  <si>
    <t>p.a., as % of FUM at end of year after investment return credited</t>
  </si>
  <si>
    <t>- For the purposes of the analysis of movement, assume that the Events 1 to 3 occurred at the end of calendar year 2020.</t>
  </si>
  <si>
    <t>Experience Movement (in the order of Event 1, Event 2 then Event 3)</t>
  </si>
  <si>
    <t>- For Event 1 -  Dividend Payment at 31 December 2020 (this being an unfranked distribution)</t>
  </si>
  <si>
    <t>Investment Return on ANW after allowing for tax and imputation credits</t>
  </si>
  <si>
    <t>Unexplained (could be due to errors in the calculation)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</si>
</sst>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-* #,##0.00_-;\-* #,##0.00_-;_-* &quot;-&quot;??_-;_-@_-"/>
    <numFmt numFmtId="177" formatCode="#,##0_ ;[Red]\(#,##0\);&quot;-&quot;_ "/>
    <numFmt numFmtId="178" formatCode="0.0%"/>
    <numFmt numFmtId="179" formatCode="#,##0.000_ ;[Red]\(#,##0.000\);&quot;-&quot;_ "/>
    <numFmt numFmtId="180" formatCode="_-* #,##0_-;\-* #,##0_-;_-* &quot;-&quot;??_-;_-@_-"/>
  </numFmts>
  <fonts count="14" x14ac:knownFonts="1"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indexed="8"/>
      <name val="Century Gothic"/>
      <family val="2"/>
    </font>
    <font>
      <u/>
      <sz val="11"/>
      <color indexed="8"/>
      <name val="Century Gothic"/>
      <family val="2"/>
    </font>
    <font>
      <b/>
      <sz val="11"/>
      <color indexed="8"/>
      <name val="Century Gothic"/>
      <family val="2"/>
    </font>
    <font>
      <sz val="10"/>
      <name val="Arial"/>
      <family val="2"/>
    </font>
    <font>
      <sz val="8"/>
      <name val="Calibri"/>
      <family val="2"/>
    </font>
    <font>
      <sz val="10"/>
      <color theme="1"/>
      <name val="Times New Roman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u/>
      <sz val="11"/>
      <color theme="1"/>
      <name val="Century Gothic"/>
      <family val="2"/>
    </font>
    <font>
      <sz val="11"/>
      <color rgb="FFFF0000"/>
      <name val="Century Gothic"/>
      <family val="2"/>
    </font>
    <font>
      <sz val="9"/>
      <name val="宋体"/>
      <family val="3"/>
      <charset val="134"/>
      <scheme val="minor"/>
    </font>
    <font>
      <i/>
      <sz val="11"/>
      <color rgb="FFFF000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176" fontId="1" fillId="0" borderId="0" applyFont="0" applyFill="0" applyBorder="0" applyAlignment="0" applyProtection="0"/>
    <xf numFmtId="0" fontId="5" fillId="0" borderId="0"/>
    <xf numFmtId="0" fontId="7" fillId="0" borderId="0"/>
    <xf numFmtId="9" fontId="1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/>
    <xf numFmtId="178" fontId="2" fillId="0" borderId="0" xfId="4" applyNumberFormat="1" applyFont="1"/>
    <xf numFmtId="177" fontId="2" fillId="0" borderId="0" xfId="0" applyNumberFormat="1" applyFo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77" fontId="2" fillId="0" borderId="0" xfId="0" applyNumberFormat="1" applyFont="1" applyBorder="1"/>
    <xf numFmtId="179" fontId="2" fillId="0" borderId="0" xfId="0" applyNumberFormat="1" applyFont="1" applyBorder="1"/>
    <xf numFmtId="177" fontId="2" fillId="0" borderId="8" xfId="0" applyNumberFormat="1" applyFont="1" applyBorder="1"/>
    <xf numFmtId="177" fontId="2" fillId="0" borderId="0" xfId="0" applyNumberFormat="1" applyFont="1" applyFill="1" applyBorder="1"/>
    <xf numFmtId="177" fontId="2" fillId="0" borderId="8" xfId="0" applyNumberFormat="1" applyFont="1" applyFill="1" applyBorder="1"/>
    <xf numFmtId="177" fontId="2" fillId="0" borderId="7" xfId="0" applyNumberFormat="1" applyFont="1" applyFill="1" applyBorder="1"/>
    <xf numFmtId="9" fontId="2" fillId="0" borderId="0" xfId="4" applyFo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2" xfId="2" applyFont="1" applyBorder="1" applyAlignment="1">
      <alignment horizontal="left" vertical="center"/>
    </xf>
    <xf numFmtId="0" fontId="2" fillId="0" borderId="7" xfId="0" applyFont="1" applyBorder="1"/>
    <xf numFmtId="0" fontId="2" fillId="0" borderId="2" xfId="0" applyFont="1" applyBorder="1"/>
    <xf numFmtId="0" fontId="2" fillId="0" borderId="1" xfId="0" applyFont="1" applyBorder="1"/>
    <xf numFmtId="0" fontId="2" fillId="0" borderId="8" xfId="0" applyFont="1" applyBorder="1"/>
    <xf numFmtId="0" fontId="3" fillId="0" borderId="7" xfId="0" applyFont="1" applyBorder="1"/>
    <xf numFmtId="0" fontId="2" fillId="0" borderId="6" xfId="0" applyFont="1" applyBorder="1"/>
    <xf numFmtId="0" fontId="3" fillId="0" borderId="2" xfId="0" applyFont="1" applyBorder="1"/>
    <xf numFmtId="178" fontId="2" fillId="0" borderId="3" xfId="4" applyNumberFormat="1" applyFont="1" applyBorder="1"/>
    <xf numFmtId="178" fontId="2" fillId="0" borderId="8" xfId="4" applyNumberFormat="1" applyFont="1" applyBorder="1"/>
    <xf numFmtId="0" fontId="2" fillId="0" borderId="7" xfId="0" quotePrefix="1" applyFont="1" applyBorder="1"/>
    <xf numFmtId="0" fontId="2" fillId="0" borderId="7" xfId="0" quotePrefix="1" applyFont="1" applyBorder="1" applyAlignment="1">
      <alignment horizontal="left" indent="2"/>
    </xf>
    <xf numFmtId="180" fontId="2" fillId="0" borderId="6" xfId="1" applyNumberFormat="1" applyFont="1" applyBorder="1"/>
    <xf numFmtId="178" fontId="2" fillId="0" borderId="5" xfId="4" applyNumberFormat="1" applyFont="1" applyBorder="1"/>
    <xf numFmtId="178" fontId="4" fillId="0" borderId="7" xfId="4" quotePrefix="1" applyNumberFormat="1" applyFont="1" applyBorder="1"/>
    <xf numFmtId="177" fontId="2" fillId="2" borderId="0" xfId="0" applyNumberFormat="1" applyFont="1" applyFill="1" applyBorder="1"/>
    <xf numFmtId="177" fontId="2" fillId="2" borderId="8" xfId="0" applyNumberFormat="1" applyFont="1" applyFill="1" applyBorder="1"/>
    <xf numFmtId="177" fontId="2" fillId="2" borderId="7" xfId="0" applyNumberFormat="1" applyFont="1" applyFill="1" applyBorder="1"/>
    <xf numFmtId="177" fontId="2" fillId="2" borderId="5" xfId="0" applyNumberFormat="1" applyFont="1" applyFill="1" applyBorder="1"/>
    <xf numFmtId="0" fontId="2" fillId="0" borderId="3" xfId="0" applyFont="1" applyFill="1" applyBorder="1" applyAlignment="1">
      <alignment horizontal="center" vertical="center" wrapText="1"/>
    </xf>
    <xf numFmtId="177" fontId="8" fillId="3" borderId="0" xfId="0" applyNumberFormat="1" applyFont="1" applyFill="1"/>
    <xf numFmtId="0" fontId="8" fillId="4" borderId="3" xfId="2" applyFont="1" applyFill="1" applyBorder="1" applyAlignment="1">
      <alignment horizontal="left" vertical="center"/>
    </xf>
    <xf numFmtId="0" fontId="8" fillId="3" borderId="8" xfId="0" applyFont="1" applyFill="1" applyBorder="1"/>
    <xf numFmtId="0" fontId="9" fillId="0" borderId="2" xfId="2" applyFont="1" applyBorder="1" applyAlignment="1">
      <alignment horizontal="left" vertical="center"/>
    </xf>
    <xf numFmtId="0" fontId="8" fillId="0" borderId="0" xfId="0" applyFont="1"/>
    <xf numFmtId="0" fontId="8" fillId="0" borderId="7" xfId="0" applyFont="1" applyBorder="1"/>
    <xf numFmtId="0" fontId="8" fillId="0" borderId="4" xfId="0" applyFont="1" applyBorder="1"/>
    <xf numFmtId="0" fontId="8" fillId="0" borderId="2" xfId="0" applyFont="1" applyBorder="1"/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77" fontId="8" fillId="3" borderId="8" xfId="0" applyNumberFormat="1" applyFont="1" applyFill="1" applyBorder="1"/>
    <xf numFmtId="0" fontId="8" fillId="0" borderId="8" xfId="0" applyFont="1" applyBorder="1"/>
    <xf numFmtId="0" fontId="10" fillId="0" borderId="7" xfId="0" applyFont="1" applyBorder="1"/>
    <xf numFmtId="177" fontId="8" fillId="0" borderId="0" xfId="0" applyNumberFormat="1" applyFont="1"/>
    <xf numFmtId="177" fontId="8" fillId="4" borderId="0" xfId="0" applyNumberFormat="1" applyFont="1" applyFill="1"/>
    <xf numFmtId="177" fontId="8" fillId="4" borderId="8" xfId="0" applyNumberFormat="1" applyFont="1" applyFill="1" applyBorder="1"/>
    <xf numFmtId="0" fontId="8" fillId="0" borderId="6" xfId="0" applyFont="1" applyBorder="1"/>
    <xf numFmtId="0" fontId="8" fillId="0" borderId="5" xfId="0" applyFont="1" applyBorder="1"/>
    <xf numFmtId="178" fontId="8" fillId="3" borderId="0" xfId="4" applyNumberFormat="1" applyFont="1" applyFill="1" applyAlignment="1">
      <alignment horizontal="center"/>
    </xf>
    <xf numFmtId="177" fontId="8" fillId="3" borderId="0" xfId="0" applyNumberFormat="1" applyFont="1" applyFill="1" applyAlignment="1">
      <alignment horizontal="center"/>
    </xf>
    <xf numFmtId="0" fontId="2" fillId="0" borderId="7" xfId="0" applyFont="1" applyBorder="1" applyAlignment="1">
      <alignment horizontal="left" vertical="center"/>
    </xf>
    <xf numFmtId="178" fontId="8" fillId="3" borderId="0" xfId="4" applyNumberFormat="1" applyFont="1" applyFill="1" applyAlignment="1">
      <alignment horizontal="center" vertical="center"/>
    </xf>
    <xf numFmtId="0" fontId="8" fillId="0" borderId="5" xfId="0" applyFont="1" applyFill="1" applyBorder="1"/>
    <xf numFmtId="0" fontId="2" fillId="0" borderId="0" xfId="0" applyFont="1"/>
    <xf numFmtId="0" fontId="8" fillId="0" borderId="0" xfId="0" applyFont="1"/>
    <xf numFmtId="0" fontId="8" fillId="0" borderId="5" xfId="0" applyFont="1" applyFill="1" applyBorder="1"/>
    <xf numFmtId="180" fontId="2" fillId="0" borderId="0" xfId="1" applyNumberFormat="1" applyFont="1"/>
    <xf numFmtId="180" fontId="2" fillId="0" borderId="0" xfId="0" applyNumberFormat="1" applyFont="1"/>
    <xf numFmtId="178" fontId="2" fillId="0" borderId="0" xfId="4" applyNumberFormat="1" applyFont="1" applyAlignment="1">
      <alignment horizontal="center"/>
    </xf>
    <xf numFmtId="0" fontId="8" fillId="0" borderId="7" xfId="0" applyFont="1" applyBorder="1" applyAlignment="1">
      <alignment wrapText="1"/>
    </xf>
    <xf numFmtId="177" fontId="8" fillId="4" borderId="0" xfId="0" applyNumberFormat="1" applyFont="1" applyFill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4" borderId="8" xfId="0" applyNumberFormat="1" applyFont="1" applyFill="1" applyBorder="1" applyAlignment="1">
      <alignment vertical="center"/>
    </xf>
    <xf numFmtId="178" fontId="2" fillId="5" borderId="8" xfId="4" applyNumberFormat="1" applyFont="1" applyFill="1" applyBorder="1"/>
    <xf numFmtId="178" fontId="2" fillId="5" borderId="8" xfId="4" applyNumberFormat="1" applyFont="1" applyFill="1" applyBorder="1" applyAlignment="1">
      <alignment wrapText="1"/>
    </xf>
    <xf numFmtId="177" fontId="11" fillId="2" borderId="0" xfId="0" applyNumberFormat="1" applyFont="1" applyFill="1" applyBorder="1"/>
    <xf numFmtId="0" fontId="2" fillId="5" borderId="8" xfId="0" applyFont="1" applyFill="1" applyBorder="1"/>
    <xf numFmtId="180" fontId="8" fillId="0" borderId="0" xfId="1" applyNumberFormat="1" applyFont="1"/>
    <xf numFmtId="180" fontId="8" fillId="0" borderId="8" xfId="1" applyNumberFormat="1" applyFont="1" applyBorder="1"/>
    <xf numFmtId="0" fontId="13" fillId="0" borderId="7" xfId="0" applyFont="1" applyBorder="1" applyAlignment="1">
      <alignment horizontal="right"/>
    </xf>
  </cellXfs>
  <cellStyles count="6">
    <cellStyle name="Comma" xfId="1" builtinId="3"/>
    <cellStyle name="Comma 2" xfId="5"/>
    <cellStyle name="Normal" xfId="0" builtinId="0"/>
    <cellStyle name="Normal 3" xfId="2"/>
    <cellStyle name="Normal 4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10" zoomScale="85" zoomScaleNormal="85" workbookViewId="0">
      <selection activeCell="D42" sqref="D42:D44"/>
    </sheetView>
  </sheetViews>
  <sheetFormatPr defaultColWidth="9.125" defaultRowHeight="16.5" x14ac:dyDescent="0.3"/>
  <cols>
    <col min="1" max="1" width="6.875" style="1" bestFit="1" customWidth="1"/>
    <col min="2" max="2" width="95.75" style="1" customWidth="1"/>
    <col min="3" max="3" width="25.875" style="1" bestFit="1" customWidth="1"/>
    <col min="4" max="4" width="55.875" style="1" customWidth="1"/>
    <col min="5" max="16384" width="9.125" style="1"/>
  </cols>
  <sheetData>
    <row r="1" spans="1:4" x14ac:dyDescent="0.3">
      <c r="A1" s="49" t="s">
        <v>55</v>
      </c>
      <c r="B1" s="47" t="s">
        <v>57</v>
      </c>
      <c r="C1" s="69"/>
      <c r="D1" s="69"/>
    </row>
    <row r="2" spans="1:4" s="2" customFormat="1" x14ac:dyDescent="0.3">
      <c r="A2" s="51"/>
      <c r="B2" s="48" t="s">
        <v>56</v>
      </c>
      <c r="C2" s="69"/>
      <c r="D2" s="4"/>
    </row>
    <row r="3" spans="1:4" s="2" customFormat="1" x14ac:dyDescent="0.3">
      <c r="A3" s="52"/>
      <c r="B3" s="71"/>
      <c r="C3" s="69"/>
      <c r="D3" s="4"/>
    </row>
    <row r="4" spans="1:4" s="2" customFormat="1" x14ac:dyDescent="0.3">
      <c r="A4" s="69"/>
      <c r="B4" s="69"/>
      <c r="C4" s="69"/>
      <c r="D4" s="4"/>
    </row>
    <row r="5" spans="1:4" x14ac:dyDescent="0.3">
      <c r="A5" s="69"/>
      <c r="B5" s="69"/>
      <c r="C5" s="69"/>
      <c r="D5" s="69"/>
    </row>
    <row r="6" spans="1:4" x14ac:dyDescent="0.3">
      <c r="A6" s="69"/>
      <c r="B6" s="33" t="s">
        <v>31</v>
      </c>
      <c r="C6" s="29"/>
      <c r="D6" s="34"/>
    </row>
    <row r="7" spans="1:4" x14ac:dyDescent="0.3">
      <c r="A7" s="69"/>
      <c r="B7" s="36" t="s">
        <v>12</v>
      </c>
      <c r="C7" s="69"/>
      <c r="D7" s="35"/>
    </row>
    <row r="8" spans="1:4" x14ac:dyDescent="0.3">
      <c r="A8" s="69"/>
      <c r="B8" s="36" t="s">
        <v>13</v>
      </c>
      <c r="C8" s="69"/>
      <c r="D8" s="35"/>
    </row>
    <row r="9" spans="1:4" x14ac:dyDescent="0.3">
      <c r="A9" s="69"/>
      <c r="B9" s="36" t="s">
        <v>65</v>
      </c>
      <c r="C9" s="69"/>
      <c r="D9" s="30"/>
    </row>
    <row r="10" spans="1:4" x14ac:dyDescent="0.3">
      <c r="A10" s="69"/>
      <c r="B10" s="36" t="s">
        <v>66</v>
      </c>
      <c r="C10" s="69"/>
      <c r="D10" s="30"/>
    </row>
    <row r="11" spans="1:4" x14ac:dyDescent="0.3">
      <c r="A11" s="69"/>
      <c r="B11" s="36"/>
      <c r="C11" s="69"/>
      <c r="D11" s="30"/>
    </row>
    <row r="12" spans="1:4" x14ac:dyDescent="0.3">
      <c r="A12" s="69"/>
      <c r="B12" s="27"/>
      <c r="C12" s="69"/>
      <c r="D12" s="35"/>
    </row>
    <row r="13" spans="1:4" x14ac:dyDescent="0.3">
      <c r="A13" s="69"/>
      <c r="B13" s="27" t="s">
        <v>54</v>
      </c>
      <c r="C13" s="64">
        <v>7.0000000000000007E-2</v>
      </c>
      <c r="D13" s="82"/>
    </row>
    <row r="14" spans="1:4" x14ac:dyDescent="0.3">
      <c r="A14" s="69"/>
      <c r="B14" s="27" t="s">
        <v>17</v>
      </c>
      <c r="C14" s="64">
        <v>0.08</v>
      </c>
      <c r="D14" s="79" t="s">
        <v>16</v>
      </c>
    </row>
    <row r="15" spans="1:4" x14ac:dyDescent="0.3">
      <c r="A15" s="69"/>
      <c r="B15" s="27" t="s">
        <v>3</v>
      </c>
      <c r="C15" s="64">
        <v>0.08</v>
      </c>
      <c r="D15" s="79" t="s">
        <v>15</v>
      </c>
    </row>
    <row r="16" spans="1:4" ht="33" x14ac:dyDescent="0.3">
      <c r="A16" s="69"/>
      <c r="B16" s="66" t="s">
        <v>5</v>
      </c>
      <c r="C16" s="67">
        <v>0.01</v>
      </c>
      <c r="D16" s="80" t="s">
        <v>68</v>
      </c>
    </row>
    <row r="17" spans="1:4" ht="33" x14ac:dyDescent="0.3">
      <c r="A17" s="69"/>
      <c r="B17" s="66" t="s">
        <v>39</v>
      </c>
      <c r="C17" s="67">
        <v>0.1</v>
      </c>
      <c r="D17" s="80" t="s">
        <v>67</v>
      </c>
    </row>
    <row r="18" spans="1:4" ht="33" x14ac:dyDescent="0.3">
      <c r="A18" s="69"/>
      <c r="B18" s="66" t="s">
        <v>40</v>
      </c>
      <c r="C18" s="67">
        <v>1</v>
      </c>
      <c r="D18" s="80" t="s">
        <v>67</v>
      </c>
    </row>
    <row r="19" spans="1:4" x14ac:dyDescent="0.3">
      <c r="A19" s="69"/>
      <c r="B19" s="27" t="s">
        <v>62</v>
      </c>
      <c r="C19" s="65">
        <f>1*10^6</f>
        <v>1000000</v>
      </c>
      <c r="D19" s="79"/>
    </row>
    <row r="20" spans="1:4" x14ac:dyDescent="0.3">
      <c r="A20" s="69"/>
      <c r="B20" s="27" t="s">
        <v>63</v>
      </c>
      <c r="C20" s="64">
        <v>0.03</v>
      </c>
      <c r="D20" s="79" t="s">
        <v>51</v>
      </c>
    </row>
    <row r="21" spans="1:4" x14ac:dyDescent="0.3">
      <c r="A21" s="69"/>
      <c r="B21" s="27" t="s">
        <v>52</v>
      </c>
      <c r="C21" s="64">
        <v>5.0000000000000001E-3</v>
      </c>
      <c r="D21" s="79" t="s">
        <v>15</v>
      </c>
    </row>
    <row r="22" spans="1:4" x14ac:dyDescent="0.3">
      <c r="A22" s="69"/>
      <c r="B22" s="27" t="s">
        <v>35</v>
      </c>
      <c r="C22" s="64">
        <v>0.03</v>
      </c>
      <c r="D22" s="79" t="s">
        <v>34</v>
      </c>
    </row>
    <row r="23" spans="1:4" x14ac:dyDescent="0.3">
      <c r="A23" s="69"/>
      <c r="B23" s="27" t="s">
        <v>64</v>
      </c>
      <c r="C23" s="64">
        <v>0.3</v>
      </c>
      <c r="D23" s="82"/>
    </row>
    <row r="24" spans="1:4" x14ac:dyDescent="0.3">
      <c r="A24" s="69"/>
      <c r="B24" s="27" t="s">
        <v>58</v>
      </c>
      <c r="C24" s="64">
        <v>0.7</v>
      </c>
      <c r="D24" s="82"/>
    </row>
    <row r="25" spans="1:4" x14ac:dyDescent="0.3">
      <c r="A25" s="69"/>
      <c r="B25" s="10"/>
      <c r="C25" s="32"/>
      <c r="D25" s="11"/>
    </row>
    <row r="26" spans="1:4" x14ac:dyDescent="0.3">
      <c r="A26" s="69"/>
      <c r="B26" s="31" t="s">
        <v>59</v>
      </c>
      <c r="C26" s="69"/>
      <c r="D26" s="35"/>
    </row>
    <row r="27" spans="1:4" x14ac:dyDescent="0.3">
      <c r="A27" s="69"/>
      <c r="B27" s="27"/>
      <c r="C27" s="69"/>
      <c r="D27" s="35"/>
    </row>
    <row r="28" spans="1:4" x14ac:dyDescent="0.3">
      <c r="A28" s="69"/>
      <c r="B28" s="36" t="s">
        <v>48</v>
      </c>
      <c r="C28" s="69"/>
      <c r="D28" s="30"/>
    </row>
    <row r="29" spans="1:4" x14ac:dyDescent="0.3">
      <c r="A29" s="69"/>
      <c r="B29" s="37" t="s">
        <v>37</v>
      </c>
      <c r="C29" s="65">
        <f>1*10^9</f>
        <v>1000000000</v>
      </c>
      <c r="D29" s="79"/>
    </row>
    <row r="30" spans="1:4" x14ac:dyDescent="0.3">
      <c r="A30" s="69"/>
      <c r="B30" s="37" t="s">
        <v>38</v>
      </c>
      <c r="C30" s="65">
        <f>1*10^8</f>
        <v>100000000</v>
      </c>
      <c r="D30" s="79"/>
    </row>
    <row r="31" spans="1:4" x14ac:dyDescent="0.3">
      <c r="A31" s="69"/>
      <c r="B31" s="10"/>
      <c r="C31" s="38"/>
      <c r="D31" s="39"/>
    </row>
    <row r="32" spans="1:4" x14ac:dyDescent="0.3">
      <c r="A32" s="69"/>
      <c r="B32" s="31" t="s">
        <v>32</v>
      </c>
      <c r="C32" s="72"/>
      <c r="D32" s="35"/>
    </row>
    <row r="33" spans="1:4" x14ac:dyDescent="0.3">
      <c r="A33" s="69"/>
      <c r="B33" s="27"/>
      <c r="C33" s="73"/>
      <c r="D33" s="30"/>
    </row>
    <row r="34" spans="1:4" x14ac:dyDescent="0.3">
      <c r="A34" s="69"/>
      <c r="B34" s="40" t="s">
        <v>69</v>
      </c>
      <c r="C34" s="73"/>
      <c r="D34" s="35"/>
    </row>
    <row r="35" spans="1:4" x14ac:dyDescent="0.3">
      <c r="A35" s="69"/>
      <c r="B35" s="27"/>
      <c r="C35" s="73"/>
      <c r="D35" s="35"/>
    </row>
    <row r="36" spans="1:4" x14ac:dyDescent="0.3">
      <c r="A36" s="69"/>
      <c r="B36" s="36" t="s">
        <v>71</v>
      </c>
      <c r="C36" s="65">
        <f>10*10^6</f>
        <v>10000000</v>
      </c>
      <c r="D36" s="79"/>
    </row>
    <row r="37" spans="1:4" x14ac:dyDescent="0.3">
      <c r="A37" s="69"/>
      <c r="B37" s="27"/>
      <c r="C37" s="73"/>
      <c r="D37" s="35"/>
    </row>
    <row r="38" spans="1:4" x14ac:dyDescent="0.3">
      <c r="A38" s="69"/>
      <c r="B38" s="36" t="s">
        <v>61</v>
      </c>
      <c r="C38" s="65">
        <f>100*10^6</f>
        <v>100000000</v>
      </c>
      <c r="D38" s="79"/>
    </row>
    <row r="39" spans="1:4" x14ac:dyDescent="0.3">
      <c r="A39" s="69"/>
      <c r="B39" s="36" t="s">
        <v>60</v>
      </c>
      <c r="C39" s="69"/>
      <c r="D39" s="35"/>
    </row>
    <row r="40" spans="1:4" x14ac:dyDescent="0.3">
      <c r="A40" s="69"/>
      <c r="B40" s="36"/>
      <c r="C40" s="69"/>
      <c r="D40" s="35"/>
    </row>
    <row r="41" spans="1:4" x14ac:dyDescent="0.3">
      <c r="A41" s="69"/>
      <c r="B41" s="36" t="s">
        <v>28</v>
      </c>
      <c r="C41" s="69"/>
      <c r="D41" s="35"/>
    </row>
    <row r="42" spans="1:4" x14ac:dyDescent="0.3">
      <c r="A42" s="69"/>
      <c r="B42" s="37" t="s">
        <v>29</v>
      </c>
      <c r="C42" s="64">
        <v>-0.1</v>
      </c>
      <c r="D42" s="79" t="s">
        <v>30</v>
      </c>
    </row>
    <row r="43" spans="1:4" x14ac:dyDescent="0.3">
      <c r="A43" s="69"/>
      <c r="B43" s="37" t="s">
        <v>49</v>
      </c>
      <c r="C43" s="64">
        <v>0.03</v>
      </c>
      <c r="D43" s="79" t="s">
        <v>15</v>
      </c>
    </row>
    <row r="44" spans="1:4" x14ac:dyDescent="0.3">
      <c r="A44" s="69"/>
      <c r="B44" s="37" t="s">
        <v>50</v>
      </c>
      <c r="C44" s="64">
        <v>0.08</v>
      </c>
      <c r="D44" s="79" t="s">
        <v>15</v>
      </c>
    </row>
    <row r="45" spans="1:4" x14ac:dyDescent="0.3">
      <c r="A45" s="69"/>
      <c r="B45" s="37"/>
      <c r="C45" s="74"/>
      <c r="D45" s="35"/>
    </row>
    <row r="46" spans="1:4" x14ac:dyDescent="0.3">
      <c r="A46" s="69"/>
      <c r="B46" s="10"/>
      <c r="C46" s="32"/>
      <c r="D46" s="39"/>
    </row>
    <row r="47" spans="1:4" x14ac:dyDescent="0.3">
      <c r="A47" s="69"/>
      <c r="B47" s="69"/>
      <c r="C47" s="69"/>
      <c r="D47" s="69"/>
    </row>
    <row r="48" spans="1:4" x14ac:dyDescent="0.3">
      <c r="A48" s="69"/>
      <c r="B48" s="69"/>
      <c r="C48" s="69"/>
      <c r="D48" s="69"/>
    </row>
    <row r="49" spans="1:4" x14ac:dyDescent="0.3">
      <c r="A49" s="69"/>
      <c r="B49" s="69"/>
      <c r="C49" s="69"/>
      <c r="D49" s="4"/>
    </row>
    <row r="50" spans="1:4" x14ac:dyDescent="0.3">
      <c r="B50" s="5"/>
      <c r="D50" s="5"/>
    </row>
    <row r="51" spans="1:4" x14ac:dyDescent="0.3">
      <c r="B51" s="5"/>
      <c r="D51" s="5"/>
    </row>
    <row r="53" spans="1:4" x14ac:dyDescent="0.3">
      <c r="B53" s="5"/>
      <c r="D53" s="5"/>
    </row>
    <row r="54" spans="1:4" x14ac:dyDescent="0.3">
      <c r="B54" s="5"/>
      <c r="D54" s="5"/>
    </row>
    <row r="55" spans="1:4" x14ac:dyDescent="0.3">
      <c r="B55" s="5"/>
      <c r="D55" s="5"/>
    </row>
    <row r="57" spans="1:4" x14ac:dyDescent="0.3">
      <c r="B57" s="5"/>
      <c r="D57" s="5"/>
    </row>
    <row r="58" spans="1:4" x14ac:dyDescent="0.3">
      <c r="B58" s="5"/>
      <c r="D58" s="5"/>
    </row>
    <row r="59" spans="1:4" x14ac:dyDescent="0.3">
      <c r="B59" s="5"/>
      <c r="D59" s="5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zoomScale="85" zoomScaleNormal="85" workbookViewId="0">
      <selection activeCell="C10" sqref="C10"/>
    </sheetView>
  </sheetViews>
  <sheetFormatPr defaultColWidth="9.125" defaultRowHeight="16.5" x14ac:dyDescent="0.3"/>
  <cols>
    <col min="1" max="1" width="6.875" style="1" bestFit="1" customWidth="1"/>
    <col min="2" max="2" width="38.625" style="1" bestFit="1" customWidth="1"/>
    <col min="3" max="8" width="18.75" style="1" customWidth="1"/>
    <col min="9" max="10" width="18.75" style="2" customWidth="1"/>
    <col min="11" max="17" width="18.75" style="1" customWidth="1"/>
    <col min="18" max="16384" width="9.125" style="1"/>
  </cols>
  <sheetData>
    <row r="1" spans="1:17" x14ac:dyDescent="0.3">
      <c r="A1" s="26" t="s">
        <v>55</v>
      </c>
      <c r="B1" s="47" t="s">
        <v>57</v>
      </c>
    </row>
    <row r="2" spans="1:17" x14ac:dyDescent="0.3">
      <c r="A2" s="27"/>
      <c r="B2" s="48" t="s">
        <v>56</v>
      </c>
    </row>
    <row r="3" spans="1:17" x14ac:dyDescent="0.3">
      <c r="A3" s="10"/>
      <c r="B3" s="68"/>
    </row>
    <row r="5" spans="1:17" x14ac:dyDescent="0.3">
      <c r="B5" s="3" t="s">
        <v>11</v>
      </c>
    </row>
    <row r="7" spans="1:17" ht="33" x14ac:dyDescent="0.3">
      <c r="B7" s="28"/>
      <c r="C7" s="45" t="s">
        <v>18</v>
      </c>
      <c r="D7" s="45" t="s">
        <v>41</v>
      </c>
    </row>
    <row r="8" spans="1:17" x14ac:dyDescent="0.3">
      <c r="B8" s="27" t="s">
        <v>22</v>
      </c>
      <c r="C8" s="42">
        <f>'Key Information'!$C$29-'Key Information'!$C$30-K17</f>
        <v>836000000</v>
      </c>
      <c r="D8" s="42">
        <f>C8*(1+'Key Information'!$C$22)+P18+N18*'Key Information'!$C$24</f>
        <v>868553680</v>
      </c>
    </row>
    <row r="9" spans="1:17" x14ac:dyDescent="0.3">
      <c r="B9" s="27" t="s">
        <v>21</v>
      </c>
      <c r="C9" s="42">
        <f>Q17</f>
        <v>55583037.883884162</v>
      </c>
      <c r="D9" s="42">
        <f>Q18</f>
        <v>53167770.535756059</v>
      </c>
    </row>
    <row r="10" spans="1:17" x14ac:dyDescent="0.3">
      <c r="B10" s="27" t="s">
        <v>44</v>
      </c>
      <c r="C10" s="42">
        <f>'Key Information'!$C$24*O17</f>
        <v>8457338.4825944789</v>
      </c>
      <c r="D10" s="42">
        <f>'Key Information'!$C$24*O18</f>
        <v>7881752.176376095</v>
      </c>
    </row>
    <row r="11" spans="1:17" x14ac:dyDescent="0.3">
      <c r="B11" s="10" t="s">
        <v>23</v>
      </c>
      <c r="C11" s="44">
        <f>SUM(C8:C10)</f>
        <v>900040376.36647868</v>
      </c>
      <c r="D11" s="44">
        <f>SUM(D8:D10)</f>
        <v>929603202.71213222</v>
      </c>
    </row>
    <row r="13" spans="1:17" x14ac:dyDescent="0.3">
      <c r="B13" s="3" t="s">
        <v>53</v>
      </c>
      <c r="C13" s="3"/>
    </row>
    <row r="15" spans="1:17" ht="57.6" customHeight="1" x14ac:dyDescent="0.3">
      <c r="B15" s="6" t="s">
        <v>2</v>
      </c>
      <c r="C15" s="7" t="s">
        <v>1</v>
      </c>
      <c r="D15" s="8" t="s">
        <v>3</v>
      </c>
      <c r="E15" s="8" t="s">
        <v>5</v>
      </c>
      <c r="F15" s="8" t="s">
        <v>4</v>
      </c>
      <c r="G15" s="8" t="s">
        <v>6</v>
      </c>
      <c r="H15" s="9" t="s">
        <v>14</v>
      </c>
      <c r="I15" s="8" t="s">
        <v>19</v>
      </c>
      <c r="J15" s="8" t="s">
        <v>7</v>
      </c>
      <c r="K15" s="9" t="s">
        <v>10</v>
      </c>
      <c r="L15" s="8" t="s">
        <v>8</v>
      </c>
      <c r="M15" s="9" t="s">
        <v>9</v>
      </c>
      <c r="N15" s="6" t="s">
        <v>42</v>
      </c>
      <c r="O15" s="9" t="s">
        <v>43</v>
      </c>
      <c r="P15" s="6" t="s">
        <v>46</v>
      </c>
      <c r="Q15" s="9" t="s">
        <v>47</v>
      </c>
    </row>
    <row r="16" spans="1:17" x14ac:dyDescent="0.3">
      <c r="B16" s="10"/>
      <c r="C16" s="11"/>
      <c r="D16" s="12" t="s">
        <v>0</v>
      </c>
      <c r="E16" s="12" t="s">
        <v>0</v>
      </c>
      <c r="F16" s="12" t="s">
        <v>0</v>
      </c>
      <c r="G16" s="12" t="s">
        <v>0</v>
      </c>
      <c r="H16" s="13" t="s">
        <v>0</v>
      </c>
      <c r="I16" s="12" t="s">
        <v>0</v>
      </c>
      <c r="J16" s="12" t="s">
        <v>0</v>
      </c>
      <c r="K16" s="13" t="s">
        <v>0</v>
      </c>
      <c r="L16" s="12" t="s">
        <v>0</v>
      </c>
      <c r="M16" s="13" t="s">
        <v>0</v>
      </c>
      <c r="N16" s="14" t="s">
        <v>0</v>
      </c>
      <c r="O16" s="13" t="s">
        <v>0</v>
      </c>
      <c r="P16" s="14" t="s">
        <v>0</v>
      </c>
      <c r="Q16" s="13" t="s">
        <v>0</v>
      </c>
    </row>
    <row r="17" spans="1:17" x14ac:dyDescent="0.3">
      <c r="B17" s="15">
        <v>2019</v>
      </c>
      <c r="C17" s="16">
        <v>0</v>
      </c>
      <c r="D17" s="17"/>
      <c r="E17" s="17"/>
      <c r="F17" s="18"/>
      <c r="G17" s="17"/>
      <c r="H17" s="19"/>
      <c r="I17" s="46">
        <f>800*10^6</f>
        <v>800000000</v>
      </c>
      <c r="J17" s="41">
        <f>I17</f>
        <v>800000000</v>
      </c>
      <c r="K17" s="42">
        <f>I17*'Key Information'!$C$14</f>
        <v>64000000</v>
      </c>
      <c r="L17" s="20"/>
      <c r="M17" s="21"/>
      <c r="N17" s="22"/>
      <c r="O17" s="42">
        <f>NPV('Key Information'!$C$13,N18:$N$38)</f>
        <v>12081912.117992112</v>
      </c>
      <c r="P17" s="22"/>
      <c r="Q17" s="42">
        <f>NPV('Key Information'!$C$13,$P18:P$38)</f>
        <v>55583037.883884162</v>
      </c>
    </row>
    <row r="18" spans="1:17" x14ac:dyDescent="0.3">
      <c r="A18" s="23"/>
      <c r="B18" s="15">
        <v>2020</v>
      </c>
      <c r="C18" s="16">
        <v>1</v>
      </c>
      <c r="D18" s="41">
        <f>I17*'Key Information'!$C$15</f>
        <v>64000000</v>
      </c>
      <c r="E18" s="41">
        <f>(I17+D18)*'Key Information'!$C$16</f>
        <v>8640000</v>
      </c>
      <c r="F18" s="41">
        <f>(I17+D18-E18)*'Key Information'!$C$17</f>
        <v>85536000</v>
      </c>
      <c r="G18" s="41">
        <f>'Key Information'!$C$19*(1+'Key Information'!$C$20)^(C18-1)+I17*'Key Information'!$C$21</f>
        <v>5000000</v>
      </c>
      <c r="H18" s="42">
        <f>K17*'Key Information'!$C$22</f>
        <v>1920000</v>
      </c>
      <c r="I18" s="41">
        <f>I17+D18-E18-F18</f>
        <v>769824000</v>
      </c>
      <c r="J18" s="41">
        <f t="shared" ref="J18:J37" si="0">I18</f>
        <v>769824000</v>
      </c>
      <c r="K18" s="42">
        <f>I18*'Key Information'!$C$14</f>
        <v>61585920</v>
      </c>
      <c r="L18" s="41">
        <f>E18-G18</f>
        <v>3640000</v>
      </c>
      <c r="M18" s="42">
        <f>K17-K18</f>
        <v>2414080</v>
      </c>
      <c r="N18" s="43">
        <f>(H18+L18)*'Key Information'!$C$23</f>
        <v>1668000</v>
      </c>
      <c r="O18" s="42">
        <f>NPV('Key Information'!$C$13,N19:$N$38)</f>
        <v>11259645.966251565</v>
      </c>
      <c r="P18" s="43">
        <f>L18+M18+H18-N18</f>
        <v>6306080</v>
      </c>
      <c r="Q18" s="42">
        <f>NPV('Key Information'!$C$13,$P19:P$38)</f>
        <v>53167770.535756059</v>
      </c>
    </row>
    <row r="19" spans="1:17" x14ac:dyDescent="0.3">
      <c r="A19" s="23"/>
      <c r="B19" s="15">
        <v>2021</v>
      </c>
      <c r="C19" s="16">
        <v>2</v>
      </c>
      <c r="D19" s="41">
        <f>I18*'Key Information'!$C$15</f>
        <v>61585920</v>
      </c>
      <c r="E19" s="41">
        <f>(I18+D19)*'Key Information'!$C$16</f>
        <v>8314099.2000000002</v>
      </c>
      <c r="F19" s="41">
        <f>(I18+D19-E19)*'Key Information'!$C$17</f>
        <v>82309582.079999998</v>
      </c>
      <c r="G19" s="41">
        <f>'Key Information'!$C$19*(1+'Key Information'!$C$20)^(C19-1)+I18*'Key Information'!$C$21</f>
        <v>4879120</v>
      </c>
      <c r="H19" s="42">
        <f>K18*'Key Information'!$C$22</f>
        <v>1847577.5999999999</v>
      </c>
      <c r="I19" s="41">
        <f t="shared" ref="I19:I37" si="1">I18+D19-E19-F19</f>
        <v>740786238.71999991</v>
      </c>
      <c r="J19" s="41">
        <f t="shared" si="0"/>
        <v>740786238.71999991</v>
      </c>
      <c r="K19" s="42">
        <f>I19*'Key Information'!$C$14</f>
        <v>59262899.097599991</v>
      </c>
      <c r="L19" s="41">
        <f t="shared" ref="L19:L37" si="2">E19-G19</f>
        <v>3434979.2</v>
      </c>
      <c r="M19" s="42">
        <f t="shared" ref="M19:M37" si="3">K18-K19</f>
        <v>2323020.9024000093</v>
      </c>
      <c r="N19" s="43">
        <f>(H19+L19)*'Key Information'!$C$23</f>
        <v>1584767.0399999998</v>
      </c>
      <c r="O19" s="42">
        <f>NPV('Key Information'!$C$13,N20:$N$38)</f>
        <v>10463054.143889176</v>
      </c>
      <c r="P19" s="43">
        <f t="shared" ref="P19:P37" si="4">L19+M19+H19-N19</f>
        <v>6020810.6624000091</v>
      </c>
      <c r="Q19" s="42">
        <f>NPV('Key Information'!$C$13,$P20:P$38)</f>
        <v>50868703.810858957</v>
      </c>
    </row>
    <row r="20" spans="1:17" x14ac:dyDescent="0.3">
      <c r="A20" s="23"/>
      <c r="B20" s="15">
        <v>2022</v>
      </c>
      <c r="C20" s="16">
        <v>3</v>
      </c>
      <c r="D20" s="41">
        <f>I19*'Key Information'!$C$15</f>
        <v>59262899.097599991</v>
      </c>
      <c r="E20" s="41">
        <f>(I19+D20)*'Key Information'!$C$16</f>
        <v>8000491.378175999</v>
      </c>
      <c r="F20" s="41">
        <f>(I19+D20-E20)*'Key Information'!$C$17</f>
        <v>79204864.643942401</v>
      </c>
      <c r="G20" s="41">
        <f>'Key Information'!$C$19*(1+'Key Information'!$C$20)^(C20-1)+I19*'Key Information'!$C$21</f>
        <v>4764831.193599999</v>
      </c>
      <c r="H20" s="42">
        <f>K19*'Key Information'!$C$22</f>
        <v>1777886.9729279997</v>
      </c>
      <c r="I20" s="41">
        <f t="shared" si="1"/>
        <v>712843781.79548156</v>
      </c>
      <c r="J20" s="41">
        <f t="shared" si="0"/>
        <v>712843781.79548156</v>
      </c>
      <c r="K20" s="42">
        <f>I20*'Key Information'!$C$14</f>
        <v>57027502.543638527</v>
      </c>
      <c r="L20" s="41">
        <f t="shared" si="2"/>
        <v>3235660.1845760001</v>
      </c>
      <c r="M20" s="42">
        <f t="shared" si="3"/>
        <v>2235396.5539614633</v>
      </c>
      <c r="N20" s="43">
        <f>(H20+L20)*'Key Information'!$C$23</f>
        <v>1504064.1472511999</v>
      </c>
      <c r="O20" s="42">
        <f>NPV('Key Information'!$C$13,N21:$N$38)</f>
        <v>9691403.7867102176</v>
      </c>
      <c r="P20" s="43">
        <f t="shared" si="4"/>
        <v>5744879.5642142631</v>
      </c>
      <c r="Q20" s="42">
        <f>NPV('Key Information'!$C$13,$P21:P$38)</f>
        <v>48684633.513404839</v>
      </c>
    </row>
    <row r="21" spans="1:17" x14ac:dyDescent="0.3">
      <c r="A21" s="23"/>
      <c r="B21" s="15">
        <v>2023</v>
      </c>
      <c r="C21" s="16">
        <v>4</v>
      </c>
      <c r="D21" s="41">
        <f>I20*'Key Information'!$C$15</f>
        <v>57027502.543638527</v>
      </c>
      <c r="E21" s="41">
        <f>(I20+D21)*'Key Information'!$C$16</f>
        <v>7698712.8433912015</v>
      </c>
      <c r="F21" s="41">
        <f>(I20+D21-E21)*'Key Information'!$C$17</f>
        <v>76217257.149572894</v>
      </c>
      <c r="G21" s="41">
        <f>'Key Information'!$C$19*(1+'Key Information'!$C$20)^(C21-1)+I20*'Key Information'!$C$21</f>
        <v>4656945.908977408</v>
      </c>
      <c r="H21" s="42">
        <f>K20*'Key Information'!$C$22</f>
        <v>1710825.0763091557</v>
      </c>
      <c r="I21" s="41">
        <f t="shared" si="1"/>
        <v>685955314.34615612</v>
      </c>
      <c r="J21" s="41">
        <f t="shared" si="0"/>
        <v>685955314.34615612</v>
      </c>
      <c r="K21" s="42">
        <f>I21*'Key Information'!$C$14</f>
        <v>54876425.147692494</v>
      </c>
      <c r="L21" s="41">
        <f t="shared" si="2"/>
        <v>3041766.9344137935</v>
      </c>
      <c r="M21" s="42">
        <f t="shared" si="3"/>
        <v>2151077.3959460333</v>
      </c>
      <c r="N21" s="43">
        <f>(H21+L21)*'Key Information'!$C$23</f>
        <v>1425777.6032168847</v>
      </c>
      <c r="O21" s="42">
        <f>NPV('Key Information'!$C$13,N22:$N$38)</f>
        <v>8944024.4485630486</v>
      </c>
      <c r="P21" s="43">
        <f t="shared" si="4"/>
        <v>5477891.8034520978</v>
      </c>
      <c r="Q21" s="42">
        <f>NPV('Key Information'!$C$13,$P22:P$38)</f>
        <v>46614666.055891067</v>
      </c>
    </row>
    <row r="22" spans="1:17" x14ac:dyDescent="0.3">
      <c r="A22" s="23"/>
      <c r="B22" s="15">
        <v>2024</v>
      </c>
      <c r="C22" s="16">
        <v>5</v>
      </c>
      <c r="D22" s="41">
        <f>I21*'Key Information'!$C$15</f>
        <v>54876425.147692494</v>
      </c>
      <c r="E22" s="41">
        <f>(I21+D22)*'Key Information'!$C$16</f>
        <v>7408317.3949384857</v>
      </c>
      <c r="F22" s="41">
        <f>(I21+D22-E22)*'Key Information'!$C$17</f>
        <v>73342342.209891006</v>
      </c>
      <c r="G22" s="41">
        <f>'Key Information'!$C$19*(1+'Key Information'!$C$20)^(C22-1)+I21*'Key Information'!$C$21</f>
        <v>4555285.3817307809</v>
      </c>
      <c r="H22" s="42">
        <f>K21*'Key Information'!$C$22</f>
        <v>1646292.7544307748</v>
      </c>
      <c r="I22" s="41">
        <f t="shared" si="1"/>
        <v>660081079.88901913</v>
      </c>
      <c r="J22" s="41">
        <f t="shared" si="0"/>
        <v>660081079.88901913</v>
      </c>
      <c r="K22" s="42">
        <f>I22*'Key Information'!$C$14</f>
        <v>52806486.391121529</v>
      </c>
      <c r="L22" s="41">
        <f t="shared" si="2"/>
        <v>2853032.0132077048</v>
      </c>
      <c r="M22" s="42">
        <f t="shared" si="3"/>
        <v>2069938.7565709651</v>
      </c>
      <c r="N22" s="43">
        <f>(H22+L22)*'Key Information'!$C$23</f>
        <v>1349797.4302915437</v>
      </c>
      <c r="O22" s="42">
        <f>NPV('Key Information'!$C$13,N23:$N$38)</f>
        <v>8220308.7296709167</v>
      </c>
      <c r="P22" s="43">
        <f t="shared" si="4"/>
        <v>5219466.0939179007</v>
      </c>
      <c r="Q22" s="42">
        <f>NPV('Key Information'!$C$13,$P23:P$38)</f>
        <v>44658226.585885555</v>
      </c>
    </row>
    <row r="23" spans="1:17" x14ac:dyDescent="0.3">
      <c r="A23" s="23"/>
      <c r="B23" s="15">
        <v>2025</v>
      </c>
      <c r="C23" s="16">
        <v>6</v>
      </c>
      <c r="D23" s="41">
        <f>I22*'Key Information'!$C$15</f>
        <v>52806486.391121529</v>
      </c>
      <c r="E23" s="41">
        <f>(I22+D23)*'Key Information'!$C$16</f>
        <v>7128875.6628014063</v>
      </c>
      <c r="F23" s="41">
        <f>(I22+D23-E23)*'Key Information'!$C$17</f>
        <v>70575869.061733931</v>
      </c>
      <c r="G23" s="41">
        <f>'Key Information'!$C$19*(1+'Key Information'!$C$20)^(C23-1)+I22*'Key Information'!$C$21</f>
        <v>4459679.4737450955</v>
      </c>
      <c r="H23" s="42">
        <f>K22*'Key Information'!$C$22</f>
        <v>1584194.5917336459</v>
      </c>
      <c r="I23" s="41">
        <f t="shared" si="1"/>
        <v>635182821.55560529</v>
      </c>
      <c r="J23" s="41">
        <f t="shared" si="0"/>
        <v>635182821.55560529</v>
      </c>
      <c r="K23" s="42">
        <f>I23*'Key Information'!$C$14</f>
        <v>50814625.724448428</v>
      </c>
      <c r="L23" s="41">
        <f t="shared" si="2"/>
        <v>2669196.1890563108</v>
      </c>
      <c r="M23" s="42">
        <f t="shared" si="3"/>
        <v>1991860.6666731015</v>
      </c>
      <c r="N23" s="43">
        <f>(H23+L23)*'Key Information'!$C$23</f>
        <v>1276017.2342369868</v>
      </c>
      <c r="O23" s="42">
        <f>NPV('Key Information'!$C$13,N24:$N$38)</f>
        <v>7519713.1065108972</v>
      </c>
      <c r="P23" s="43">
        <f t="shared" si="4"/>
        <v>4969234.2132260706</v>
      </c>
      <c r="Q23" s="42">
        <f>NPV('Key Information'!$C$13,$P24:P$38)</f>
        <v>42815068.233671479</v>
      </c>
    </row>
    <row r="24" spans="1:17" x14ac:dyDescent="0.3">
      <c r="A24" s="23"/>
      <c r="B24" s="15">
        <v>2026</v>
      </c>
      <c r="C24" s="16">
        <v>7</v>
      </c>
      <c r="D24" s="41">
        <f>I23*'Key Information'!$C$15</f>
        <v>50814625.724448428</v>
      </c>
      <c r="E24" s="41">
        <f>(I23+D24)*'Key Information'!$C$16</f>
        <v>6859974.4728005379</v>
      </c>
      <c r="F24" s="41">
        <f>(I23+D24-E24)*'Key Information'!$C$17</f>
        <v>67913747.28072533</v>
      </c>
      <c r="G24" s="41">
        <f>'Key Information'!$C$19*(1+'Key Information'!$C$20)^(C24-1)+I23*'Key Information'!$C$21</f>
        <v>4369966.4043070264</v>
      </c>
      <c r="H24" s="42">
        <f>K23*'Key Information'!$C$22</f>
        <v>1524438.7717334528</v>
      </c>
      <c r="I24" s="41">
        <f t="shared" si="1"/>
        <v>611223725.52652788</v>
      </c>
      <c r="J24" s="41">
        <f t="shared" si="0"/>
        <v>611223725.52652788</v>
      </c>
      <c r="K24" s="42">
        <f>I24*'Key Information'!$C$14</f>
        <v>48897898.04212223</v>
      </c>
      <c r="L24" s="41">
        <f t="shared" si="2"/>
        <v>2490008.0684935115</v>
      </c>
      <c r="M24" s="42">
        <f t="shared" si="3"/>
        <v>1916727.6823261976</v>
      </c>
      <c r="N24" s="43">
        <f>(H24+L24)*'Key Information'!$C$23</f>
        <v>1204334.0520680891</v>
      </c>
      <c r="O24" s="42">
        <f>NPV('Key Information'!$C$13,N25:$N$38)</f>
        <v>6841758.9718985716</v>
      </c>
      <c r="P24" s="43">
        <f t="shared" si="4"/>
        <v>4726840.4704850726</v>
      </c>
      <c r="Q24" s="42">
        <f>NPV('Key Information'!$C$13,$P25:P$38)</f>
        <v>41085282.53954342</v>
      </c>
    </row>
    <row r="25" spans="1:17" x14ac:dyDescent="0.3">
      <c r="A25" s="23"/>
      <c r="B25" s="15">
        <v>2027</v>
      </c>
      <c r="C25" s="16">
        <v>8</v>
      </c>
      <c r="D25" s="41">
        <f>I24*'Key Information'!$C$15</f>
        <v>48897898.04212223</v>
      </c>
      <c r="E25" s="41">
        <f>(I24+D25)*'Key Information'!$C$16</f>
        <v>6601216.2356865015</v>
      </c>
      <c r="F25" s="41">
        <f>(I24+D25-E25)*'Key Information'!$C$17</f>
        <v>65352040.733296365</v>
      </c>
      <c r="G25" s="41">
        <f>'Key Information'!$C$19*(1+'Key Information'!$C$20)^(C25-1)+I24*'Key Information'!$C$21</f>
        <v>4285992.4930575099</v>
      </c>
      <c r="H25" s="42">
        <f>K24*'Key Information'!$C$22</f>
        <v>1466936.9412636668</v>
      </c>
      <c r="I25" s="41">
        <f t="shared" si="1"/>
        <v>588168366.59966719</v>
      </c>
      <c r="J25" s="41">
        <f t="shared" si="0"/>
        <v>588168366.59966719</v>
      </c>
      <c r="K25" s="42">
        <f>I25*'Key Information'!$C$14</f>
        <v>47053469.327973373</v>
      </c>
      <c r="L25" s="41">
        <f t="shared" si="2"/>
        <v>2315223.7426289916</v>
      </c>
      <c r="M25" s="42">
        <f t="shared" si="3"/>
        <v>1844428.7141488567</v>
      </c>
      <c r="N25" s="43">
        <f>(H25+L25)*'Key Information'!$C$23</f>
        <v>1134648.2051677974</v>
      </c>
      <c r="O25" s="42">
        <f>NPV('Key Information'!$C$13,N26:$N$38)</f>
        <v>6186033.8947636737</v>
      </c>
      <c r="P25" s="43">
        <f t="shared" si="4"/>
        <v>4491941.1928737173</v>
      </c>
      <c r="Q25" s="42">
        <f>NPV('Key Information'!$C$13,$P26:P$38)</f>
        <v>39469311.124437742</v>
      </c>
    </row>
    <row r="26" spans="1:17" x14ac:dyDescent="0.3">
      <c r="A26" s="23"/>
      <c r="B26" s="15">
        <v>2028</v>
      </c>
      <c r="C26" s="16">
        <v>9</v>
      </c>
      <c r="D26" s="41">
        <f>I25*'Key Information'!$C$15</f>
        <v>47053469.327973373</v>
      </c>
      <c r="E26" s="41">
        <f>(I25+D26)*'Key Information'!$C$16</f>
        <v>6352218.3592764055</v>
      </c>
      <c r="F26" s="41">
        <f>(I25+D26-E26)*'Key Information'!$C$17</f>
        <v>62886961.756836414</v>
      </c>
      <c r="G26" s="41">
        <f>'Key Information'!$C$19*(1+'Key Information'!$C$20)^(C26-1)+I25*'Key Information'!$C$21</f>
        <v>4207611.9143859521</v>
      </c>
      <c r="H26" s="42">
        <f>K25*'Key Information'!$C$22</f>
        <v>1411604.0798392012</v>
      </c>
      <c r="I26" s="41">
        <f t="shared" si="1"/>
        <v>565982655.81152773</v>
      </c>
      <c r="J26" s="41">
        <f t="shared" si="0"/>
        <v>565982655.81152773</v>
      </c>
      <c r="K26" s="42">
        <f>I26*'Key Information'!$C$14</f>
        <v>45278612.46492222</v>
      </c>
      <c r="L26" s="41">
        <f t="shared" si="2"/>
        <v>2144606.4448904535</v>
      </c>
      <c r="M26" s="42">
        <f t="shared" si="3"/>
        <v>1774856.8630511537</v>
      </c>
      <c r="N26" s="43">
        <f>(H26+L26)*'Key Information'!$C$23</f>
        <v>1066863.1574188964</v>
      </c>
      <c r="O26" s="42">
        <f>NPV('Key Information'!$C$13,N27:$N$38)</f>
        <v>5552193.1099782335</v>
      </c>
      <c r="P26" s="43">
        <f t="shared" si="4"/>
        <v>4264204.2303619115</v>
      </c>
      <c r="Q26" s="42">
        <f>NPV('Key Information'!$C$13,$P27:P$38)</f>
        <v>37967958.672786467</v>
      </c>
    </row>
    <row r="27" spans="1:17" x14ac:dyDescent="0.3">
      <c r="A27" s="23"/>
      <c r="B27" s="15">
        <v>2029</v>
      </c>
      <c r="C27" s="16">
        <v>10</v>
      </c>
      <c r="D27" s="41">
        <f>I26*'Key Information'!$C$15</f>
        <v>45278612.46492222</v>
      </c>
      <c r="E27" s="41">
        <f>(I26+D27)*'Key Information'!$C$16</f>
        <v>6112612.6827644994</v>
      </c>
      <c r="F27" s="41">
        <f>(I26+D27-E27)*'Key Information'!$C$17</f>
        <v>60514865.559368543</v>
      </c>
      <c r="G27" s="41">
        <f>'Key Information'!$C$19*(1+'Key Information'!$C$20)^(C27-1)+I26*'Key Information'!$C$21</f>
        <v>4134686.4628868829</v>
      </c>
      <c r="H27" s="42">
        <f>K26*'Key Information'!$C$22</f>
        <v>1358358.3739476665</v>
      </c>
      <c r="I27" s="41">
        <f t="shared" si="1"/>
        <v>544633790.0343169</v>
      </c>
      <c r="J27" s="41">
        <f t="shared" si="0"/>
        <v>544633790.0343169</v>
      </c>
      <c r="K27" s="42">
        <f>I27*'Key Information'!$C$14</f>
        <v>43570703.202745356</v>
      </c>
      <c r="L27" s="41">
        <f t="shared" si="2"/>
        <v>1977926.2198776165</v>
      </c>
      <c r="M27" s="42">
        <f t="shared" si="3"/>
        <v>1707909.2621768638</v>
      </c>
      <c r="N27" s="43">
        <f>(H27+L27)*'Key Information'!$C$23</f>
        <v>1000885.3781475849</v>
      </c>
      <c r="O27" s="42">
        <f>NPV('Key Information'!$C$13,N28:$N$38)</f>
        <v>4939961.2495291261</v>
      </c>
      <c r="P27" s="43">
        <f t="shared" si="4"/>
        <v>4043308.4778545615</v>
      </c>
      <c r="Q27" s="42">
        <f>NPV('Key Information'!$C$13,$P28:P$38)</f>
        <v>36582407.302026965</v>
      </c>
    </row>
    <row r="28" spans="1:17" x14ac:dyDescent="0.3">
      <c r="A28" s="23"/>
      <c r="B28" s="15">
        <v>2030</v>
      </c>
      <c r="C28" s="16">
        <v>11</v>
      </c>
      <c r="D28" s="41">
        <f>I27*'Key Information'!$C$15</f>
        <v>43570703.202745356</v>
      </c>
      <c r="E28" s="41">
        <f>(I27+D28)*'Key Information'!$C$16</f>
        <v>5882044.9323706226</v>
      </c>
      <c r="F28" s="41">
        <f>(I27+D28-E28)*'Key Information'!$C$17</f>
        <v>58232244.830469161</v>
      </c>
      <c r="G28" s="41">
        <f>'Key Information'!$C$19*(1+'Key Information'!$C$20)^(C28-1)+I27*'Key Information'!$C$21</f>
        <v>4067085.3295157067</v>
      </c>
      <c r="H28" s="42">
        <f>K27*'Key Information'!$C$22</f>
        <v>1307121.0960823607</v>
      </c>
      <c r="I28" s="41">
        <f t="shared" si="1"/>
        <v>524090203.47422242</v>
      </c>
      <c r="J28" s="41">
        <f t="shared" si="0"/>
        <v>524090203.47422242</v>
      </c>
      <c r="K28" s="42">
        <f>I28*'Key Information'!$C$14</f>
        <v>41927216.277937792</v>
      </c>
      <c r="L28" s="41">
        <f t="shared" si="2"/>
        <v>1814959.6028549159</v>
      </c>
      <c r="M28" s="42">
        <f t="shared" si="3"/>
        <v>1643486.9248075634</v>
      </c>
      <c r="N28" s="43">
        <f>(H28+L28)*'Key Information'!$C$23</f>
        <v>936624.20968118287</v>
      </c>
      <c r="O28" s="42">
        <f>NPV('Key Information'!$C$13,N29:$N$38)</f>
        <v>4349134.3273149831</v>
      </c>
      <c r="P28" s="43">
        <f t="shared" si="4"/>
        <v>3828943.4140636567</v>
      </c>
      <c r="Q28" s="42">
        <f>NPV('Key Information'!$C$13,$P29:P$38)</f>
        <v>35314232.399105199</v>
      </c>
    </row>
    <row r="29" spans="1:17" x14ac:dyDescent="0.3">
      <c r="A29" s="23"/>
      <c r="B29" s="15">
        <v>2031</v>
      </c>
      <c r="C29" s="16">
        <v>12</v>
      </c>
      <c r="D29" s="41">
        <f>I28*'Key Information'!$C$15</f>
        <v>41927216.277937792</v>
      </c>
      <c r="E29" s="41">
        <f>(I28+D29)*'Key Information'!$C$16</f>
        <v>5660174.1975216018</v>
      </c>
      <c r="F29" s="41">
        <f>(I28+D29-E29)*'Key Information'!$C$17</f>
        <v>56035724.555463865</v>
      </c>
      <c r="G29" s="41">
        <f>'Key Information'!$C$19*(1+'Key Information'!$C$20)^(C29-1)+I28*'Key Information'!$C$21</f>
        <v>4004684.8880955577</v>
      </c>
      <c r="H29" s="42">
        <f>K28*'Key Information'!$C$22</f>
        <v>1257816.4883381338</v>
      </c>
      <c r="I29" s="41">
        <f t="shared" si="1"/>
        <v>504321520.99917477</v>
      </c>
      <c r="J29" s="41">
        <f t="shared" si="0"/>
        <v>504321520.99917477</v>
      </c>
      <c r="K29" s="42">
        <f>I29*'Key Information'!$C$14</f>
        <v>40345721.67993398</v>
      </c>
      <c r="L29" s="41">
        <f t="shared" si="2"/>
        <v>1655489.3094260441</v>
      </c>
      <c r="M29" s="42">
        <f t="shared" si="3"/>
        <v>1581494.5980038121</v>
      </c>
      <c r="N29" s="43">
        <f>(H29+L29)*'Key Information'!$C$23</f>
        <v>873991.73932925332</v>
      </c>
      <c r="O29" s="42">
        <f>NPV('Key Information'!$C$13,N30:$N$38)</f>
        <v>3779581.990897778</v>
      </c>
      <c r="P29" s="43">
        <f t="shared" si="4"/>
        <v>3620808.6564387372</v>
      </c>
      <c r="Q29" s="42">
        <f>NPV('Key Information'!$C$13,$P30:P$38)</f>
        <v>34165420.010603823</v>
      </c>
    </row>
    <row r="30" spans="1:17" x14ac:dyDescent="0.3">
      <c r="A30" s="23"/>
      <c r="B30" s="15">
        <v>2032</v>
      </c>
      <c r="C30" s="16">
        <v>13</v>
      </c>
      <c r="D30" s="41">
        <f>I29*'Key Information'!$C$15</f>
        <v>40345721.67993398</v>
      </c>
      <c r="E30" s="41">
        <f>(I29+D30)*'Key Information'!$C$16</f>
        <v>5446672.4267910877</v>
      </c>
      <c r="F30" s="41">
        <f>(I29+D30-E30)*'Key Information'!$C$17</f>
        <v>53922057.025231771</v>
      </c>
      <c r="G30" s="41">
        <f>'Key Information'!$C$19*(1+'Key Information'!$C$20)^(C30-1)+I29*'Key Information'!$C$21</f>
        <v>3947368.4918420524</v>
      </c>
      <c r="H30" s="42">
        <f>K29*'Key Information'!$C$22</f>
        <v>1210371.6503980195</v>
      </c>
      <c r="I30" s="41">
        <f t="shared" si="1"/>
        <v>485298513.22708589</v>
      </c>
      <c r="J30" s="41">
        <f t="shared" si="0"/>
        <v>485298513.22708589</v>
      </c>
      <c r="K30" s="42">
        <f>I30*'Key Information'!$C$14</f>
        <v>38823881.058166869</v>
      </c>
      <c r="L30" s="41">
        <f t="shared" si="2"/>
        <v>1499303.9349490353</v>
      </c>
      <c r="M30" s="42">
        <f t="shared" si="3"/>
        <v>1521840.6217671111</v>
      </c>
      <c r="N30" s="43">
        <f>(H30+L30)*'Key Information'!$C$23</f>
        <v>812902.67560411629</v>
      </c>
      <c r="O30" s="42">
        <f>NPV('Key Information'!$C$13,N31:$N$38)</f>
        <v>3231250.0546565065</v>
      </c>
      <c r="P30" s="43">
        <f t="shared" si="4"/>
        <v>3418613.5315100495</v>
      </c>
      <c r="Q30" s="42">
        <f>NPV('Key Information'!$C$13,$P31:P$38)</f>
        <v>33138385.879836041</v>
      </c>
    </row>
    <row r="31" spans="1:17" x14ac:dyDescent="0.3">
      <c r="A31" s="23"/>
      <c r="B31" s="15">
        <v>2033</v>
      </c>
      <c r="C31" s="16">
        <v>14</v>
      </c>
      <c r="D31" s="41">
        <f>I30*'Key Information'!$C$15</f>
        <v>38823881.058166869</v>
      </c>
      <c r="E31" s="41">
        <f>(I30+D31)*'Key Information'!$C$16</f>
        <v>5241223.9428525278</v>
      </c>
      <c r="F31" s="41">
        <f>(I30+D31-E31)*'Key Information'!$C$17</f>
        <v>51888117.034240022</v>
      </c>
      <c r="G31" s="41">
        <f>'Key Information'!$C$19*(1+'Key Information'!$C$20)^(C31-1)+I30*'Key Information'!$C$21</f>
        <v>3895026.2795869932</v>
      </c>
      <c r="H31" s="42">
        <f>K30*'Key Information'!$C$22</f>
        <v>1164716.431745006</v>
      </c>
      <c r="I31" s="41">
        <f t="shared" si="1"/>
        <v>466993053.30816019</v>
      </c>
      <c r="J31" s="41">
        <f t="shared" si="0"/>
        <v>466993053.30816019</v>
      </c>
      <c r="K31" s="42">
        <f>I31*'Key Information'!$C$14</f>
        <v>37359444.264652818</v>
      </c>
      <c r="L31" s="41">
        <f t="shared" si="2"/>
        <v>1346197.6632655347</v>
      </c>
      <c r="M31" s="42">
        <f t="shared" si="3"/>
        <v>1464436.7935140505</v>
      </c>
      <c r="N31" s="43">
        <f>(H31+L31)*'Key Information'!$C$23</f>
        <v>753274.22850316216</v>
      </c>
      <c r="O31" s="42">
        <f>NPV('Key Information'!$C$13,N32:$N$38)</f>
        <v>2704163.3299793</v>
      </c>
      <c r="P31" s="43">
        <f t="shared" si="4"/>
        <v>3222076.660021429</v>
      </c>
      <c r="Q31" s="42">
        <f>NPV('Key Information'!$C$13,$P32:P$38)</f>
        <v>32235996.231403146</v>
      </c>
    </row>
    <row r="32" spans="1:17" x14ac:dyDescent="0.3">
      <c r="A32" s="23"/>
      <c r="B32" s="15">
        <v>2034</v>
      </c>
      <c r="C32" s="16">
        <v>15</v>
      </c>
      <c r="D32" s="41">
        <f>I31*'Key Information'!$C$15</f>
        <v>37359444.264652818</v>
      </c>
      <c r="E32" s="41">
        <f>(I31+D32)*'Key Information'!$C$16</f>
        <v>5043524.9757281309</v>
      </c>
      <c r="F32" s="41">
        <f>(I31+D32-E32)*'Key Information'!$C$17</f>
        <v>49930897.259708494</v>
      </c>
      <c r="G32" s="41">
        <f>'Key Information'!$C$19*(1+'Key Information'!$C$20)^(C32-1)+I31*'Key Information'!$C$21</f>
        <v>3847554.9913959121</v>
      </c>
      <c r="H32" s="42">
        <f>K31*'Key Information'!$C$22</f>
        <v>1120783.3279395846</v>
      </c>
      <c r="I32" s="41">
        <f t="shared" si="1"/>
        <v>449378075.33737636</v>
      </c>
      <c r="J32" s="41">
        <f t="shared" si="0"/>
        <v>449378075.33737636</v>
      </c>
      <c r="K32" s="42">
        <f>I32*'Key Information'!$C$14</f>
        <v>35950246.026990108</v>
      </c>
      <c r="L32" s="41">
        <f t="shared" si="2"/>
        <v>1195969.9843322188</v>
      </c>
      <c r="M32" s="42">
        <f t="shared" si="3"/>
        <v>1409198.2376627102</v>
      </c>
      <c r="N32" s="43">
        <f>(H32+L32)*'Key Information'!$C$23</f>
        <v>695025.99368154106</v>
      </c>
      <c r="O32" s="42">
        <f>NPV('Key Information'!$C$13,N33:$N$38)</f>
        <v>2198428.7693963102</v>
      </c>
      <c r="P32" s="43">
        <f t="shared" si="4"/>
        <v>3030925.5562529727</v>
      </c>
      <c r="Q32" s="42">
        <f>NPV('Key Information'!$C$13,$P33:P$38)</f>
        <v>31461590.411348388</v>
      </c>
    </row>
    <row r="33" spans="1:17" x14ac:dyDescent="0.3">
      <c r="A33" s="23"/>
      <c r="B33" s="15">
        <v>2035</v>
      </c>
      <c r="C33" s="16">
        <v>16</v>
      </c>
      <c r="D33" s="41">
        <f>I32*'Key Information'!$C$15</f>
        <v>35950246.026990108</v>
      </c>
      <c r="E33" s="41">
        <f>(I32+D33)*'Key Information'!$C$16</f>
        <v>4853283.2136436645</v>
      </c>
      <c r="F33" s="41">
        <f>(I32+D33-E33)*'Key Information'!$C$17</f>
        <v>48047503.815072283</v>
      </c>
      <c r="G33" s="41">
        <f>'Key Information'!$C$19*(1+'Key Information'!$C$20)^(C33-1)+I32*'Key Information'!$C$21</f>
        <v>3804857.793287646</v>
      </c>
      <c r="H33" s="42">
        <f>K32*'Key Information'!$C$22</f>
        <v>1078507.3808097031</v>
      </c>
      <c r="I33" s="41">
        <f t="shared" si="1"/>
        <v>432427534.3356505</v>
      </c>
      <c r="J33" s="41">
        <f t="shared" si="0"/>
        <v>432427534.3356505</v>
      </c>
      <c r="K33" s="42">
        <f>I33*'Key Information'!$C$14</f>
        <v>34594202.74685204</v>
      </c>
      <c r="L33" s="41">
        <f t="shared" si="2"/>
        <v>1048425.4203560185</v>
      </c>
      <c r="M33" s="42">
        <f t="shared" si="3"/>
        <v>1356043.2801380679</v>
      </c>
      <c r="N33" s="43">
        <f>(H33+L33)*'Key Information'!$C$23</f>
        <v>638079.84034971637</v>
      </c>
      <c r="O33" s="42">
        <f>NPV('Key Information'!$C$13,N34:$N$38)</f>
        <v>1714238.9429043354</v>
      </c>
      <c r="P33" s="43">
        <f t="shared" si="4"/>
        <v>2844896.2409540731</v>
      </c>
      <c r="Q33" s="42">
        <f>NPV('Key Information'!$C$13,$P34:P$38)</f>
        <v>30819005.499188706</v>
      </c>
    </row>
    <row r="34" spans="1:17" x14ac:dyDescent="0.3">
      <c r="A34" s="23"/>
      <c r="B34" s="15">
        <v>2036</v>
      </c>
      <c r="C34" s="16">
        <v>17</v>
      </c>
      <c r="D34" s="41">
        <f>I33*'Key Information'!$C$15</f>
        <v>34594202.74685204</v>
      </c>
      <c r="E34" s="41">
        <f>(I33+D34)*'Key Information'!$C$16</f>
        <v>4670217.3708250253</v>
      </c>
      <c r="F34" s="41">
        <f>(I33+D34-E34)*'Key Information'!$C$17</f>
        <v>46235151.971167751</v>
      </c>
      <c r="G34" s="41">
        <f>'Key Information'!$C$19*(1+'Key Information'!$C$20)^(C34-1)+I33*'Key Information'!$C$21</f>
        <v>3766844.1107770395</v>
      </c>
      <c r="H34" s="42">
        <f>K33*'Key Information'!$C$22</f>
        <v>1037826.0824055611</v>
      </c>
      <c r="I34" s="41">
        <f t="shared" si="1"/>
        <v>416116367.74050975</v>
      </c>
      <c r="J34" s="41">
        <f t="shared" si="0"/>
        <v>416116367.74050975</v>
      </c>
      <c r="K34" s="42">
        <f>I34*'Key Information'!$C$14</f>
        <v>33289309.41924078</v>
      </c>
      <c r="L34" s="41">
        <f t="shared" si="2"/>
        <v>903373.26004798571</v>
      </c>
      <c r="M34" s="42">
        <f t="shared" si="3"/>
        <v>1304893.3276112601</v>
      </c>
      <c r="N34" s="43">
        <f>(H34+L34)*'Key Information'!$C$23</f>
        <v>582359.80273606407</v>
      </c>
      <c r="O34" s="42">
        <f>NPV('Key Information'!$C$13,N35:$N$38)</f>
        <v>1251875.8661715749</v>
      </c>
      <c r="P34" s="43">
        <f t="shared" si="4"/>
        <v>2663732.867328743</v>
      </c>
      <c r="Q34" s="42">
        <f>NPV('Key Information'!$C$13,$P35:P$38)</f>
        <v>30312603.016803179</v>
      </c>
    </row>
    <row r="35" spans="1:17" x14ac:dyDescent="0.3">
      <c r="A35" s="23"/>
      <c r="B35" s="15">
        <v>2037</v>
      </c>
      <c r="C35" s="16">
        <v>18</v>
      </c>
      <c r="D35" s="41">
        <f>I34*'Key Information'!$C$15</f>
        <v>33289309.41924078</v>
      </c>
      <c r="E35" s="41">
        <f>(I34+D35)*'Key Information'!$C$16</f>
        <v>4494056.7715975055</v>
      </c>
      <c r="F35" s="41">
        <f>(I34+D35-E35)*'Key Information'!$C$17</f>
        <v>44491162.038815305</v>
      </c>
      <c r="G35" s="41">
        <f>'Key Information'!$C$19*(1+'Key Information'!$C$20)^(C35-1)+I34*'Key Information'!$C$21</f>
        <v>3733429.4709742991</v>
      </c>
      <c r="H35" s="42">
        <f>K34*'Key Information'!$C$22</f>
        <v>998679.28257722338</v>
      </c>
      <c r="I35" s="41">
        <f t="shared" si="1"/>
        <v>400420458.3493377</v>
      </c>
      <c r="J35" s="41">
        <f t="shared" si="0"/>
        <v>400420458.3493377</v>
      </c>
      <c r="K35" s="42">
        <f>I35*'Key Information'!$C$14</f>
        <v>32033636.667947017</v>
      </c>
      <c r="L35" s="41">
        <f t="shared" si="2"/>
        <v>760627.30062320642</v>
      </c>
      <c r="M35" s="42">
        <f t="shared" si="3"/>
        <v>1255672.7512937635</v>
      </c>
      <c r="N35" s="43">
        <f>(H35+L35)*'Key Information'!$C$23</f>
        <v>527791.97496012889</v>
      </c>
      <c r="O35" s="42">
        <f>NPV('Key Information'!$C$13,N36:$N$38)</f>
        <v>811715.20184345637</v>
      </c>
      <c r="P35" s="43">
        <f t="shared" si="4"/>
        <v>2487187.3595340643</v>
      </c>
      <c r="Q35" s="42">
        <f>NPV('Key Information'!$C$13,$P36:P$38)</f>
        <v>29947297.868445337</v>
      </c>
    </row>
    <row r="36" spans="1:17" x14ac:dyDescent="0.3">
      <c r="A36" s="23"/>
      <c r="B36" s="15">
        <v>2038</v>
      </c>
      <c r="C36" s="16">
        <v>19</v>
      </c>
      <c r="D36" s="41">
        <f>I35*'Key Information'!$C$15</f>
        <v>32033636.667947017</v>
      </c>
      <c r="E36" s="41">
        <f>(I35+D36)*'Key Information'!$C$16</f>
        <v>4324540.9501728471</v>
      </c>
      <c r="F36" s="41">
        <f>(I35+D36-E36)*'Key Information'!$C$17</f>
        <v>42812955.406711191</v>
      </c>
      <c r="G36" s="41">
        <f>'Key Information'!$C$19*(1+'Key Information'!$C$20)^(C36-1)+I35*'Key Information'!$C$21</f>
        <v>3704535.3529865919</v>
      </c>
      <c r="H36" s="42">
        <f>K35*'Key Information'!$C$22</f>
        <v>961009.10003841051</v>
      </c>
      <c r="I36" s="41">
        <f t="shared" si="1"/>
        <v>385316598.66040063</v>
      </c>
      <c r="J36" s="41">
        <f t="shared" si="0"/>
        <v>385316598.66040063</v>
      </c>
      <c r="K36" s="42">
        <f>I36*'Key Information'!$C$14</f>
        <v>30825327.892832052</v>
      </c>
      <c r="L36" s="41">
        <f t="shared" si="2"/>
        <v>620005.59718625527</v>
      </c>
      <c r="M36" s="42">
        <f t="shared" si="3"/>
        <v>1208308.7751149647</v>
      </c>
      <c r="N36" s="43">
        <f>(H36+L36)*'Key Information'!$C$23</f>
        <v>474304.40916739975</v>
      </c>
      <c r="O36" s="42">
        <f>NPV('Key Information'!$C$13,N37:$N$38)</f>
        <v>394230.85680509859</v>
      </c>
      <c r="P36" s="43">
        <f t="shared" si="4"/>
        <v>2315019.063172231</v>
      </c>
      <c r="Q36" s="42">
        <f>NPV('Key Information'!$C$13,$P37:P$38)</f>
        <v>29728589.656064279</v>
      </c>
    </row>
    <row r="37" spans="1:17" x14ac:dyDescent="0.3">
      <c r="A37" s="23"/>
      <c r="B37" s="24">
        <v>2039</v>
      </c>
      <c r="C37" s="25">
        <v>20</v>
      </c>
      <c r="D37" s="41">
        <f>I36*'Key Information'!$C$15</f>
        <v>30825327.892832052</v>
      </c>
      <c r="E37" s="41">
        <f>(I36+D37)*'Key Information'!$C$16</f>
        <v>4161419.2655323269</v>
      </c>
      <c r="F37" s="41">
        <f>(I36+D37-E37)*'Key Information'!$C$18</f>
        <v>411980507.28770036</v>
      </c>
      <c r="G37" s="41">
        <f>'Key Information'!$C$19*(1+'Key Information'!$C$20)^(C37-1)+I36*'Key Information'!$C$21</f>
        <v>3680089.0463791033</v>
      </c>
      <c r="H37" s="42">
        <f>K36*'Key Information'!$C$22</f>
        <v>924759.83678496152</v>
      </c>
      <c r="I37" s="41">
        <f t="shared" si="1"/>
        <v>0</v>
      </c>
      <c r="J37" s="41">
        <f t="shared" si="0"/>
        <v>0</v>
      </c>
      <c r="K37" s="42">
        <f>I37*'Key Information'!$C$14</f>
        <v>0</v>
      </c>
      <c r="L37" s="41">
        <f t="shared" si="2"/>
        <v>481330.21915322356</v>
      </c>
      <c r="M37" s="42">
        <f t="shared" si="3"/>
        <v>30825327.892832052</v>
      </c>
      <c r="N37" s="43">
        <f>(H37+L37)*'Key Information'!$C$23</f>
        <v>421827.01678145555</v>
      </c>
      <c r="O37" s="42">
        <f>NPV('Key Information'!$C$13,N38:$N$38)</f>
        <v>0</v>
      </c>
      <c r="P37" s="43">
        <f t="shared" si="4"/>
        <v>31809590.931988779</v>
      </c>
      <c r="Q37" s="42">
        <f>NPV('Key Information'!$C$13,$P38:P$38)</f>
        <v>0</v>
      </c>
    </row>
    <row r="41" spans="1:17" x14ac:dyDescent="0.3">
      <c r="E41" s="23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="85" zoomScaleNormal="85" workbookViewId="0">
      <selection activeCell="C6" sqref="C6:F6"/>
    </sheetView>
  </sheetViews>
  <sheetFormatPr defaultColWidth="9.125" defaultRowHeight="16.5" x14ac:dyDescent="0.3"/>
  <cols>
    <col min="1" max="1" width="6.875" style="1" bestFit="1" customWidth="1"/>
    <col min="2" max="2" width="65.75" style="1" customWidth="1"/>
    <col min="3" max="6" width="36.375" style="1" bestFit="1" customWidth="1"/>
    <col min="7" max="16384" width="9.125" style="1"/>
  </cols>
  <sheetData>
    <row r="1" spans="1:6" x14ac:dyDescent="0.3">
      <c r="A1" s="49" t="s">
        <v>55</v>
      </c>
      <c r="B1" s="47" t="s">
        <v>57</v>
      </c>
      <c r="C1" s="50"/>
      <c r="D1" s="50"/>
      <c r="E1" s="50"/>
      <c r="F1" s="50"/>
    </row>
    <row r="2" spans="1:6" x14ac:dyDescent="0.3">
      <c r="A2" s="51"/>
      <c r="B2" s="48" t="s">
        <v>56</v>
      </c>
      <c r="C2" s="50"/>
      <c r="D2" s="50"/>
      <c r="E2" s="50"/>
      <c r="F2" s="50"/>
    </row>
    <row r="3" spans="1:6" x14ac:dyDescent="0.3">
      <c r="A3" s="52"/>
      <c r="B3" s="71"/>
      <c r="C3" s="50"/>
      <c r="D3" s="50"/>
      <c r="E3" s="50"/>
      <c r="F3" s="50"/>
    </row>
    <row r="4" spans="1:6" x14ac:dyDescent="0.3">
      <c r="A4" s="50"/>
      <c r="B4" s="50"/>
      <c r="C4" s="50"/>
      <c r="D4" s="50"/>
      <c r="E4" s="50"/>
      <c r="F4" s="50"/>
    </row>
    <row r="5" spans="1:6" x14ac:dyDescent="0.3">
      <c r="A5" s="50"/>
      <c r="B5" s="53"/>
      <c r="C5" s="54" t="s">
        <v>22</v>
      </c>
      <c r="D5" s="54" t="s">
        <v>21</v>
      </c>
      <c r="E5" s="54" t="s">
        <v>44</v>
      </c>
      <c r="F5" s="55" t="s">
        <v>23</v>
      </c>
    </row>
    <row r="6" spans="1:6" x14ac:dyDescent="0.3">
      <c r="A6" s="50"/>
      <c r="B6" s="51" t="s">
        <v>24</v>
      </c>
      <c r="C6" s="46">
        <f>'Embedded Value 31 Dec 2019 (a)'!C8</f>
        <v>836000000</v>
      </c>
      <c r="D6" s="46">
        <f>'Embedded Value 31 Dec 2019 (a)'!C9</f>
        <v>55583037.883884162</v>
      </c>
      <c r="E6" s="46">
        <f>'Embedded Value 31 Dec 2019 (a)'!C10</f>
        <v>8457338.4825944789</v>
      </c>
      <c r="F6" s="56">
        <f>'Embedded Value 31 Dec 2019 (a)'!C11</f>
        <v>900040376.36647868</v>
      </c>
    </row>
    <row r="7" spans="1:6" x14ac:dyDescent="0.3">
      <c r="A7" s="50"/>
      <c r="B7" s="51"/>
      <c r="C7" s="50"/>
      <c r="D7" s="50"/>
      <c r="E7" s="50"/>
      <c r="F7" s="57"/>
    </row>
    <row r="8" spans="1:6" x14ac:dyDescent="0.3">
      <c r="A8" s="50"/>
      <c r="B8" s="58" t="s">
        <v>20</v>
      </c>
      <c r="C8" s="50"/>
      <c r="D8" s="50"/>
      <c r="E8" s="50"/>
      <c r="F8" s="57"/>
    </row>
    <row r="9" spans="1:6" x14ac:dyDescent="0.3">
      <c r="A9" s="50"/>
      <c r="B9" s="51" t="s">
        <v>36</v>
      </c>
      <c r="C9" s="59"/>
      <c r="D9" s="60"/>
      <c r="E9" s="60"/>
      <c r="F9" s="61"/>
    </row>
    <row r="10" spans="1:6" x14ac:dyDescent="0.3">
      <c r="A10" s="50"/>
      <c r="B10" s="75" t="s">
        <v>72</v>
      </c>
      <c r="C10" s="76"/>
      <c r="D10" s="77"/>
      <c r="E10" s="77"/>
      <c r="F10" s="78"/>
    </row>
    <row r="11" spans="1:6" x14ac:dyDescent="0.3">
      <c r="A11" s="50"/>
      <c r="B11" s="51" t="s">
        <v>45</v>
      </c>
      <c r="C11" s="60"/>
      <c r="D11" s="60"/>
      <c r="E11" s="60"/>
      <c r="F11" s="61"/>
    </row>
    <row r="12" spans="1:6" x14ac:dyDescent="0.3">
      <c r="A12" s="50"/>
      <c r="B12" s="52"/>
      <c r="C12" s="62"/>
      <c r="D12" s="62"/>
      <c r="E12" s="62"/>
      <c r="F12" s="63"/>
    </row>
    <row r="13" spans="1:6" x14ac:dyDescent="0.3">
      <c r="A13" s="50"/>
      <c r="B13" s="58" t="s">
        <v>70</v>
      </c>
      <c r="C13" s="50"/>
      <c r="D13" s="50"/>
      <c r="E13" s="50"/>
      <c r="F13" s="57"/>
    </row>
    <row r="14" spans="1:6" x14ac:dyDescent="0.3">
      <c r="A14" s="50"/>
      <c r="B14" s="51" t="s">
        <v>25</v>
      </c>
      <c r="C14" s="60"/>
      <c r="D14" s="60"/>
      <c r="E14" s="60"/>
      <c r="F14" s="61"/>
    </row>
    <row r="15" spans="1:6" x14ac:dyDescent="0.3">
      <c r="A15" s="50"/>
      <c r="B15" s="51" t="s">
        <v>26</v>
      </c>
      <c r="C15" s="60"/>
      <c r="D15" s="60"/>
      <c r="E15" s="60"/>
      <c r="F15" s="61"/>
    </row>
    <row r="16" spans="1:6" x14ac:dyDescent="0.3">
      <c r="A16" s="50"/>
      <c r="B16" s="51" t="s">
        <v>27</v>
      </c>
      <c r="C16" s="60"/>
      <c r="D16" s="60"/>
      <c r="E16" s="60"/>
      <c r="F16" s="61"/>
    </row>
    <row r="17" spans="1:7" x14ac:dyDescent="0.3">
      <c r="A17" s="50"/>
      <c r="B17" s="51"/>
      <c r="C17" s="70"/>
      <c r="D17" s="70"/>
      <c r="E17" s="70"/>
      <c r="F17" s="57"/>
    </row>
    <row r="18" spans="1:7" x14ac:dyDescent="0.3">
      <c r="A18" s="50"/>
      <c r="B18" s="51"/>
      <c r="C18" s="50"/>
      <c r="D18" s="50"/>
      <c r="E18" s="50"/>
      <c r="F18" s="57"/>
    </row>
    <row r="19" spans="1:7" x14ac:dyDescent="0.3">
      <c r="A19" s="50"/>
      <c r="B19" s="51" t="s">
        <v>33</v>
      </c>
      <c r="C19" s="60"/>
      <c r="D19" s="60"/>
      <c r="E19" s="60"/>
      <c r="F19" s="61"/>
    </row>
    <row r="20" spans="1:7" x14ac:dyDescent="0.3">
      <c r="A20" s="50"/>
      <c r="B20" s="52"/>
      <c r="C20" s="62"/>
      <c r="D20" s="62"/>
      <c r="E20" s="62"/>
      <c r="F20" s="63"/>
    </row>
    <row r="21" spans="1:7" x14ac:dyDescent="0.3">
      <c r="A21" s="50"/>
      <c r="B21" s="50"/>
      <c r="C21" s="50"/>
      <c r="D21" s="50"/>
      <c r="E21" s="50"/>
      <c r="F21" s="50"/>
    </row>
    <row r="22" spans="1:7" x14ac:dyDescent="0.3">
      <c r="A22" s="50"/>
      <c r="B22" s="50"/>
      <c r="C22" s="50"/>
      <c r="D22" s="50"/>
      <c r="E22" s="50"/>
      <c r="F22" s="50"/>
    </row>
    <row r="23" spans="1:7" x14ac:dyDescent="0.3">
      <c r="A23" s="70"/>
      <c r="B23" s="70"/>
      <c r="C23" s="70"/>
      <c r="D23" s="70"/>
      <c r="E23" s="70"/>
      <c r="F23" s="70"/>
      <c r="G23" s="69"/>
    </row>
    <row r="24" spans="1:7" x14ac:dyDescent="0.3">
      <c r="A24" s="70"/>
      <c r="B24" s="70"/>
      <c r="C24" s="70"/>
      <c r="D24" s="70"/>
      <c r="E24" s="70"/>
      <c r="F24" s="70"/>
      <c r="G24" s="69"/>
    </row>
    <row r="25" spans="1:7" x14ac:dyDescent="0.3">
      <c r="A25" s="70"/>
      <c r="B25" s="70"/>
      <c r="C25" s="70"/>
      <c r="D25" s="70"/>
      <c r="E25" s="70"/>
      <c r="F25" s="70"/>
      <c r="G25" s="69"/>
    </row>
    <row r="26" spans="1:7" x14ac:dyDescent="0.3">
      <c r="A26" s="70"/>
      <c r="B26" s="70"/>
      <c r="C26" s="70"/>
      <c r="D26" s="70"/>
      <c r="E26" s="70"/>
      <c r="F26" s="70"/>
      <c r="G26" s="69"/>
    </row>
    <row r="27" spans="1:7" x14ac:dyDescent="0.3">
      <c r="A27" s="70"/>
      <c r="B27" s="70"/>
      <c r="C27" s="70"/>
      <c r="D27" s="70"/>
      <c r="E27" s="70"/>
      <c r="F27" s="70"/>
      <c r="G27" s="69"/>
    </row>
    <row r="28" spans="1:7" x14ac:dyDescent="0.3">
      <c r="A28" s="70"/>
      <c r="B28" s="70"/>
      <c r="C28" s="70"/>
      <c r="D28" s="70"/>
      <c r="E28" s="70"/>
      <c r="F28" s="70"/>
      <c r="G28" s="69"/>
    </row>
    <row r="29" spans="1:7" x14ac:dyDescent="0.3">
      <c r="A29" s="70"/>
      <c r="B29" s="70"/>
      <c r="C29" s="70"/>
      <c r="D29" s="70"/>
      <c r="E29" s="70"/>
      <c r="F29" s="70"/>
      <c r="G29" s="69"/>
    </row>
    <row r="30" spans="1:7" x14ac:dyDescent="0.3">
      <c r="A30" s="70"/>
      <c r="B30" s="70"/>
      <c r="C30" s="70"/>
      <c r="D30" s="70"/>
      <c r="E30" s="70"/>
      <c r="F30" s="70"/>
      <c r="G30" s="69"/>
    </row>
    <row r="31" spans="1:7" x14ac:dyDescent="0.3">
      <c r="A31" s="70"/>
      <c r="B31" s="70"/>
      <c r="C31" s="70"/>
      <c r="D31" s="70"/>
      <c r="E31" s="70"/>
      <c r="F31" s="70"/>
      <c r="G31" s="69"/>
    </row>
    <row r="32" spans="1:7" x14ac:dyDescent="0.3">
      <c r="A32" s="70"/>
      <c r="B32" s="70"/>
      <c r="C32" s="70"/>
      <c r="D32" s="70"/>
      <c r="E32" s="70"/>
      <c r="F32" s="70"/>
      <c r="G32" s="69"/>
    </row>
    <row r="33" spans="1:7" x14ac:dyDescent="0.3">
      <c r="A33" s="70"/>
      <c r="B33" s="70"/>
      <c r="C33" s="70"/>
      <c r="D33" s="70"/>
      <c r="E33" s="70"/>
      <c r="F33" s="70"/>
      <c r="G33" s="69"/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zoomScale="85" zoomScaleNormal="85" workbookViewId="0">
      <selection activeCell="D20" sqref="D20"/>
    </sheetView>
  </sheetViews>
  <sheetFormatPr defaultColWidth="9.125" defaultRowHeight="16.5" x14ac:dyDescent="0.3"/>
  <cols>
    <col min="1" max="1" width="6.875" style="69" bestFit="1" customWidth="1"/>
    <col min="2" max="2" width="38.625" style="69" bestFit="1" customWidth="1"/>
    <col min="3" max="8" width="18.75" style="69" customWidth="1"/>
    <col min="9" max="10" width="18.75" style="2" customWidth="1"/>
    <col min="11" max="17" width="18.75" style="69" customWidth="1"/>
    <col min="18" max="16384" width="9.125" style="69"/>
  </cols>
  <sheetData>
    <row r="1" spans="1:17" x14ac:dyDescent="0.3">
      <c r="A1" s="26" t="s">
        <v>55</v>
      </c>
      <c r="B1" s="47" t="s">
        <v>57</v>
      </c>
    </row>
    <row r="2" spans="1:17" x14ac:dyDescent="0.3">
      <c r="A2" s="27"/>
      <c r="B2" s="48" t="s">
        <v>56</v>
      </c>
    </row>
    <row r="3" spans="1:17" x14ac:dyDescent="0.3">
      <c r="A3" s="10"/>
      <c r="B3" s="71"/>
    </row>
    <row r="5" spans="1:17" x14ac:dyDescent="0.3">
      <c r="B5" s="3" t="s">
        <v>11</v>
      </c>
    </row>
    <row r="7" spans="1:17" ht="33" x14ac:dyDescent="0.3">
      <c r="B7" s="28"/>
      <c r="C7" s="45" t="s">
        <v>18</v>
      </c>
      <c r="D7" s="45" t="s">
        <v>41</v>
      </c>
    </row>
    <row r="8" spans="1:17" x14ac:dyDescent="0.3">
      <c r="B8" s="27" t="s">
        <v>22</v>
      </c>
      <c r="C8" s="42">
        <f>'Key Information'!$C$29-'Key Information'!$C$30-K17</f>
        <v>836000000</v>
      </c>
      <c r="D8" s="42">
        <f>C8*(1+'Key Information'!$C$22)+P18</f>
        <v>883298400</v>
      </c>
    </row>
    <row r="9" spans="1:17" x14ac:dyDescent="0.3">
      <c r="B9" s="27" t="s">
        <v>21</v>
      </c>
      <c r="C9" s="42">
        <f>Q17</f>
        <v>46467621.719737597</v>
      </c>
      <c r="D9" s="42">
        <f>Q18-'Key Information'!C36</f>
        <v>17501955.240119252</v>
      </c>
    </row>
    <row r="10" spans="1:17" x14ac:dyDescent="0.3">
      <c r="B10" s="27" t="s">
        <v>44</v>
      </c>
      <c r="C10" s="42">
        <f>'Key Information'!$C$24*O17</f>
        <v>2322788.7402334334</v>
      </c>
      <c r="D10" s="42">
        <f>'Key Information'!$C$24*O18</f>
        <v>2023383.9520497741</v>
      </c>
    </row>
    <row r="11" spans="1:17" x14ac:dyDescent="0.3">
      <c r="B11" s="10" t="s">
        <v>23</v>
      </c>
      <c r="C11" s="44">
        <f>SUM(C8:C10)</f>
        <v>884790410.45997107</v>
      </c>
      <c r="D11" s="44">
        <f>SUM(D8:D10)</f>
        <v>902823739.19216895</v>
      </c>
    </row>
    <row r="13" spans="1:17" x14ac:dyDescent="0.3">
      <c r="B13" s="3" t="s">
        <v>53</v>
      </c>
      <c r="C13" s="3"/>
    </row>
    <row r="15" spans="1:17" ht="57.6" customHeight="1" x14ac:dyDescent="0.3">
      <c r="B15" s="6" t="s">
        <v>2</v>
      </c>
      <c r="C15" s="7" t="s">
        <v>1</v>
      </c>
      <c r="D15" s="8" t="s">
        <v>3</v>
      </c>
      <c r="E15" s="8" t="s">
        <v>5</v>
      </c>
      <c r="F15" s="8" t="s">
        <v>4</v>
      </c>
      <c r="G15" s="8" t="s">
        <v>6</v>
      </c>
      <c r="H15" s="9" t="s">
        <v>14</v>
      </c>
      <c r="I15" s="8" t="s">
        <v>19</v>
      </c>
      <c r="J15" s="8" t="s">
        <v>7</v>
      </c>
      <c r="K15" s="9" t="s">
        <v>10</v>
      </c>
      <c r="L15" s="8" t="s">
        <v>8</v>
      </c>
      <c r="M15" s="9" t="s">
        <v>9</v>
      </c>
      <c r="N15" s="6" t="s">
        <v>42</v>
      </c>
      <c r="O15" s="9" t="s">
        <v>43</v>
      </c>
      <c r="P15" s="6" t="s">
        <v>46</v>
      </c>
      <c r="Q15" s="9" t="s">
        <v>47</v>
      </c>
    </row>
    <row r="16" spans="1:17" x14ac:dyDescent="0.3">
      <c r="B16" s="10"/>
      <c r="C16" s="11"/>
      <c r="D16" s="12" t="s">
        <v>0</v>
      </c>
      <c r="E16" s="12" t="s">
        <v>0</v>
      </c>
      <c r="F16" s="12" t="s">
        <v>0</v>
      </c>
      <c r="G16" s="12" t="s">
        <v>0</v>
      </c>
      <c r="H16" s="13" t="s">
        <v>0</v>
      </c>
      <c r="I16" s="12" t="s">
        <v>0</v>
      </c>
      <c r="J16" s="12" t="s">
        <v>0</v>
      </c>
      <c r="K16" s="13" t="s">
        <v>0</v>
      </c>
      <c r="L16" s="12" t="s">
        <v>0</v>
      </c>
      <c r="M16" s="13" t="s">
        <v>0</v>
      </c>
      <c r="N16" s="14" t="s">
        <v>0</v>
      </c>
      <c r="O16" s="13" t="s">
        <v>0</v>
      </c>
      <c r="P16" s="14" t="s">
        <v>0</v>
      </c>
      <c r="Q16" s="13" t="s">
        <v>0</v>
      </c>
    </row>
    <row r="17" spans="1:17" x14ac:dyDescent="0.3">
      <c r="B17" s="15">
        <v>2019</v>
      </c>
      <c r="C17" s="16">
        <v>0</v>
      </c>
      <c r="D17" s="17"/>
      <c r="E17" s="17"/>
      <c r="F17" s="18"/>
      <c r="G17" s="17"/>
      <c r="H17" s="19"/>
      <c r="I17" s="46">
        <f>800*10^6</f>
        <v>800000000</v>
      </c>
      <c r="J17" s="41">
        <f>I17</f>
        <v>800000000</v>
      </c>
      <c r="K17" s="42">
        <f>I17*'Key Information'!$C$14</f>
        <v>64000000</v>
      </c>
      <c r="L17" s="20"/>
      <c r="M17" s="21"/>
      <c r="N17" s="22"/>
      <c r="O17" s="42">
        <f>NPV('Key Information'!$C$13,N18:$N$38)</f>
        <v>3318269.6289049052</v>
      </c>
      <c r="P17" s="22"/>
      <c r="Q17" s="42">
        <f>NPV('Key Information'!$C$13,$P18:P$38)</f>
        <v>46467621.719737597</v>
      </c>
    </row>
    <row r="18" spans="1:17" x14ac:dyDescent="0.3">
      <c r="A18" s="23"/>
      <c r="B18" s="15">
        <v>2020</v>
      </c>
      <c r="C18" s="16">
        <v>1</v>
      </c>
      <c r="D18" s="81">
        <f>I17*'Key Information'!C42</f>
        <v>-80000000</v>
      </c>
      <c r="E18" s="41">
        <f>(I17+D18)*'Key Information'!$C$16</f>
        <v>7200000</v>
      </c>
      <c r="F18" s="81">
        <f>(I17+D18-E18)*'Key Information'!$C$17+'Key Information'!$C$38</f>
        <v>171280000</v>
      </c>
      <c r="G18" s="41">
        <f>'Key Information'!$C$19*(1+'Key Information'!$C$20)^(C18-1)+I17*'Key Information'!$C$21</f>
        <v>5000000</v>
      </c>
      <c r="H18" s="42">
        <f>K17*'Key Information'!$C$22</f>
        <v>1920000</v>
      </c>
      <c r="I18" s="41">
        <f>I17+D18-E18-F18</f>
        <v>541520000</v>
      </c>
      <c r="J18" s="41">
        <f t="shared" ref="J18:J37" si="0">I18</f>
        <v>541520000</v>
      </c>
      <c r="K18" s="42">
        <f>I18*'Key Information'!$C$14</f>
        <v>43321600</v>
      </c>
      <c r="L18" s="41">
        <f>E18-G18</f>
        <v>2200000</v>
      </c>
      <c r="M18" s="42">
        <f>K17-K18</f>
        <v>20678400</v>
      </c>
      <c r="N18" s="43">
        <f>L18*'Key Information'!$C$23</f>
        <v>660000</v>
      </c>
      <c r="O18" s="42">
        <f>NPV('Key Information'!$C$13,N19:$N$38)</f>
        <v>2890548.5029282491</v>
      </c>
      <c r="P18" s="43">
        <f>L18+M18-N18</f>
        <v>22218400</v>
      </c>
      <c r="Q18" s="42">
        <f>NPV('Key Information'!$C$13,$P19:P$38)</f>
        <v>27501955.240119252</v>
      </c>
    </row>
    <row r="19" spans="1:17" x14ac:dyDescent="0.3">
      <c r="A19" s="23"/>
      <c r="B19" s="15">
        <v>2021</v>
      </c>
      <c r="C19" s="16">
        <v>2</v>
      </c>
      <c r="D19" s="81">
        <f>I18*'Key Information'!$C$43</f>
        <v>16245600</v>
      </c>
      <c r="E19" s="41">
        <f>(I18+D19)*'Key Information'!$C$16</f>
        <v>5577656</v>
      </c>
      <c r="F19" s="41">
        <f>(I18+D19-E19)*'Key Information'!$C$17</f>
        <v>55218794.400000006</v>
      </c>
      <c r="G19" s="41">
        <f>'Key Information'!$C$19*(1+'Key Information'!$C$20)^(C19-1)+I18*'Key Information'!$C$21</f>
        <v>3737600</v>
      </c>
      <c r="H19" s="42">
        <f>K18*'Key Information'!$C$22</f>
        <v>1299648</v>
      </c>
      <c r="I19" s="41">
        <f t="shared" ref="I19:I37" si="1">I18+D19-E19-F19</f>
        <v>496969149.60000002</v>
      </c>
      <c r="J19" s="41">
        <f t="shared" si="0"/>
        <v>496969149.60000002</v>
      </c>
      <c r="K19" s="42">
        <f>I19*'Key Information'!$C$14</f>
        <v>39757531.968000002</v>
      </c>
      <c r="L19" s="41">
        <f t="shared" ref="L19:L37" si="2">E19-G19</f>
        <v>1840056</v>
      </c>
      <c r="M19" s="42">
        <f t="shared" ref="M19:M37" si="3">K18-K19</f>
        <v>3564068.0319999978</v>
      </c>
      <c r="N19" s="43">
        <f>L19*'Key Information'!$C$23</f>
        <v>552016.79999999993</v>
      </c>
      <c r="O19" s="42">
        <f>NPV('Key Information'!$C$13,N20:$N$38)</f>
        <v>2540870.0981332264</v>
      </c>
      <c r="P19" s="43">
        <f t="shared" ref="P19:P37" si="4">L19+M19-N19</f>
        <v>4852107.231999998</v>
      </c>
      <c r="Q19" s="42">
        <f>NPV('Key Information'!$C$13,$P20:P$38)</f>
        <v>24574984.874927599</v>
      </c>
    </row>
    <row r="20" spans="1:17" x14ac:dyDescent="0.3">
      <c r="A20" s="23"/>
      <c r="B20" s="15">
        <v>2022</v>
      </c>
      <c r="C20" s="16">
        <v>3</v>
      </c>
      <c r="D20" s="81">
        <f>I19*'Key Information'!$C$43</f>
        <v>14909074.488</v>
      </c>
      <c r="E20" s="41">
        <f>(I19+D20)*'Key Information'!$C$16</f>
        <v>5118782.2408800004</v>
      </c>
      <c r="F20" s="41">
        <f>(I19+D20-E20)*'Key Information'!$C$17</f>
        <v>50675944.184712</v>
      </c>
      <c r="G20" s="41">
        <f>'Key Information'!$C$19*(1+'Key Information'!$C$20)^(C20-1)+I19*'Key Information'!$C$21</f>
        <v>3545745.7480000001</v>
      </c>
      <c r="H20" s="42">
        <f>K19*'Key Information'!$C$22</f>
        <v>1192725.9590400001</v>
      </c>
      <c r="I20" s="41">
        <f t="shared" si="1"/>
        <v>456083497.66240799</v>
      </c>
      <c r="J20" s="41">
        <f t="shared" si="0"/>
        <v>456083497.66240799</v>
      </c>
      <c r="K20" s="42">
        <f>I20*'Key Information'!$C$14</f>
        <v>36486679.81299264</v>
      </c>
      <c r="L20" s="41">
        <f t="shared" si="2"/>
        <v>1573036.4928800003</v>
      </c>
      <c r="M20" s="42">
        <f t="shared" si="3"/>
        <v>3270852.1550073624</v>
      </c>
      <c r="N20" s="43">
        <f>L20*'Key Information'!$C$23</f>
        <v>471910.94786400005</v>
      </c>
      <c r="O20" s="42">
        <f>NPV('Key Information'!$C$13,N21:$N$38)</f>
        <v>2246820.0571385524</v>
      </c>
      <c r="P20" s="43">
        <f t="shared" si="4"/>
        <v>4371977.7000233624</v>
      </c>
      <c r="Q20" s="42">
        <f>NPV('Key Information'!$C$13,$P21:P$38)</f>
        <v>21923256.116149168</v>
      </c>
    </row>
    <row r="21" spans="1:17" x14ac:dyDescent="0.3">
      <c r="A21" s="23"/>
      <c r="B21" s="15">
        <v>2023</v>
      </c>
      <c r="C21" s="16">
        <v>4</v>
      </c>
      <c r="D21" s="41">
        <f>I20*'Key Information'!$C$15</f>
        <v>36486679.81299264</v>
      </c>
      <c r="E21" s="41">
        <f>(I20+D21)*'Key Information'!$C$16</f>
        <v>4925701.7747540064</v>
      </c>
      <c r="F21" s="41">
        <f>(I20+D21-E21)*'Key Information'!$C$17</f>
        <v>48764447.570064664</v>
      </c>
      <c r="G21" s="41">
        <f>'Key Information'!$C$19*(1+'Key Information'!$C$20)^(C21-1)+I20*'Key Information'!$C$21</f>
        <v>3373144.48831204</v>
      </c>
      <c r="H21" s="42">
        <f>K20*'Key Information'!$C$22</f>
        <v>1094600.3943897791</v>
      </c>
      <c r="I21" s="41">
        <f t="shared" si="1"/>
        <v>438880028.13058197</v>
      </c>
      <c r="J21" s="41">
        <f t="shared" si="0"/>
        <v>438880028.13058197</v>
      </c>
      <c r="K21" s="42">
        <f>I21*'Key Information'!$C$14</f>
        <v>35110402.250446558</v>
      </c>
      <c r="L21" s="41">
        <f t="shared" si="2"/>
        <v>1552557.2864419664</v>
      </c>
      <c r="M21" s="42">
        <f t="shared" si="3"/>
        <v>1376277.5625460818</v>
      </c>
      <c r="N21" s="43">
        <f>L21*'Key Information'!$C$23</f>
        <v>465767.18593258993</v>
      </c>
      <c r="O21" s="42">
        <f>NPV('Key Information'!$C$13,N22:$N$38)</f>
        <v>1938330.2752056613</v>
      </c>
      <c r="P21" s="43">
        <f t="shared" si="4"/>
        <v>2463067.6630554581</v>
      </c>
      <c r="Q21" s="42">
        <f>NPV('Key Information'!$C$13,$P22:P$38)</f>
        <v>20994816.381224148</v>
      </c>
    </row>
    <row r="22" spans="1:17" x14ac:dyDescent="0.3">
      <c r="A22" s="23"/>
      <c r="B22" s="15">
        <v>2024</v>
      </c>
      <c r="C22" s="16">
        <v>5</v>
      </c>
      <c r="D22" s="41">
        <f>I21*'Key Information'!$C$15</f>
        <v>35110402.250446558</v>
      </c>
      <c r="E22" s="41">
        <f>(I21+D22)*'Key Information'!$C$16</f>
        <v>4739904.3038102854</v>
      </c>
      <c r="F22" s="41">
        <f>(I21+D22-E22)*'Key Information'!$C$17</f>
        <v>46925052.607721828</v>
      </c>
      <c r="G22" s="41">
        <f>'Key Information'!$C$19*(1+'Key Information'!$C$20)^(C22-1)+I21*'Key Information'!$C$21</f>
        <v>3319908.9506529095</v>
      </c>
      <c r="H22" s="42">
        <f>K21*'Key Information'!$C$22</f>
        <v>1053312.0675133967</v>
      </c>
      <c r="I22" s="41">
        <f t="shared" si="1"/>
        <v>422325473.46949643</v>
      </c>
      <c r="J22" s="41">
        <f t="shared" si="0"/>
        <v>422325473.46949643</v>
      </c>
      <c r="K22" s="42">
        <f>I22*'Key Information'!$C$14</f>
        <v>33786037.877559714</v>
      </c>
      <c r="L22" s="41">
        <f t="shared" si="2"/>
        <v>1419995.3531573759</v>
      </c>
      <c r="M22" s="42">
        <f t="shared" si="3"/>
        <v>1324364.372886844</v>
      </c>
      <c r="N22" s="43">
        <f>L22*'Key Information'!$C$23</f>
        <v>425998.60594721278</v>
      </c>
      <c r="O22" s="42">
        <f>NPV('Key Information'!$C$13,N23:$N$38)</f>
        <v>1648014.7885228444</v>
      </c>
      <c r="P22" s="43">
        <f t="shared" si="4"/>
        <v>2318361.1200970071</v>
      </c>
      <c r="Q22" s="42">
        <f>NPV('Key Information'!$C$13,$P23:P$38)</f>
        <v>20146092.407812838</v>
      </c>
    </row>
    <row r="23" spans="1:17" x14ac:dyDescent="0.3">
      <c r="A23" s="23"/>
      <c r="B23" s="15">
        <v>2025</v>
      </c>
      <c r="C23" s="16">
        <v>6</v>
      </c>
      <c r="D23" s="41">
        <f>I22*'Key Information'!$C$15</f>
        <v>33786037.877559714</v>
      </c>
      <c r="E23" s="41">
        <f>(I22+D23)*'Key Information'!$C$16</f>
        <v>4561115.1134705618</v>
      </c>
      <c r="F23" s="41">
        <f>(I22+D23-E23)*'Key Information'!$C$17</f>
        <v>45155039.623358563</v>
      </c>
      <c r="G23" s="41">
        <f>'Key Information'!$C$19*(1+'Key Information'!$C$20)^(C23-1)+I22*'Key Information'!$C$21</f>
        <v>3270901.4416474821</v>
      </c>
      <c r="H23" s="42">
        <f>K22*'Key Information'!$C$22</f>
        <v>1013581.1363267914</v>
      </c>
      <c r="I23" s="41">
        <f t="shared" si="1"/>
        <v>406395356.61022705</v>
      </c>
      <c r="J23" s="41">
        <f t="shared" si="0"/>
        <v>406395356.61022705</v>
      </c>
      <c r="K23" s="42">
        <f>I23*'Key Information'!$C$14</f>
        <v>32511628.528818164</v>
      </c>
      <c r="L23" s="41">
        <f t="shared" si="2"/>
        <v>1290213.6718230797</v>
      </c>
      <c r="M23" s="42">
        <f t="shared" si="3"/>
        <v>1274409.34874155</v>
      </c>
      <c r="N23" s="43">
        <f>L23*'Key Information'!$C$23</f>
        <v>387064.10154692392</v>
      </c>
      <c r="O23" s="42">
        <f>NPV('Key Information'!$C$13,N24:$N$38)</f>
        <v>1376311.7221725199</v>
      </c>
      <c r="P23" s="43">
        <f t="shared" si="4"/>
        <v>2177558.9190177056</v>
      </c>
      <c r="Q23" s="42">
        <f>NPV('Key Information'!$C$13,$P24:P$38)</f>
        <v>19378759.957342032</v>
      </c>
    </row>
    <row r="24" spans="1:17" x14ac:dyDescent="0.3">
      <c r="A24" s="23"/>
      <c r="B24" s="15">
        <v>2026</v>
      </c>
      <c r="C24" s="16">
        <v>7</v>
      </c>
      <c r="D24" s="41">
        <f>I23*'Key Information'!$C$15</f>
        <v>32511628.528818164</v>
      </c>
      <c r="E24" s="41">
        <f>(I23+D24)*'Key Information'!$C$16</f>
        <v>4389069.8513904521</v>
      </c>
      <c r="F24" s="41">
        <f>(I23+D24-E24)*'Key Information'!$C$17</f>
        <v>43451791.528765477</v>
      </c>
      <c r="G24" s="41">
        <f>'Key Information'!$C$19*(1+'Key Information'!$C$20)^(C24-1)+I23*'Key Information'!$C$21</f>
        <v>3226029.0795801352</v>
      </c>
      <c r="H24" s="42">
        <f>K23*'Key Information'!$C$22</f>
        <v>975348.85586454486</v>
      </c>
      <c r="I24" s="41">
        <f t="shared" si="1"/>
        <v>391066123.75888926</v>
      </c>
      <c r="J24" s="41">
        <f t="shared" si="0"/>
        <v>391066123.75888926</v>
      </c>
      <c r="K24" s="42">
        <f>I24*'Key Information'!$C$14</f>
        <v>31285289.900711142</v>
      </c>
      <c r="L24" s="41">
        <f t="shared" si="2"/>
        <v>1163040.7718103169</v>
      </c>
      <c r="M24" s="42">
        <f t="shared" si="3"/>
        <v>1226338.6281070225</v>
      </c>
      <c r="N24" s="43">
        <f>L24*'Key Information'!$C$23</f>
        <v>348912.23154309508</v>
      </c>
      <c r="O24" s="42">
        <f>NPV('Key Information'!$C$13,N25:$N$38)</f>
        <v>1123741.311181501</v>
      </c>
      <c r="P24" s="43">
        <f t="shared" si="4"/>
        <v>2040467.1683742444</v>
      </c>
      <c r="Q24" s="42">
        <f>NPV('Key Information'!$C$13,$P25:P$38)</f>
        <v>18694805.985981729</v>
      </c>
    </row>
    <row r="25" spans="1:17" x14ac:dyDescent="0.3">
      <c r="A25" s="23"/>
      <c r="B25" s="15">
        <v>2027</v>
      </c>
      <c r="C25" s="16">
        <v>8</v>
      </c>
      <c r="D25" s="41">
        <f>I24*'Key Information'!$C$15</f>
        <v>31285289.900711142</v>
      </c>
      <c r="E25" s="41">
        <f>(I24+D25)*'Key Information'!$C$16</f>
        <v>4223514.1365960035</v>
      </c>
      <c r="F25" s="41">
        <f>(I24+D25-E25)*'Key Information'!$C$17</f>
        <v>41812789.952300437</v>
      </c>
      <c r="G25" s="41">
        <f>'Key Information'!$C$19*(1+'Key Information'!$C$20)^(C25-1)+I24*'Key Information'!$C$21</f>
        <v>3185204.4842193164</v>
      </c>
      <c r="H25" s="42">
        <f>K24*'Key Information'!$C$22</f>
        <v>938558.6970213342</v>
      </c>
      <c r="I25" s="41">
        <f t="shared" si="1"/>
        <v>376315109.57070392</v>
      </c>
      <c r="J25" s="41">
        <f t="shared" si="0"/>
        <v>376315109.57070392</v>
      </c>
      <c r="K25" s="42">
        <f>I25*'Key Information'!$C$14</f>
        <v>30105208.765656315</v>
      </c>
      <c r="L25" s="41">
        <f t="shared" si="2"/>
        <v>1038309.6523766872</v>
      </c>
      <c r="M25" s="42">
        <f t="shared" si="3"/>
        <v>1180081.1350548267</v>
      </c>
      <c r="N25" s="43">
        <f>L25*'Key Information'!$C$23</f>
        <v>311492.89571300615</v>
      </c>
      <c r="O25" s="42">
        <f>NPV('Key Information'!$C$13,N26:$N$38)</f>
        <v>890910.3072512002</v>
      </c>
      <c r="P25" s="43">
        <f t="shared" si="4"/>
        <v>1906897.8917185077</v>
      </c>
      <c r="Q25" s="42">
        <f>NPV('Key Information'!$C$13,$P26:P$38)</f>
        <v>18096544.513281945</v>
      </c>
    </row>
    <row r="26" spans="1:17" x14ac:dyDescent="0.3">
      <c r="A26" s="23"/>
      <c r="B26" s="15">
        <v>2028</v>
      </c>
      <c r="C26" s="16">
        <v>9</v>
      </c>
      <c r="D26" s="41">
        <f>I25*'Key Information'!$C$15</f>
        <v>30105208.765656315</v>
      </c>
      <c r="E26" s="41">
        <f>(I25+D26)*'Key Information'!$C$16</f>
        <v>4064203.183363602</v>
      </c>
      <c r="F26" s="41">
        <f>(I25+D26-E26)*'Key Information'!$C$17</f>
        <v>40235611.515299663</v>
      </c>
      <c r="G26" s="41">
        <f>'Key Information'!$C$19*(1+'Key Information'!$C$20)^(C26-1)+I25*'Key Information'!$C$21</f>
        <v>3148345.6292411359</v>
      </c>
      <c r="H26" s="42">
        <f>K25*'Key Information'!$C$22</f>
        <v>903156.26296968944</v>
      </c>
      <c r="I26" s="41">
        <f t="shared" si="1"/>
        <v>362120503.63769692</v>
      </c>
      <c r="J26" s="41">
        <f t="shared" si="0"/>
        <v>362120503.63769692</v>
      </c>
      <c r="K26" s="42">
        <f>I26*'Key Information'!$C$14</f>
        <v>28969640.291015755</v>
      </c>
      <c r="L26" s="41">
        <f t="shared" si="2"/>
        <v>915857.55412246613</v>
      </c>
      <c r="M26" s="42">
        <f t="shared" si="3"/>
        <v>1135568.4746405594</v>
      </c>
      <c r="N26" s="43">
        <f>L26*'Key Information'!$C$23</f>
        <v>274757.26623673982</v>
      </c>
      <c r="O26" s="42">
        <f>NPV('Key Information'!$C$13,N27:$N$38)</f>
        <v>678516.76252204448</v>
      </c>
      <c r="P26" s="43">
        <f t="shared" si="4"/>
        <v>1776668.7625262858</v>
      </c>
      <c r="Q26" s="42">
        <f>NPV('Key Information'!$C$13,$P27:P$38)</f>
        <v>17586633.866685398</v>
      </c>
    </row>
    <row r="27" spans="1:17" x14ac:dyDescent="0.3">
      <c r="A27" s="23"/>
      <c r="B27" s="15">
        <v>2029</v>
      </c>
      <c r="C27" s="16">
        <v>10</v>
      </c>
      <c r="D27" s="41">
        <f>I26*'Key Information'!$C$15</f>
        <v>28969640.291015755</v>
      </c>
      <c r="E27" s="41">
        <f>(I26+D27)*'Key Information'!$C$16</f>
        <v>3910901.4392871265</v>
      </c>
      <c r="F27" s="41">
        <f>(I26+D27-E27)*'Key Information'!$C$17</f>
        <v>38717924.248942554</v>
      </c>
      <c r="G27" s="41">
        <f>'Key Information'!$C$19*(1+'Key Information'!$C$20)^(C27-1)+I26*'Key Information'!$C$21</f>
        <v>3115375.7020177292</v>
      </c>
      <c r="H27" s="42">
        <f>K26*'Key Information'!$C$22</f>
        <v>869089.2087304726</v>
      </c>
      <c r="I27" s="41">
        <f t="shared" si="1"/>
        <v>348461318.24048299</v>
      </c>
      <c r="J27" s="41">
        <f t="shared" si="0"/>
        <v>348461318.24048299</v>
      </c>
      <c r="K27" s="42">
        <f>I27*'Key Information'!$C$14</f>
        <v>27876905.459238641</v>
      </c>
      <c r="L27" s="41">
        <f t="shared" si="2"/>
        <v>795525.73726939736</v>
      </c>
      <c r="M27" s="42">
        <f t="shared" si="3"/>
        <v>1092734.8317771144</v>
      </c>
      <c r="N27" s="43">
        <f>L27*'Key Information'!$C$23</f>
        <v>238657.72118081921</v>
      </c>
      <c r="O27" s="42">
        <f>NPV('Key Information'!$C$13,N28:$N$38)</f>
        <v>487355.21471776842</v>
      </c>
      <c r="P27" s="43">
        <f t="shared" si="4"/>
        <v>1649602.8478656926</v>
      </c>
      <c r="Q27" s="42">
        <f>NPV('Key Information'!$C$13,$P28:P$38)</f>
        <v>17168095.389487684</v>
      </c>
    </row>
    <row r="28" spans="1:17" x14ac:dyDescent="0.3">
      <c r="A28" s="23"/>
      <c r="B28" s="15">
        <v>2030</v>
      </c>
      <c r="C28" s="16">
        <v>11</v>
      </c>
      <c r="D28" s="41">
        <f>I27*'Key Information'!$C$15</f>
        <v>27876905.459238641</v>
      </c>
      <c r="E28" s="41">
        <f>(I27+D28)*'Key Information'!$C$16</f>
        <v>3763382.2369972165</v>
      </c>
      <c r="F28" s="41">
        <f>(I27+D28-E28)*'Key Information'!$C$17</f>
        <v>37257484.146272443</v>
      </c>
      <c r="G28" s="41">
        <f>'Key Information'!$C$19*(1+'Key Information'!$C$20)^(C28-1)+I27*'Key Information'!$C$21</f>
        <v>3086222.9705465371</v>
      </c>
      <c r="H28" s="42">
        <f>K27*'Key Information'!$C$22</f>
        <v>836307.16377715918</v>
      </c>
      <c r="I28" s="41">
        <f t="shared" si="1"/>
        <v>335317357.31645203</v>
      </c>
      <c r="J28" s="41">
        <f t="shared" si="0"/>
        <v>335317357.31645203</v>
      </c>
      <c r="K28" s="42">
        <f>I28*'Key Information'!$C$14</f>
        <v>26825388.585316163</v>
      </c>
      <c r="L28" s="41">
        <f t="shared" si="2"/>
        <v>677159.2664506794</v>
      </c>
      <c r="M28" s="42">
        <f t="shared" si="3"/>
        <v>1051516.8739224784</v>
      </c>
      <c r="N28" s="43">
        <f>L28*'Key Information'!$C$23</f>
        <v>203147.77993520381</v>
      </c>
      <c r="O28" s="42">
        <f>NPV('Key Information'!$C$13,N29:$N$38)</f>
        <v>318322.2998128084</v>
      </c>
      <c r="P28" s="43">
        <f t="shared" si="4"/>
        <v>1525528.3604379541</v>
      </c>
      <c r="Q28" s="42">
        <f>NPV('Key Information'!$C$13,$P29:P$38)</f>
        <v>16844333.706313867</v>
      </c>
    </row>
    <row r="29" spans="1:17" x14ac:dyDescent="0.3">
      <c r="A29" s="23"/>
      <c r="B29" s="15">
        <v>2031</v>
      </c>
      <c r="C29" s="16">
        <v>12</v>
      </c>
      <c r="D29" s="41">
        <f>I28*'Key Information'!$C$15</f>
        <v>26825388.585316163</v>
      </c>
      <c r="E29" s="41">
        <f>(I28+D29)*'Key Information'!$C$16</f>
        <v>3621427.4590176824</v>
      </c>
      <c r="F29" s="41">
        <f>(I28+D29-E29)*'Key Information'!$C$17</f>
        <v>35852131.84427505</v>
      </c>
      <c r="G29" s="41">
        <f>'Key Information'!$C$19*(1+'Key Information'!$C$20)^(C29-1)+I28*'Key Information'!$C$21</f>
        <v>3060820.6573067056</v>
      </c>
      <c r="H29" s="42">
        <f>K28*'Key Information'!$C$22</f>
        <v>804761.65755948483</v>
      </c>
      <c r="I29" s="41">
        <f t="shared" si="1"/>
        <v>322669186.59847546</v>
      </c>
      <c r="J29" s="41">
        <f t="shared" si="0"/>
        <v>322669186.59847546</v>
      </c>
      <c r="K29" s="42">
        <f>I29*'Key Information'!$C$14</f>
        <v>25813534.927878037</v>
      </c>
      <c r="L29" s="41">
        <f t="shared" si="2"/>
        <v>560606.80171097675</v>
      </c>
      <c r="M29" s="42">
        <f t="shared" si="3"/>
        <v>1011853.6574381255</v>
      </c>
      <c r="N29" s="43">
        <f>L29*'Key Information'!$C$23</f>
        <v>168182.04051329303</v>
      </c>
      <c r="O29" s="42">
        <f>NPV('Key Information'!$C$13,N30:$N$38)</f>
        <v>172422.82028641197</v>
      </c>
      <c r="P29" s="43">
        <f t="shared" si="4"/>
        <v>1404278.4186358091</v>
      </c>
      <c r="Q29" s="42">
        <f>NPV('Key Information'!$C$13,$P30:P$38)</f>
        <v>16619158.647120032</v>
      </c>
    </row>
    <row r="30" spans="1:17" x14ac:dyDescent="0.3">
      <c r="A30" s="23"/>
      <c r="B30" s="15">
        <v>2032</v>
      </c>
      <c r="C30" s="16">
        <v>13</v>
      </c>
      <c r="D30" s="41">
        <f>I29*'Key Information'!$C$15</f>
        <v>25813534.927878037</v>
      </c>
      <c r="E30" s="41">
        <f>(I29+D30)*'Key Information'!$C$16</f>
        <v>3484827.2152635348</v>
      </c>
      <c r="F30" s="41">
        <f>(I29+D30-E30)*'Key Information'!$C$17</f>
        <v>34499789.431108996</v>
      </c>
      <c r="G30" s="41">
        <f>'Key Information'!$C$19*(1+'Key Information'!$C$20)^(C30-1)+I29*'Key Information'!$C$21</f>
        <v>3039106.819838556</v>
      </c>
      <c r="H30" s="42">
        <f>K29*'Key Information'!$C$22</f>
        <v>774406.04783634108</v>
      </c>
      <c r="I30" s="41">
        <f t="shared" si="1"/>
        <v>310498104.87998092</v>
      </c>
      <c r="J30" s="41">
        <f t="shared" si="0"/>
        <v>310498104.87998092</v>
      </c>
      <c r="K30" s="42">
        <f>I30*'Key Information'!$C$14</f>
        <v>24839848.390398473</v>
      </c>
      <c r="L30" s="41">
        <f t="shared" si="2"/>
        <v>445720.39542497881</v>
      </c>
      <c r="M30" s="42">
        <f t="shared" si="3"/>
        <v>973686.53747956455</v>
      </c>
      <c r="N30" s="43">
        <f>L30*'Key Information'!$C$23</f>
        <v>133716.11862749365</v>
      </c>
      <c r="O30" s="42">
        <f>NPV('Key Information'!$C$13,N31:$N$38)</f>
        <v>50776.299078967138</v>
      </c>
      <c r="P30" s="43">
        <f t="shared" si="4"/>
        <v>1285690.8142770496</v>
      </c>
      <c r="Q30" s="42">
        <f>NPV('Key Information'!$C$13,$P31:P$38)</f>
        <v>16496808.938141385</v>
      </c>
    </row>
    <row r="31" spans="1:17" x14ac:dyDescent="0.3">
      <c r="A31" s="23"/>
      <c r="B31" s="15">
        <v>2033</v>
      </c>
      <c r="C31" s="16">
        <v>14</v>
      </c>
      <c r="D31" s="41">
        <f>I30*'Key Information'!$C$15</f>
        <v>24839848.390398473</v>
      </c>
      <c r="E31" s="41">
        <f>(I30+D31)*'Key Information'!$C$16</f>
        <v>3353379.5327037945</v>
      </c>
      <c r="F31" s="41">
        <f>(I30+D31-E31)*'Key Information'!$C$17</f>
        <v>33198457.373767562</v>
      </c>
      <c r="G31" s="41">
        <f>'Key Information'!$C$19*(1+'Key Information'!$C$20)^(C31-1)+I30*'Key Information'!$C$21</f>
        <v>3021024.2378514684</v>
      </c>
      <c r="H31" s="42">
        <f>K30*'Key Information'!$C$22</f>
        <v>745195.4517119542</v>
      </c>
      <c r="I31" s="41">
        <f t="shared" si="1"/>
        <v>298786116.36390805</v>
      </c>
      <c r="J31" s="41">
        <f t="shared" si="0"/>
        <v>298786116.36390805</v>
      </c>
      <c r="K31" s="42">
        <f>I31*'Key Information'!$C$14</f>
        <v>23902889.309112646</v>
      </c>
      <c r="L31" s="41">
        <f t="shared" si="2"/>
        <v>332355.29485232616</v>
      </c>
      <c r="M31" s="42">
        <f t="shared" si="3"/>
        <v>936959.08128582686</v>
      </c>
      <c r="N31" s="43">
        <f>L31*'Key Information'!$C$23</f>
        <v>99706.588455697842</v>
      </c>
      <c r="O31" s="42">
        <f>NPV('Key Information'!$C$13,N32:$N$38)</f>
        <v>-45375.948441203</v>
      </c>
      <c r="P31" s="43">
        <f t="shared" si="4"/>
        <v>1169607.7876824553</v>
      </c>
      <c r="Q31" s="42">
        <f>NPV('Key Information'!$C$13,$P32:P$38)</f>
        <v>16481977.776128825</v>
      </c>
    </row>
    <row r="32" spans="1:17" x14ac:dyDescent="0.3">
      <c r="A32" s="23"/>
      <c r="B32" s="15">
        <v>2034</v>
      </c>
      <c r="C32" s="16">
        <v>15</v>
      </c>
      <c r="D32" s="41">
        <f>I31*'Key Information'!$C$15</f>
        <v>23902889.309112646</v>
      </c>
      <c r="E32" s="41">
        <f>(I31+D32)*'Key Information'!$C$16</f>
        <v>3226890.0567302071</v>
      </c>
      <c r="F32" s="41">
        <f>(I31+D32-E32)*'Key Information'!$C$17</f>
        <v>31946211.561629053</v>
      </c>
      <c r="G32" s="41">
        <f>'Key Information'!$C$19*(1+'Key Information'!$C$20)^(C32-1)+I31*'Key Information'!$C$21</f>
        <v>3006520.3066746513</v>
      </c>
      <c r="H32" s="42">
        <f>K31*'Key Information'!$C$22</f>
        <v>717086.67927337938</v>
      </c>
      <c r="I32" s="41">
        <f t="shared" si="1"/>
        <v>287515904.05466145</v>
      </c>
      <c r="J32" s="41">
        <f t="shared" si="0"/>
        <v>287515904.05466145</v>
      </c>
      <c r="K32" s="42">
        <f>I32*'Key Information'!$C$14</f>
        <v>23001272.324372917</v>
      </c>
      <c r="L32" s="41">
        <f t="shared" si="2"/>
        <v>220369.75005555572</v>
      </c>
      <c r="M32" s="42">
        <f t="shared" si="3"/>
        <v>901616.98473972827</v>
      </c>
      <c r="N32" s="43">
        <f>L32*'Key Information'!$C$23</f>
        <v>66110.925016666719</v>
      </c>
      <c r="O32" s="42">
        <f>NPV('Key Information'!$C$13,N33:$N$38)</f>
        <v>-114663.18984875391</v>
      </c>
      <c r="P32" s="43">
        <f t="shared" si="4"/>
        <v>1055875.8097786172</v>
      </c>
      <c r="Q32" s="42">
        <f>NPV('Key Information'!$C$13,$P33:P$38)</f>
        <v>16579840.41067923</v>
      </c>
    </row>
    <row r="33" spans="1:17" x14ac:dyDescent="0.3">
      <c r="A33" s="23"/>
      <c r="B33" s="15">
        <v>2035</v>
      </c>
      <c r="C33" s="16">
        <v>16</v>
      </c>
      <c r="D33" s="41">
        <f>I32*'Key Information'!$C$15</f>
        <v>23001272.324372917</v>
      </c>
      <c r="E33" s="41">
        <f>(I32+D33)*'Key Information'!$C$16</f>
        <v>3105171.7637903439</v>
      </c>
      <c r="F33" s="41">
        <f>(I32+D33-E33)*'Key Information'!$C$17</f>
        <v>30741200.461524405</v>
      </c>
      <c r="G33" s="41">
        <f>'Key Information'!$C$19*(1+'Key Information'!$C$20)^(C33-1)+I32*'Key Information'!$C$21</f>
        <v>2995546.9368740721</v>
      </c>
      <c r="H33" s="42">
        <f>K32*'Key Information'!$C$22</f>
        <v>690038.16973118752</v>
      </c>
      <c r="I33" s="41">
        <f t="shared" si="1"/>
        <v>276670804.1537196</v>
      </c>
      <c r="J33" s="41">
        <f t="shared" si="0"/>
        <v>276670804.1537196</v>
      </c>
      <c r="K33" s="42">
        <f>I33*'Key Information'!$C$14</f>
        <v>22133664.332297567</v>
      </c>
      <c r="L33" s="41">
        <f t="shared" si="2"/>
        <v>109624.82691627182</v>
      </c>
      <c r="M33" s="42">
        <f t="shared" si="3"/>
        <v>867607.99207535014</v>
      </c>
      <c r="N33" s="43">
        <f>L33*'Key Information'!$C$23</f>
        <v>32887.448074881548</v>
      </c>
      <c r="O33" s="42">
        <f>NPV('Key Information'!$C$13,N34:$N$38)</f>
        <v>-155577.06121304826</v>
      </c>
      <c r="P33" s="43">
        <f t="shared" si="4"/>
        <v>944345.37091674039</v>
      </c>
      <c r="Q33" s="42">
        <f>NPV('Key Information'!$C$13,$P34:P$38)</f>
        <v>16796083.868510038</v>
      </c>
    </row>
    <row r="34" spans="1:17" x14ac:dyDescent="0.3">
      <c r="A34" s="23"/>
      <c r="B34" s="15">
        <v>2036</v>
      </c>
      <c r="C34" s="16">
        <v>17</v>
      </c>
      <c r="D34" s="41">
        <f>I33*'Key Information'!$C$15</f>
        <v>22133664.332297567</v>
      </c>
      <c r="E34" s="41">
        <f>(I33+D34)*'Key Information'!$C$16</f>
        <v>2988044.6848601718</v>
      </c>
      <c r="F34" s="41">
        <f>(I33+D34-E34)*'Key Information'!$C$17</f>
        <v>29581642.380115703</v>
      </c>
      <c r="G34" s="41">
        <f>'Key Information'!$C$19*(1+'Key Information'!$C$20)^(C34-1)+I33*'Key Information'!$C$21</f>
        <v>2988060.4598673852</v>
      </c>
      <c r="H34" s="42">
        <f>K33*'Key Information'!$C$22</f>
        <v>664009.92996892694</v>
      </c>
      <c r="I34" s="41">
        <f t="shared" si="1"/>
        <v>266234781.42104131</v>
      </c>
      <c r="J34" s="41">
        <f t="shared" si="0"/>
        <v>266234781.42104131</v>
      </c>
      <c r="K34" s="42">
        <f>I34*'Key Information'!$C$14</f>
        <v>21298782.513683304</v>
      </c>
      <c r="L34" s="41">
        <f t="shared" si="2"/>
        <v>-15.775007213465869</v>
      </c>
      <c r="M34" s="42">
        <f t="shared" si="3"/>
        <v>834881.81861426309</v>
      </c>
      <c r="N34" s="43">
        <f>L34*'Key Information'!$C$23</f>
        <v>-4.7325021640397607</v>
      </c>
      <c r="O34" s="42">
        <f>NPV('Key Information'!$C$13,N35:$N$38)</f>
        <v>-166462.72299579761</v>
      </c>
      <c r="P34" s="43">
        <f t="shared" si="4"/>
        <v>834870.77610921371</v>
      </c>
      <c r="Q34" s="42">
        <f>NPV('Key Information'!$C$13,$P35:P$38)</f>
        <v>17136938.963196527</v>
      </c>
    </row>
    <row r="35" spans="1:17" x14ac:dyDescent="0.3">
      <c r="A35" s="23"/>
      <c r="B35" s="15">
        <v>2037</v>
      </c>
      <c r="C35" s="16">
        <v>18</v>
      </c>
      <c r="D35" s="41">
        <f>I34*'Key Information'!$C$15</f>
        <v>21298782.513683304</v>
      </c>
      <c r="E35" s="41">
        <f>(I34+D35)*'Key Information'!$C$16</f>
        <v>2875335.6393472464</v>
      </c>
      <c r="F35" s="41">
        <f>(I34+D35-E35)*'Key Information'!$C$17</f>
        <v>28465822.829537738</v>
      </c>
      <c r="G35" s="41">
        <f>'Key Information'!$C$19*(1+'Key Information'!$C$20)^(C35-1)+I34*'Key Information'!$C$21</f>
        <v>2984021.5393769573</v>
      </c>
      <c r="H35" s="42">
        <f>K34*'Key Information'!$C$22</f>
        <v>638963.47541049914</v>
      </c>
      <c r="I35" s="41">
        <f t="shared" si="1"/>
        <v>256192405.46583962</v>
      </c>
      <c r="J35" s="41">
        <f t="shared" si="0"/>
        <v>256192405.46583962</v>
      </c>
      <c r="K35" s="42">
        <f>I35*'Key Information'!$C$14</f>
        <v>20495392.437267169</v>
      </c>
      <c r="L35" s="41">
        <f t="shared" si="2"/>
        <v>-108685.90002971096</v>
      </c>
      <c r="M35" s="42">
        <f t="shared" si="3"/>
        <v>803390.07641613483</v>
      </c>
      <c r="N35" s="43">
        <f>L35*'Key Information'!$C$23</f>
        <v>-32605.770008913285</v>
      </c>
      <c r="O35" s="42">
        <f>NPV('Key Information'!$C$13,N36:$N$38)</f>
        <v>-145509.34359659016</v>
      </c>
      <c r="P35" s="43">
        <f t="shared" si="4"/>
        <v>727309.94639533712</v>
      </c>
      <c r="Q35" s="42">
        <f>NPV('Key Information'!$C$13,$P36:P$38)</f>
        <v>17609214.744224943</v>
      </c>
    </row>
    <row r="36" spans="1:17" x14ac:dyDescent="0.3">
      <c r="A36" s="23"/>
      <c r="B36" s="15">
        <v>2038</v>
      </c>
      <c r="C36" s="16">
        <v>19</v>
      </c>
      <c r="D36" s="41">
        <f>I35*'Key Information'!$C$15</f>
        <v>20495392.437267169</v>
      </c>
      <c r="E36" s="41">
        <f>(I35+D36)*'Key Information'!$C$16</f>
        <v>2766877.9790310683</v>
      </c>
      <c r="F36" s="41">
        <f>(I35+D36-E36)*'Key Information'!$C$17</f>
        <v>27392091.992407575</v>
      </c>
      <c r="G36" s="41">
        <f>'Key Information'!$C$19*(1+'Key Information'!$C$20)^(C36-1)+I35*'Key Information'!$C$21</f>
        <v>2983395.0885691014</v>
      </c>
      <c r="H36" s="42">
        <f>K35*'Key Information'!$C$22</f>
        <v>614861.77311801503</v>
      </c>
      <c r="I36" s="41">
        <f t="shared" si="1"/>
        <v>246528827.93166816</v>
      </c>
      <c r="J36" s="41">
        <f t="shared" si="0"/>
        <v>246528827.93166816</v>
      </c>
      <c r="K36" s="42">
        <f>I36*'Key Information'!$C$14</f>
        <v>19722306.234533455</v>
      </c>
      <c r="L36" s="41">
        <f t="shared" si="2"/>
        <v>-216517.10953803314</v>
      </c>
      <c r="M36" s="42">
        <f t="shared" si="3"/>
        <v>773086.20273371413</v>
      </c>
      <c r="N36" s="43">
        <f>L36*'Key Information'!$C$23</f>
        <v>-64955.13286140994</v>
      </c>
      <c r="O36" s="42">
        <f>NPV('Key Information'!$C$13,N37:$N$38)</f>
        <v>-90739.864786941529</v>
      </c>
      <c r="P36" s="43">
        <f t="shared" si="4"/>
        <v>621524.22605709091</v>
      </c>
      <c r="Q36" s="42">
        <f>NPV('Key Information'!$C$13,$P37:P$38)</f>
        <v>18220335.550263602</v>
      </c>
    </row>
    <row r="37" spans="1:17" x14ac:dyDescent="0.3">
      <c r="A37" s="23"/>
      <c r="B37" s="24">
        <v>2039</v>
      </c>
      <c r="C37" s="25">
        <v>20</v>
      </c>
      <c r="D37" s="41">
        <f>I36*'Key Information'!$C$15</f>
        <v>19722306.234533455</v>
      </c>
      <c r="E37" s="41">
        <f>(I36+D37)*'Key Information'!$C$16</f>
        <v>2662511.3416620162</v>
      </c>
      <c r="F37" s="41">
        <f>(I36+D37-E37)*'Key Information'!$C$18</f>
        <v>263588622.8245396</v>
      </c>
      <c r="G37" s="41">
        <f>'Key Information'!$C$19*(1+'Key Information'!$C$20)^(C37-1)+I36*'Key Information'!$C$21</f>
        <v>2986150.192735441</v>
      </c>
      <c r="H37" s="42">
        <f>K36*'Key Information'!$C$22</f>
        <v>591669.18703600368</v>
      </c>
      <c r="I37" s="41">
        <f t="shared" si="1"/>
        <v>0</v>
      </c>
      <c r="J37" s="41">
        <f t="shared" si="0"/>
        <v>0</v>
      </c>
      <c r="K37" s="42">
        <f>I37*'Key Information'!$C$14</f>
        <v>0</v>
      </c>
      <c r="L37" s="41">
        <f t="shared" si="2"/>
        <v>-323638.8510734248</v>
      </c>
      <c r="M37" s="42">
        <f t="shared" si="3"/>
        <v>19722306.234533455</v>
      </c>
      <c r="N37" s="43">
        <f>L37*'Key Information'!$C$23</f>
        <v>-97091.655322027436</v>
      </c>
      <c r="O37" s="42">
        <f>NPV('Key Information'!$C$13,N38:$N$38)</f>
        <v>0</v>
      </c>
      <c r="P37" s="43">
        <f t="shared" si="4"/>
        <v>19495759.038782056</v>
      </c>
      <c r="Q37" s="42">
        <f>NPV('Key Information'!$C$13,$P38:P$38)</f>
        <v>0</v>
      </c>
    </row>
    <row r="41" spans="1:17" x14ac:dyDescent="0.3">
      <c r="E41" s="23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85" zoomScaleNormal="85" workbookViewId="0">
      <selection activeCell="F14" sqref="F14"/>
    </sheetView>
  </sheetViews>
  <sheetFormatPr defaultColWidth="9.125" defaultRowHeight="16.5" x14ac:dyDescent="0.3"/>
  <cols>
    <col min="1" max="1" width="6.875" style="69" bestFit="1" customWidth="1"/>
    <col min="2" max="2" width="65.75" style="69" customWidth="1"/>
    <col min="3" max="6" width="36.375" style="69" bestFit="1" customWidth="1"/>
    <col min="7" max="16384" width="9.125" style="69"/>
  </cols>
  <sheetData>
    <row r="1" spans="1:6" x14ac:dyDescent="0.3">
      <c r="A1" s="49" t="s">
        <v>55</v>
      </c>
      <c r="B1" s="47" t="s">
        <v>57</v>
      </c>
      <c r="C1" s="70"/>
      <c r="D1" s="70"/>
      <c r="E1" s="70"/>
      <c r="F1" s="70"/>
    </row>
    <row r="2" spans="1:6" x14ac:dyDescent="0.3">
      <c r="A2" s="51"/>
      <c r="B2" s="48" t="s">
        <v>56</v>
      </c>
      <c r="C2" s="70"/>
      <c r="D2" s="70"/>
      <c r="E2" s="70"/>
      <c r="F2" s="70"/>
    </row>
    <row r="3" spans="1:6" x14ac:dyDescent="0.3">
      <c r="A3" s="52"/>
      <c r="B3" s="71"/>
      <c r="C3" s="70"/>
      <c r="D3" s="70"/>
      <c r="E3" s="70"/>
      <c r="F3" s="70"/>
    </row>
    <row r="4" spans="1:6" x14ac:dyDescent="0.3">
      <c r="A4" s="70"/>
      <c r="B4" s="70"/>
      <c r="C4" s="70"/>
      <c r="D4" s="70"/>
      <c r="E4" s="70"/>
      <c r="F4" s="70"/>
    </row>
    <row r="5" spans="1:6" x14ac:dyDescent="0.3">
      <c r="A5" s="70"/>
      <c r="B5" s="53"/>
      <c r="C5" s="54" t="s">
        <v>22</v>
      </c>
      <c r="D5" s="54" t="s">
        <v>21</v>
      </c>
      <c r="E5" s="54" t="s">
        <v>44</v>
      </c>
      <c r="F5" s="55" t="s">
        <v>23</v>
      </c>
    </row>
    <row r="6" spans="1:6" x14ac:dyDescent="0.3">
      <c r="A6" s="70"/>
      <c r="B6" s="51" t="s">
        <v>24</v>
      </c>
      <c r="C6" s="46">
        <f>'Embedded Value 31 Dec 2019 (a)'!C8</f>
        <v>836000000</v>
      </c>
      <c r="D6" s="46">
        <f>'Embedded Value 31 Dec 2019 (a)'!C9</f>
        <v>55583037.883884162</v>
      </c>
      <c r="E6" s="46">
        <f>'Embedded Value 31 Dec 2019 (a)'!C10</f>
        <v>8457338.4825944789</v>
      </c>
      <c r="F6" s="56">
        <f>'Embedded Value 31 Dec 2019 (a)'!C11</f>
        <v>900040376.36647868</v>
      </c>
    </row>
    <row r="7" spans="1:6" x14ac:dyDescent="0.3">
      <c r="A7" s="70"/>
      <c r="B7" s="51"/>
      <c r="C7" s="70"/>
      <c r="D7" s="70"/>
      <c r="E7" s="70"/>
      <c r="F7" s="57"/>
    </row>
    <row r="8" spans="1:6" x14ac:dyDescent="0.3">
      <c r="A8" s="70"/>
      <c r="B8" s="58" t="s">
        <v>20</v>
      </c>
      <c r="C8" s="70"/>
      <c r="D8" s="70"/>
      <c r="E8" s="70"/>
      <c r="F8" s="57"/>
    </row>
    <row r="9" spans="1:6" x14ac:dyDescent="0.3">
      <c r="A9" s="70"/>
      <c r="B9" s="51" t="s">
        <v>36</v>
      </c>
      <c r="C9" s="59"/>
      <c r="D9" s="60">
        <f>D6*'Key Information'!$C$13</f>
        <v>3890812.6518718917</v>
      </c>
      <c r="E9" s="60">
        <f>E6*'Key Information'!$C$13</f>
        <v>592013.69378161361</v>
      </c>
      <c r="F9" s="61">
        <f>SUM(C9:E9)</f>
        <v>4482826.3456535051</v>
      </c>
    </row>
    <row r="10" spans="1:6" x14ac:dyDescent="0.3">
      <c r="A10" s="70"/>
      <c r="B10" s="75" t="s">
        <v>72</v>
      </c>
      <c r="C10" s="76">
        <f>C6*'Key Information'!$C$22</f>
        <v>25080000</v>
      </c>
      <c r="D10" s="77"/>
      <c r="E10" s="77"/>
      <c r="F10" s="61">
        <f t="shared" ref="F10:F11" si="0">SUM(C10:E10)</f>
        <v>25080000</v>
      </c>
    </row>
    <row r="11" spans="1:6" x14ac:dyDescent="0.3">
      <c r="A11" s="70"/>
      <c r="B11" s="51" t="s">
        <v>45</v>
      </c>
      <c r="C11" s="60">
        <f>'Embedded Value 31 Dec 2019 (a)'!P18+'Embedded Value 31 Dec 2019 (a)'!N18*'Key Information'!$C$24</f>
        <v>7473680</v>
      </c>
      <c r="D11" s="60">
        <f>-'Embedded Value 31 Dec 2019 (a)'!P18</f>
        <v>-6306080</v>
      </c>
      <c r="E11" s="60">
        <f>-'Embedded Value 31 Dec 2019 (a)'!N18*'Key Information'!C24</f>
        <v>-1167600</v>
      </c>
      <c r="F11" s="61">
        <f t="shared" si="0"/>
        <v>0</v>
      </c>
    </row>
    <row r="12" spans="1:6" x14ac:dyDescent="0.3">
      <c r="A12" s="70"/>
      <c r="B12" s="52"/>
      <c r="C12" s="62"/>
      <c r="D12" s="62"/>
      <c r="E12" s="62"/>
      <c r="F12" s="63"/>
    </row>
    <row r="13" spans="1:6" x14ac:dyDescent="0.3">
      <c r="A13" s="70"/>
      <c r="B13" s="58" t="s">
        <v>70</v>
      </c>
      <c r="C13" s="70"/>
      <c r="D13" s="70"/>
      <c r="E13" s="70"/>
      <c r="F13" s="57"/>
    </row>
    <row r="14" spans="1:6" x14ac:dyDescent="0.3">
      <c r="A14" s="70"/>
      <c r="B14" s="51" t="s">
        <v>25</v>
      </c>
      <c r="C14" s="60"/>
      <c r="D14" s="60">
        <f>-'Key Information'!C36</f>
        <v>-10000000</v>
      </c>
      <c r="E14" s="60">
        <f>D14*'Key Information'!C23</f>
        <v>-3000000</v>
      </c>
      <c r="F14" s="61">
        <f>SUM(C14:E14)</f>
        <v>-13000000</v>
      </c>
    </row>
    <row r="15" spans="1:6" x14ac:dyDescent="0.3">
      <c r="A15" s="70"/>
      <c r="B15" s="51" t="s">
        <v>26</v>
      </c>
      <c r="C15" s="60"/>
      <c r="D15" s="60">
        <f>'Embedded Value 31 Dec 2019 (b)'!Q18-'Embedded Value 31 Dec 2019 (a)'!Q18</f>
        <v>-25665815.295636807</v>
      </c>
      <c r="E15" s="60"/>
      <c r="F15" s="61">
        <f>SUM(C15:E15)</f>
        <v>-25665815.295636807</v>
      </c>
    </row>
    <row r="16" spans="1:6" x14ac:dyDescent="0.3">
      <c r="A16" s="70"/>
      <c r="B16" s="51" t="s">
        <v>27</v>
      </c>
      <c r="C16" s="60">
        <f>'Embedded Value 31 Dec 2019 (b)'!D8-'Embedded Value 31 Dec 2019 (a)'!D8</f>
        <v>14744720</v>
      </c>
      <c r="D16" s="60"/>
      <c r="E16" s="60"/>
      <c r="F16" s="61">
        <f>SUM(C16:E16)</f>
        <v>14744720</v>
      </c>
    </row>
    <row r="17" spans="1:6" x14ac:dyDescent="0.3">
      <c r="A17" s="70"/>
      <c r="B17" s="85" t="s">
        <v>73</v>
      </c>
      <c r="C17" s="59">
        <f>C19-SUM(C6:C16)</f>
        <v>0</v>
      </c>
      <c r="D17" s="83">
        <f t="shared" ref="D17:F17" si="1">D19-SUM(D6:D16)</f>
        <v>0</v>
      </c>
      <c r="E17" s="83">
        <f t="shared" si="1"/>
        <v>-2858368.2243263191</v>
      </c>
      <c r="F17" s="84">
        <f t="shared" si="1"/>
        <v>-2858368.2243264914</v>
      </c>
    </row>
    <row r="18" spans="1:6" x14ac:dyDescent="0.3">
      <c r="A18" s="70"/>
      <c r="B18" s="51"/>
      <c r="C18" s="70"/>
      <c r="D18" s="70"/>
      <c r="E18" s="70"/>
      <c r="F18" s="57"/>
    </row>
    <row r="19" spans="1:6" x14ac:dyDescent="0.3">
      <c r="A19" s="70"/>
      <c r="B19" s="51" t="s">
        <v>33</v>
      </c>
      <c r="C19" s="60">
        <f>'Embedded Value 31 Dec 2019 (b)'!D8</f>
        <v>883298400</v>
      </c>
      <c r="D19" s="60">
        <f>'Embedded Value 31 Dec 2019 (b)'!D9</f>
        <v>17501955.240119252</v>
      </c>
      <c r="E19" s="60">
        <f>'Embedded Value 31 Dec 2019 (b)'!D10</f>
        <v>2023383.9520497741</v>
      </c>
      <c r="F19" s="61">
        <f>'Embedded Value 31 Dec 2019 (b)'!D11</f>
        <v>902823739.19216895</v>
      </c>
    </row>
    <row r="20" spans="1:6" x14ac:dyDescent="0.3">
      <c r="A20" s="70"/>
      <c r="B20" s="52"/>
      <c r="C20" s="62"/>
      <c r="D20" s="62"/>
      <c r="E20" s="62"/>
      <c r="F20" s="63"/>
    </row>
    <row r="21" spans="1:6" x14ac:dyDescent="0.3">
      <c r="A21" s="70"/>
      <c r="B21" s="70"/>
      <c r="C21" s="70"/>
      <c r="D21" s="70"/>
      <c r="E21" s="70"/>
      <c r="F21" s="70"/>
    </row>
    <row r="22" spans="1:6" x14ac:dyDescent="0.3">
      <c r="A22" s="70"/>
      <c r="B22" s="70"/>
      <c r="C22" s="70"/>
      <c r="D22" s="70"/>
      <c r="E22" s="70"/>
      <c r="F22" s="70"/>
    </row>
    <row r="23" spans="1:6" x14ac:dyDescent="0.3">
      <c r="A23" s="70"/>
      <c r="B23" s="70"/>
      <c r="C23" s="70"/>
      <c r="D23" s="70"/>
      <c r="E23" s="70"/>
      <c r="F23" s="70"/>
    </row>
    <row r="24" spans="1:6" x14ac:dyDescent="0.3">
      <c r="A24" s="70"/>
      <c r="B24" s="70"/>
      <c r="C24" s="70"/>
      <c r="D24" s="70"/>
      <c r="E24" s="70"/>
      <c r="F24" s="70"/>
    </row>
    <row r="25" spans="1:6" x14ac:dyDescent="0.3">
      <c r="A25" s="70"/>
      <c r="B25" s="70"/>
      <c r="C25" s="70"/>
      <c r="D25" s="70"/>
      <c r="E25" s="70"/>
      <c r="F25" s="70"/>
    </row>
    <row r="26" spans="1:6" x14ac:dyDescent="0.3">
      <c r="A26" s="70"/>
      <c r="B26" s="70"/>
      <c r="C26" s="70"/>
      <c r="D26" s="70"/>
      <c r="E26" s="70"/>
      <c r="F26" s="70"/>
    </row>
    <row r="27" spans="1:6" x14ac:dyDescent="0.3">
      <c r="A27" s="70"/>
      <c r="B27" s="70"/>
      <c r="C27" s="70"/>
      <c r="D27" s="70"/>
      <c r="E27" s="70"/>
      <c r="F27" s="70"/>
    </row>
    <row r="28" spans="1:6" x14ac:dyDescent="0.3">
      <c r="A28" s="70"/>
      <c r="B28" s="70"/>
      <c r="C28" s="70"/>
      <c r="D28" s="70"/>
      <c r="E28" s="70"/>
      <c r="F28" s="70"/>
    </row>
    <row r="29" spans="1:6" x14ac:dyDescent="0.3">
      <c r="A29" s="70"/>
      <c r="B29" s="70"/>
      <c r="C29" s="70"/>
      <c r="D29" s="70"/>
      <c r="E29" s="70"/>
      <c r="F29" s="70"/>
    </row>
    <row r="30" spans="1:6" x14ac:dyDescent="0.3">
      <c r="A30" s="70"/>
      <c r="B30" s="70"/>
      <c r="C30" s="70"/>
      <c r="D30" s="70"/>
      <c r="E30" s="70"/>
      <c r="F30" s="70"/>
    </row>
    <row r="31" spans="1:6" x14ac:dyDescent="0.3">
      <c r="A31" s="70"/>
      <c r="B31" s="70"/>
      <c r="C31" s="70"/>
      <c r="D31" s="70"/>
      <c r="E31" s="70"/>
      <c r="F31" s="70"/>
    </row>
    <row r="32" spans="1:6" x14ac:dyDescent="0.3">
      <c r="A32" s="70"/>
      <c r="B32" s="70"/>
      <c r="C32" s="70"/>
      <c r="D32" s="70"/>
      <c r="E32" s="70"/>
      <c r="F32" s="70"/>
    </row>
    <row r="33" spans="1:6" x14ac:dyDescent="0.3">
      <c r="A33" s="70"/>
      <c r="B33" s="70"/>
      <c r="C33" s="70"/>
      <c r="D33" s="70"/>
      <c r="E33" s="70"/>
      <c r="F33" s="70"/>
    </row>
  </sheetData>
  <phoneticPr fontId="1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Key Information</vt:lpstr>
      <vt:lpstr>Embedded Value 31 Dec 2019 (a)</vt:lpstr>
      <vt:lpstr>Analysis of Movement 2020</vt:lpstr>
      <vt:lpstr>Embedded Value 31 Dec 2019 (b)</vt:lpstr>
      <vt:lpstr>Analysis of Movement 2020 (b)</vt:lpstr>
      <vt:lpstr>'Key Information'!OLE_LINK1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</dc:creator>
  <cp:lastModifiedBy>Zhang, Yi</cp:lastModifiedBy>
  <cp:lastPrinted>2019-02-06T13:21:15Z</cp:lastPrinted>
  <dcterms:created xsi:type="dcterms:W3CDTF">2019-01-01T11:22:09Z</dcterms:created>
  <dcterms:modified xsi:type="dcterms:W3CDTF">2019-10-11T04:58:59Z</dcterms:modified>
</cp:coreProperties>
</file>