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ocuments\GitHub\my_file\LIRV\Textbook\"/>
    </mc:Choice>
  </mc:AlternateContent>
  <bookViews>
    <workbookView xWindow="0" yWindow="0" windowWidth="28800" windowHeight="11625"/>
  </bookViews>
  <sheets>
    <sheet name="Assumptions and calculations" sheetId="1" r:id="rId1"/>
    <sheet name="Tabl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32" i="1"/>
  <c r="Q18" i="1"/>
  <c r="Q19" i="1"/>
  <c r="Q20" i="1"/>
  <c r="Q21" i="1"/>
  <c r="Q22" i="1"/>
  <c r="Q23" i="1"/>
  <c r="Q24" i="1"/>
  <c r="Q25" i="1"/>
  <c r="Q26" i="1"/>
  <c r="Q27" i="1"/>
  <c r="G32" i="1"/>
  <c r="G34" i="1"/>
  <c r="G35" i="1"/>
  <c r="G36" i="1"/>
  <c r="G37" i="1"/>
  <c r="G38" i="1"/>
  <c r="G39" i="1"/>
  <c r="G40" i="1"/>
  <c r="G41" i="1"/>
  <c r="G33" i="1"/>
  <c r="C33" i="1"/>
  <c r="E32" i="1"/>
  <c r="E30" i="1" s="1"/>
  <c r="C32" i="1"/>
  <c r="C19" i="1"/>
  <c r="F18" i="1"/>
  <c r="D18" i="1"/>
  <c r="N33" i="1" l="1"/>
  <c r="D33" i="1"/>
  <c r="F33" i="1"/>
  <c r="C34" i="1"/>
  <c r="I32" i="1"/>
  <c r="N32" i="1"/>
  <c r="E30" i="2"/>
  <c r="E28" i="2"/>
  <c r="D21" i="2"/>
  <c r="B5" i="2"/>
  <c r="C5" i="2"/>
  <c r="D5" i="2"/>
  <c r="E5" i="2"/>
  <c r="D14" i="2"/>
  <c r="D13" i="2"/>
  <c r="D12" i="2"/>
  <c r="D11" i="2"/>
  <c r="D10" i="2"/>
  <c r="D9" i="2"/>
  <c r="D8" i="2"/>
  <c r="D7" i="2"/>
  <c r="D6" i="2"/>
  <c r="B6" i="2"/>
  <c r="A6" i="2"/>
  <c r="A7" i="2" s="1"/>
  <c r="A8" i="2" s="1"/>
  <c r="A9" i="2" s="1"/>
  <c r="A10" i="2" s="1"/>
  <c r="A11" i="2" s="1"/>
  <c r="A12" i="2" s="1"/>
  <c r="A13" i="2" s="1"/>
  <c r="A14" i="2" s="1"/>
  <c r="W19" i="1"/>
  <c r="U19" i="1"/>
  <c r="V19" i="1" s="1"/>
  <c r="E18" i="1"/>
  <c r="C18" i="1"/>
  <c r="E16" i="1"/>
  <c r="N34" i="1" l="1"/>
  <c r="F34" i="1"/>
  <c r="C35" i="1"/>
  <c r="D34" i="1"/>
  <c r="O33" i="1"/>
  <c r="O32" i="1"/>
  <c r="J32" i="1"/>
  <c r="P32" i="1" s="1"/>
  <c r="U20" i="1"/>
  <c r="O34" i="1" l="1"/>
  <c r="F35" i="1"/>
  <c r="C36" i="1"/>
  <c r="D35" i="1"/>
  <c r="N35" i="1"/>
  <c r="O18" i="1"/>
  <c r="V20" i="1"/>
  <c r="U21" i="1"/>
  <c r="W20" i="1"/>
  <c r="C20" i="1"/>
  <c r="B7" i="2" s="1"/>
  <c r="D19" i="1"/>
  <c r="F19" i="1"/>
  <c r="O35" i="1" l="1"/>
  <c r="C37" i="1"/>
  <c r="D36" i="1"/>
  <c r="F36" i="1"/>
  <c r="N36" i="1"/>
  <c r="O19" i="1"/>
  <c r="E6" i="2"/>
  <c r="C6" i="2"/>
  <c r="C21" i="1"/>
  <c r="B8" i="2" s="1"/>
  <c r="F20" i="1"/>
  <c r="E7" i="2" s="1"/>
  <c r="D20" i="1"/>
  <c r="C7" i="2" s="1"/>
  <c r="V21" i="1"/>
  <c r="U22" i="1"/>
  <c r="W21" i="1"/>
  <c r="N37" i="1" l="1"/>
  <c r="D37" i="1"/>
  <c r="F37" i="1"/>
  <c r="C38" i="1"/>
  <c r="O36" i="1"/>
  <c r="O20" i="1"/>
  <c r="V22" i="1"/>
  <c r="U23" i="1"/>
  <c r="W22" i="1"/>
  <c r="C22" i="1"/>
  <c r="B9" i="2" s="1"/>
  <c r="F21" i="1"/>
  <c r="E8" i="2" s="1"/>
  <c r="D21" i="1"/>
  <c r="C8" i="2" s="1"/>
  <c r="O37" i="1" l="1"/>
  <c r="N38" i="1"/>
  <c r="F38" i="1"/>
  <c r="C39" i="1"/>
  <c r="O38" i="1"/>
  <c r="D38" i="1"/>
  <c r="O21" i="1"/>
  <c r="C23" i="1"/>
  <c r="B10" i="2" s="1"/>
  <c r="F22" i="1"/>
  <c r="E9" i="2" s="1"/>
  <c r="D22" i="1"/>
  <c r="C9" i="2" s="1"/>
  <c r="V23" i="1"/>
  <c r="U24" i="1"/>
  <c r="W23" i="1"/>
  <c r="F39" i="1" l="1"/>
  <c r="N39" i="1"/>
  <c r="C40" i="1"/>
  <c r="D39" i="1"/>
  <c r="O22" i="1"/>
  <c r="C24" i="1"/>
  <c r="B11" i="2" s="1"/>
  <c r="F23" i="1"/>
  <c r="E10" i="2" s="1"/>
  <c r="D23" i="1"/>
  <c r="C10" i="2" s="1"/>
  <c r="V24" i="1"/>
  <c r="U25" i="1"/>
  <c r="W24" i="1"/>
  <c r="H38" i="1" l="1"/>
  <c r="H39" i="1"/>
  <c r="O39" i="1"/>
  <c r="C41" i="1"/>
  <c r="H37" i="1" s="1"/>
  <c r="D40" i="1"/>
  <c r="N40" i="1"/>
  <c r="F40" i="1"/>
  <c r="O23" i="1"/>
  <c r="C25" i="1"/>
  <c r="B12" i="2" s="1"/>
  <c r="F24" i="1"/>
  <c r="D24" i="1"/>
  <c r="O24" i="1" s="1"/>
  <c r="V25" i="1"/>
  <c r="U26" i="1"/>
  <c r="W25" i="1"/>
  <c r="H41" i="1" l="1"/>
  <c r="H33" i="1"/>
  <c r="H34" i="1"/>
  <c r="H36" i="1"/>
  <c r="H32" i="1"/>
  <c r="H35" i="1"/>
  <c r="H40" i="1"/>
  <c r="O40" i="1"/>
  <c r="N41" i="1"/>
  <c r="F41" i="1"/>
  <c r="F30" i="1" s="1"/>
  <c r="D41" i="1"/>
  <c r="D30" i="1" s="1"/>
  <c r="C30" i="1"/>
  <c r="E11" i="2"/>
  <c r="C11" i="2"/>
  <c r="C26" i="1"/>
  <c r="B13" i="2" s="1"/>
  <c r="F25" i="1"/>
  <c r="E12" i="2" s="1"/>
  <c r="D25" i="1"/>
  <c r="C12" i="2" s="1"/>
  <c r="V26" i="1"/>
  <c r="U27" i="1"/>
  <c r="Y26" i="1"/>
  <c r="W26" i="1"/>
  <c r="Y22" i="1"/>
  <c r="Y24" i="1"/>
  <c r="Y19" i="1"/>
  <c r="Y21" i="1"/>
  <c r="O41" i="1" l="1"/>
  <c r="I41" i="1"/>
  <c r="I37" i="1"/>
  <c r="I33" i="1"/>
  <c r="I38" i="1"/>
  <c r="I34" i="1"/>
  <c r="I40" i="1"/>
  <c r="I36" i="1"/>
  <c r="I39" i="1"/>
  <c r="I35" i="1"/>
  <c r="O25" i="1"/>
  <c r="C27" i="1"/>
  <c r="B14" i="2" s="1"/>
  <c r="H26" i="1"/>
  <c r="F26" i="1"/>
  <c r="E13" i="2" s="1"/>
  <c r="D26" i="1"/>
  <c r="C13" i="2" s="1"/>
  <c r="H22" i="1"/>
  <c r="H19" i="1"/>
  <c r="V27" i="1"/>
  <c r="Y27" i="1"/>
  <c r="W27" i="1"/>
  <c r="Y20" i="1"/>
  <c r="Y25" i="1"/>
  <c r="Y23" i="1"/>
  <c r="X24" i="1"/>
  <c r="H21" i="1"/>
  <c r="X20" i="1"/>
  <c r="J35" i="1" l="1"/>
  <c r="J41" i="1"/>
  <c r="J40" i="1"/>
  <c r="J39" i="1"/>
  <c r="J34" i="1"/>
  <c r="J37" i="1"/>
  <c r="J36" i="1"/>
  <c r="J33" i="1"/>
  <c r="J38" i="1"/>
  <c r="H24" i="1"/>
  <c r="X27" i="1"/>
  <c r="X19" i="1"/>
  <c r="X21" i="1"/>
  <c r="X23" i="1"/>
  <c r="X26" i="1"/>
  <c r="X25" i="1"/>
  <c r="O26" i="1"/>
  <c r="H27" i="1"/>
  <c r="F27" i="1"/>
  <c r="D27" i="1"/>
  <c r="H18" i="1"/>
  <c r="D19" i="2" s="1"/>
  <c r="H25" i="1"/>
  <c r="H23" i="1"/>
  <c r="C16" i="1"/>
  <c r="H20" i="1"/>
  <c r="X22" i="1"/>
  <c r="Q36" i="1" l="1"/>
  <c r="P36" i="1"/>
  <c r="R36" i="1" s="1"/>
  <c r="Q37" i="1"/>
  <c r="P37" i="1"/>
  <c r="R37" i="1" s="1"/>
  <c r="Q40" i="1"/>
  <c r="P40" i="1"/>
  <c r="R40" i="1" s="1"/>
  <c r="Q38" i="1"/>
  <c r="P38" i="1"/>
  <c r="R38" i="1" s="1"/>
  <c r="Q34" i="1"/>
  <c r="P34" i="1"/>
  <c r="R34" i="1" s="1"/>
  <c r="Q41" i="1"/>
  <c r="P41" i="1"/>
  <c r="R41" i="1" s="1"/>
  <c r="Q33" i="1"/>
  <c r="P33" i="1"/>
  <c r="R33" i="1" s="1"/>
  <c r="Q32" i="1"/>
  <c r="R32" i="1" s="1"/>
  <c r="Q39" i="1"/>
  <c r="P39" i="1"/>
  <c r="Q35" i="1"/>
  <c r="P35" i="1"/>
  <c r="C14" i="2"/>
  <c r="D20" i="2"/>
  <c r="G26" i="1"/>
  <c r="G20" i="1"/>
  <c r="O27" i="1"/>
  <c r="F16" i="1"/>
  <c r="E14" i="2"/>
  <c r="D22" i="2"/>
  <c r="G23" i="1"/>
  <c r="G27" i="1"/>
  <c r="D16" i="1"/>
  <c r="G18" i="1"/>
  <c r="G19" i="1"/>
  <c r="G25" i="1"/>
  <c r="G21" i="1"/>
  <c r="G22" i="1"/>
  <c r="G24" i="1"/>
  <c r="R35" i="1" l="1"/>
  <c r="R39" i="1"/>
  <c r="D23" i="2"/>
  <c r="I18" i="1"/>
  <c r="I15" i="1" s="1"/>
  <c r="J18" i="1" l="1"/>
  <c r="P1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M19" i="1"/>
  <c r="N19" i="1" s="1"/>
  <c r="I19" i="1"/>
  <c r="J19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8" i="1"/>
  <c r="N18" i="1" s="1"/>
  <c r="E27" i="2" s="1"/>
  <c r="E29" i="2" l="1"/>
  <c r="E31" i="2" s="1"/>
  <c r="P19" i="1"/>
  <c r="P20" i="1"/>
  <c r="P22" i="1"/>
  <c r="P24" i="1"/>
  <c r="P26" i="1"/>
  <c r="R18" i="1"/>
  <c r="P21" i="1"/>
  <c r="P23" i="1"/>
  <c r="P25" i="1"/>
  <c r="P27" i="1"/>
  <c r="R25" i="1" l="1"/>
  <c r="R21" i="1"/>
  <c r="R27" i="1"/>
  <c r="R23" i="1"/>
  <c r="R26" i="1"/>
  <c r="R24" i="1"/>
  <c r="R22" i="1"/>
  <c r="R20" i="1"/>
  <c r="R19" i="1"/>
  <c r="Q15" i="1" l="1"/>
</calcChain>
</file>

<file path=xl/sharedStrings.xml><?xml version="1.0" encoding="utf-8"?>
<sst xmlns="http://schemas.openxmlformats.org/spreadsheetml/2006/main" count="89" uniqueCount="55">
  <si>
    <t>Assumptions</t>
  </si>
  <si>
    <t>premium</t>
  </si>
  <si>
    <t>initial expenses</t>
  </si>
  <si>
    <t>mortality</t>
  </si>
  <si>
    <t>of premium</t>
  </si>
  <si>
    <t>mortality increase</t>
  </si>
  <si>
    <t>p.a.</t>
  </si>
  <si>
    <t>renewal expenses</t>
  </si>
  <si>
    <t>ren exp increase</t>
  </si>
  <si>
    <t>discontinuances</t>
  </si>
  <si>
    <t>discount rate</t>
  </si>
  <si>
    <t>Projection</t>
  </si>
  <si>
    <t>Profit Margin:</t>
  </si>
  <si>
    <t>Check profit emergence</t>
  </si>
  <si>
    <t>Policy Liability recalculation</t>
  </si>
  <si>
    <t>Present Values</t>
  </si>
  <si>
    <t>Assuming year 1 lapses are</t>
  </si>
  <si>
    <t>Year</t>
  </si>
  <si>
    <t>Premium</t>
  </si>
  <si>
    <t>Claims</t>
  </si>
  <si>
    <t>Initial Expenses</t>
  </si>
  <si>
    <t>Renewal expenses</t>
  </si>
  <si>
    <t>Best Estimate Liability boy</t>
  </si>
  <si>
    <t>Value of Profit Carrier boy</t>
  </si>
  <si>
    <t>Value of Profits boy</t>
  </si>
  <si>
    <t>Policy Liability boy</t>
  </si>
  <si>
    <t>Profit Margin Emerging</t>
  </si>
  <si>
    <t>Profit Margin plus interest</t>
  </si>
  <si>
    <t>Net Cashflow</t>
  </si>
  <si>
    <t>Interest</t>
  </si>
  <si>
    <t>change in Pol liab</t>
  </si>
  <si>
    <t>Check Profit</t>
  </si>
  <si>
    <t>Renewal Expenses</t>
  </si>
  <si>
    <t>BEL</t>
  </si>
  <si>
    <t>Value of profit carrier</t>
  </si>
  <si>
    <t>Value of profit margins</t>
  </si>
  <si>
    <t>Policy Liability</t>
  </si>
  <si>
    <t xml:space="preserve"> Term Life insurance policy</t>
  </si>
  <si>
    <t xml:space="preserve">Premium </t>
  </si>
  <si>
    <t>Initial expenses</t>
  </si>
  <si>
    <t>Table 12.16: Present value of projected cash flow items</t>
  </si>
  <si>
    <t>Table 12.15: Projected cash flows</t>
  </si>
  <si>
    <t>Cash flow</t>
  </si>
  <si>
    <t>Expected profit</t>
  </si>
  <si>
    <t>Premiums</t>
  </si>
  <si>
    <t>Present value</t>
  </si>
  <si>
    <t>Table 12.17: Analysis of profit results</t>
  </si>
  <si>
    <t>Lapse experience profit</t>
  </si>
  <si>
    <t>Expense experience profit</t>
  </si>
  <si>
    <t>Actual profit</t>
  </si>
  <si>
    <t>Profit margins emerging (expected)</t>
  </si>
  <si>
    <t>Claims experience profit</t>
  </si>
  <si>
    <t>Item</t>
  </si>
  <si>
    <t>Amount</t>
  </si>
  <si>
    <t>Vinc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</si>
</sst>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3" fontId="4" fillId="0" borderId="0" xfId="0" applyNumberFormat="1" applyFont="1" applyBorder="1"/>
    <xf numFmtId="9" fontId="4" fillId="0" borderId="0" xfId="1" applyFont="1" applyBorder="1"/>
    <xf numFmtId="164" fontId="3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9" fontId="4" fillId="0" borderId="7" xfId="1" applyFont="1" applyBorder="1"/>
    <xf numFmtId="0" fontId="4" fillId="0" borderId="8" xfId="0" applyFont="1" applyBorder="1"/>
    <xf numFmtId="0" fontId="4" fillId="0" borderId="2" xfId="0" applyFont="1" applyBorder="1" applyAlignment="1">
      <alignment horizontal="right"/>
    </xf>
    <xf numFmtId="164" fontId="3" fillId="0" borderId="2" xfId="1" applyNumberFormat="1" applyFont="1" applyBorder="1"/>
    <xf numFmtId="0" fontId="4" fillId="0" borderId="1" xfId="0" applyFont="1" applyBorder="1"/>
    <xf numFmtId="9" fontId="4" fillId="0" borderId="2" xfId="0" applyNumberFormat="1" applyFont="1" applyBorder="1"/>
    <xf numFmtId="9" fontId="4" fillId="0" borderId="0" xfId="0" applyNumberFormat="1" applyFont="1" applyBorder="1"/>
    <xf numFmtId="0" fontId="4" fillId="0" borderId="4" xfId="0" applyFont="1" applyBorder="1" applyAlignment="1">
      <alignment horizontal="center"/>
    </xf>
    <xf numFmtId="3" fontId="4" fillId="0" borderId="0" xfId="0" applyNumberFormat="1" applyFont="1" applyBorder="1" applyAlignment="1">
      <alignment horizontal="right" wrapText="1"/>
    </xf>
    <xf numFmtId="3" fontId="4" fillId="0" borderId="5" xfId="0" applyNumberFormat="1" applyFont="1" applyBorder="1" applyAlignment="1">
      <alignment horizontal="right" wrapText="1"/>
    </xf>
    <xf numFmtId="3" fontId="4" fillId="0" borderId="5" xfId="0" applyNumberFormat="1" applyFont="1" applyBorder="1"/>
    <xf numFmtId="1" fontId="4" fillId="0" borderId="0" xfId="0" applyNumberFormat="1" applyFont="1" applyBorder="1"/>
    <xf numFmtId="3" fontId="4" fillId="2" borderId="0" xfId="0" applyNumberFormat="1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4" fillId="3" borderId="0" xfId="0" applyFont="1" applyFill="1" applyBorder="1"/>
    <xf numFmtId="0" fontId="4" fillId="0" borderId="6" xfId="0" applyFont="1" applyBorder="1" applyAlignment="1">
      <alignment horizontal="center"/>
    </xf>
    <xf numFmtId="3" fontId="4" fillId="0" borderId="7" xfId="0" applyNumberFormat="1" applyFont="1" applyBorder="1"/>
    <xf numFmtId="3" fontId="4" fillId="0" borderId="8" xfId="0" applyNumberFormat="1" applyFont="1" applyBorder="1"/>
    <xf numFmtId="1" fontId="4" fillId="0" borderId="7" xfId="0" applyNumberFormat="1" applyFont="1" applyBorder="1"/>
    <xf numFmtId="0" fontId="2" fillId="4" borderId="0" xfId="0" applyFont="1" applyFill="1"/>
    <xf numFmtId="0" fontId="2" fillId="4" borderId="0" xfId="0" applyFont="1" applyFill="1" applyAlignment="1">
      <alignment wrapText="1"/>
    </xf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1" fontId="0" fillId="6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3" fontId="4" fillId="7" borderId="0" xfId="0" applyNumberFormat="1" applyFont="1" applyFill="1" applyBorder="1"/>
    <xf numFmtId="8" fontId="4" fillId="0" borderId="2" xfId="0" applyNumberFormat="1" applyFont="1" applyBorder="1"/>
    <xf numFmtId="3" fontId="4" fillId="7" borderId="5" xfId="0" applyNumberFormat="1" applyFont="1" applyFill="1" applyBorder="1"/>
    <xf numFmtId="164" fontId="5" fillId="0" borderId="2" xfId="1" applyNumberFormat="1" applyFont="1" applyBorder="1"/>
    <xf numFmtId="0" fontId="6" fillId="8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tabSelected="1" workbookViewId="0">
      <selection activeCell="B28" sqref="B28"/>
    </sheetView>
  </sheetViews>
  <sheetFormatPr defaultRowHeight="12.75" x14ac:dyDescent="0.2"/>
  <cols>
    <col min="1" max="1" width="1.85546875" style="2" customWidth="1"/>
    <col min="2" max="2" width="12.7109375" style="2" customWidth="1"/>
    <col min="3" max="10" width="9.140625" style="2"/>
    <col min="11" max="11" width="3.7109375" style="2" customWidth="1"/>
    <col min="12" max="12" width="5.7109375" style="2" customWidth="1"/>
    <col min="13" max="14" width="11" style="2" customWidth="1"/>
    <col min="15" max="17" width="9.28515625" style="2" customWidth="1"/>
    <col min="18" max="18" width="9.140625" style="2"/>
    <col min="19" max="19" width="2.140625" style="2" customWidth="1"/>
    <col min="20" max="20" width="12.7109375" style="2" customWidth="1"/>
    <col min="21" max="23" width="9.140625" style="2"/>
    <col min="24" max="24" width="10" style="2" customWidth="1"/>
    <col min="25" max="256" width="9.140625" style="2"/>
    <col min="257" max="257" width="1.85546875" style="2" customWidth="1"/>
    <col min="258" max="258" width="12.7109375" style="2" customWidth="1"/>
    <col min="259" max="266" width="9.140625" style="2"/>
    <col min="267" max="267" width="3.7109375" style="2" customWidth="1"/>
    <col min="268" max="268" width="5.7109375" style="2" customWidth="1"/>
    <col min="269" max="270" width="11" style="2" customWidth="1"/>
    <col min="271" max="273" width="9.28515625" style="2" customWidth="1"/>
    <col min="274" max="274" width="9.140625" style="2"/>
    <col min="275" max="275" width="2.140625" style="2" customWidth="1"/>
    <col min="276" max="276" width="12.7109375" style="2" customWidth="1"/>
    <col min="277" max="279" width="9.140625" style="2"/>
    <col min="280" max="280" width="10" style="2" customWidth="1"/>
    <col min="281" max="512" width="9.140625" style="2"/>
    <col min="513" max="513" width="1.85546875" style="2" customWidth="1"/>
    <col min="514" max="514" width="12.7109375" style="2" customWidth="1"/>
    <col min="515" max="522" width="9.140625" style="2"/>
    <col min="523" max="523" width="3.7109375" style="2" customWidth="1"/>
    <col min="524" max="524" width="5.7109375" style="2" customWidth="1"/>
    <col min="525" max="526" width="11" style="2" customWidth="1"/>
    <col min="527" max="529" width="9.28515625" style="2" customWidth="1"/>
    <col min="530" max="530" width="9.140625" style="2"/>
    <col min="531" max="531" width="2.140625" style="2" customWidth="1"/>
    <col min="532" max="532" width="12.7109375" style="2" customWidth="1"/>
    <col min="533" max="535" width="9.140625" style="2"/>
    <col min="536" max="536" width="10" style="2" customWidth="1"/>
    <col min="537" max="768" width="9.140625" style="2"/>
    <col min="769" max="769" width="1.85546875" style="2" customWidth="1"/>
    <col min="770" max="770" width="12.7109375" style="2" customWidth="1"/>
    <col min="771" max="778" width="9.140625" style="2"/>
    <col min="779" max="779" width="3.7109375" style="2" customWidth="1"/>
    <col min="780" max="780" width="5.7109375" style="2" customWidth="1"/>
    <col min="781" max="782" width="11" style="2" customWidth="1"/>
    <col min="783" max="785" width="9.28515625" style="2" customWidth="1"/>
    <col min="786" max="786" width="9.140625" style="2"/>
    <col min="787" max="787" width="2.140625" style="2" customWidth="1"/>
    <col min="788" max="788" width="12.7109375" style="2" customWidth="1"/>
    <col min="789" max="791" width="9.140625" style="2"/>
    <col min="792" max="792" width="10" style="2" customWidth="1"/>
    <col min="793" max="1024" width="9.140625" style="2"/>
    <col min="1025" max="1025" width="1.85546875" style="2" customWidth="1"/>
    <col min="1026" max="1026" width="12.7109375" style="2" customWidth="1"/>
    <col min="1027" max="1034" width="9.140625" style="2"/>
    <col min="1035" max="1035" width="3.7109375" style="2" customWidth="1"/>
    <col min="1036" max="1036" width="5.7109375" style="2" customWidth="1"/>
    <col min="1037" max="1038" width="11" style="2" customWidth="1"/>
    <col min="1039" max="1041" width="9.28515625" style="2" customWidth="1"/>
    <col min="1042" max="1042" width="9.140625" style="2"/>
    <col min="1043" max="1043" width="2.140625" style="2" customWidth="1"/>
    <col min="1044" max="1044" width="12.7109375" style="2" customWidth="1"/>
    <col min="1045" max="1047" width="9.140625" style="2"/>
    <col min="1048" max="1048" width="10" style="2" customWidth="1"/>
    <col min="1049" max="1280" width="9.140625" style="2"/>
    <col min="1281" max="1281" width="1.85546875" style="2" customWidth="1"/>
    <col min="1282" max="1282" width="12.7109375" style="2" customWidth="1"/>
    <col min="1283" max="1290" width="9.140625" style="2"/>
    <col min="1291" max="1291" width="3.7109375" style="2" customWidth="1"/>
    <col min="1292" max="1292" width="5.7109375" style="2" customWidth="1"/>
    <col min="1293" max="1294" width="11" style="2" customWidth="1"/>
    <col min="1295" max="1297" width="9.28515625" style="2" customWidth="1"/>
    <col min="1298" max="1298" width="9.140625" style="2"/>
    <col min="1299" max="1299" width="2.140625" style="2" customWidth="1"/>
    <col min="1300" max="1300" width="12.7109375" style="2" customWidth="1"/>
    <col min="1301" max="1303" width="9.140625" style="2"/>
    <col min="1304" max="1304" width="10" style="2" customWidth="1"/>
    <col min="1305" max="1536" width="9.140625" style="2"/>
    <col min="1537" max="1537" width="1.85546875" style="2" customWidth="1"/>
    <col min="1538" max="1538" width="12.7109375" style="2" customWidth="1"/>
    <col min="1539" max="1546" width="9.140625" style="2"/>
    <col min="1547" max="1547" width="3.7109375" style="2" customWidth="1"/>
    <col min="1548" max="1548" width="5.7109375" style="2" customWidth="1"/>
    <col min="1549" max="1550" width="11" style="2" customWidth="1"/>
    <col min="1551" max="1553" width="9.28515625" style="2" customWidth="1"/>
    <col min="1554" max="1554" width="9.140625" style="2"/>
    <col min="1555" max="1555" width="2.140625" style="2" customWidth="1"/>
    <col min="1556" max="1556" width="12.7109375" style="2" customWidth="1"/>
    <col min="1557" max="1559" width="9.140625" style="2"/>
    <col min="1560" max="1560" width="10" style="2" customWidth="1"/>
    <col min="1561" max="1792" width="9.140625" style="2"/>
    <col min="1793" max="1793" width="1.85546875" style="2" customWidth="1"/>
    <col min="1794" max="1794" width="12.7109375" style="2" customWidth="1"/>
    <col min="1795" max="1802" width="9.140625" style="2"/>
    <col min="1803" max="1803" width="3.7109375" style="2" customWidth="1"/>
    <col min="1804" max="1804" width="5.7109375" style="2" customWidth="1"/>
    <col min="1805" max="1806" width="11" style="2" customWidth="1"/>
    <col min="1807" max="1809" width="9.28515625" style="2" customWidth="1"/>
    <col min="1810" max="1810" width="9.140625" style="2"/>
    <col min="1811" max="1811" width="2.140625" style="2" customWidth="1"/>
    <col min="1812" max="1812" width="12.7109375" style="2" customWidth="1"/>
    <col min="1813" max="1815" width="9.140625" style="2"/>
    <col min="1816" max="1816" width="10" style="2" customWidth="1"/>
    <col min="1817" max="2048" width="9.140625" style="2"/>
    <col min="2049" max="2049" width="1.85546875" style="2" customWidth="1"/>
    <col min="2050" max="2050" width="12.7109375" style="2" customWidth="1"/>
    <col min="2051" max="2058" width="9.140625" style="2"/>
    <col min="2059" max="2059" width="3.7109375" style="2" customWidth="1"/>
    <col min="2060" max="2060" width="5.7109375" style="2" customWidth="1"/>
    <col min="2061" max="2062" width="11" style="2" customWidth="1"/>
    <col min="2063" max="2065" width="9.28515625" style="2" customWidth="1"/>
    <col min="2066" max="2066" width="9.140625" style="2"/>
    <col min="2067" max="2067" width="2.140625" style="2" customWidth="1"/>
    <col min="2068" max="2068" width="12.7109375" style="2" customWidth="1"/>
    <col min="2069" max="2071" width="9.140625" style="2"/>
    <col min="2072" max="2072" width="10" style="2" customWidth="1"/>
    <col min="2073" max="2304" width="9.140625" style="2"/>
    <col min="2305" max="2305" width="1.85546875" style="2" customWidth="1"/>
    <col min="2306" max="2306" width="12.7109375" style="2" customWidth="1"/>
    <col min="2307" max="2314" width="9.140625" style="2"/>
    <col min="2315" max="2315" width="3.7109375" style="2" customWidth="1"/>
    <col min="2316" max="2316" width="5.7109375" style="2" customWidth="1"/>
    <col min="2317" max="2318" width="11" style="2" customWidth="1"/>
    <col min="2319" max="2321" width="9.28515625" style="2" customWidth="1"/>
    <col min="2322" max="2322" width="9.140625" style="2"/>
    <col min="2323" max="2323" width="2.140625" style="2" customWidth="1"/>
    <col min="2324" max="2324" width="12.7109375" style="2" customWidth="1"/>
    <col min="2325" max="2327" width="9.140625" style="2"/>
    <col min="2328" max="2328" width="10" style="2" customWidth="1"/>
    <col min="2329" max="2560" width="9.140625" style="2"/>
    <col min="2561" max="2561" width="1.85546875" style="2" customWidth="1"/>
    <col min="2562" max="2562" width="12.7109375" style="2" customWidth="1"/>
    <col min="2563" max="2570" width="9.140625" style="2"/>
    <col min="2571" max="2571" width="3.7109375" style="2" customWidth="1"/>
    <col min="2572" max="2572" width="5.7109375" style="2" customWidth="1"/>
    <col min="2573" max="2574" width="11" style="2" customWidth="1"/>
    <col min="2575" max="2577" width="9.28515625" style="2" customWidth="1"/>
    <col min="2578" max="2578" width="9.140625" style="2"/>
    <col min="2579" max="2579" width="2.140625" style="2" customWidth="1"/>
    <col min="2580" max="2580" width="12.7109375" style="2" customWidth="1"/>
    <col min="2581" max="2583" width="9.140625" style="2"/>
    <col min="2584" max="2584" width="10" style="2" customWidth="1"/>
    <col min="2585" max="2816" width="9.140625" style="2"/>
    <col min="2817" max="2817" width="1.85546875" style="2" customWidth="1"/>
    <col min="2818" max="2818" width="12.7109375" style="2" customWidth="1"/>
    <col min="2819" max="2826" width="9.140625" style="2"/>
    <col min="2827" max="2827" width="3.7109375" style="2" customWidth="1"/>
    <col min="2828" max="2828" width="5.7109375" style="2" customWidth="1"/>
    <col min="2829" max="2830" width="11" style="2" customWidth="1"/>
    <col min="2831" max="2833" width="9.28515625" style="2" customWidth="1"/>
    <col min="2834" max="2834" width="9.140625" style="2"/>
    <col min="2835" max="2835" width="2.140625" style="2" customWidth="1"/>
    <col min="2836" max="2836" width="12.7109375" style="2" customWidth="1"/>
    <col min="2837" max="2839" width="9.140625" style="2"/>
    <col min="2840" max="2840" width="10" style="2" customWidth="1"/>
    <col min="2841" max="3072" width="9.140625" style="2"/>
    <col min="3073" max="3073" width="1.85546875" style="2" customWidth="1"/>
    <col min="3074" max="3074" width="12.7109375" style="2" customWidth="1"/>
    <col min="3075" max="3082" width="9.140625" style="2"/>
    <col min="3083" max="3083" width="3.7109375" style="2" customWidth="1"/>
    <col min="3084" max="3084" width="5.7109375" style="2" customWidth="1"/>
    <col min="3085" max="3086" width="11" style="2" customWidth="1"/>
    <col min="3087" max="3089" width="9.28515625" style="2" customWidth="1"/>
    <col min="3090" max="3090" width="9.140625" style="2"/>
    <col min="3091" max="3091" width="2.140625" style="2" customWidth="1"/>
    <col min="3092" max="3092" width="12.7109375" style="2" customWidth="1"/>
    <col min="3093" max="3095" width="9.140625" style="2"/>
    <col min="3096" max="3096" width="10" style="2" customWidth="1"/>
    <col min="3097" max="3328" width="9.140625" style="2"/>
    <col min="3329" max="3329" width="1.85546875" style="2" customWidth="1"/>
    <col min="3330" max="3330" width="12.7109375" style="2" customWidth="1"/>
    <col min="3331" max="3338" width="9.140625" style="2"/>
    <col min="3339" max="3339" width="3.7109375" style="2" customWidth="1"/>
    <col min="3340" max="3340" width="5.7109375" style="2" customWidth="1"/>
    <col min="3341" max="3342" width="11" style="2" customWidth="1"/>
    <col min="3343" max="3345" width="9.28515625" style="2" customWidth="1"/>
    <col min="3346" max="3346" width="9.140625" style="2"/>
    <col min="3347" max="3347" width="2.140625" style="2" customWidth="1"/>
    <col min="3348" max="3348" width="12.7109375" style="2" customWidth="1"/>
    <col min="3349" max="3351" width="9.140625" style="2"/>
    <col min="3352" max="3352" width="10" style="2" customWidth="1"/>
    <col min="3353" max="3584" width="9.140625" style="2"/>
    <col min="3585" max="3585" width="1.85546875" style="2" customWidth="1"/>
    <col min="3586" max="3586" width="12.7109375" style="2" customWidth="1"/>
    <col min="3587" max="3594" width="9.140625" style="2"/>
    <col min="3595" max="3595" width="3.7109375" style="2" customWidth="1"/>
    <col min="3596" max="3596" width="5.7109375" style="2" customWidth="1"/>
    <col min="3597" max="3598" width="11" style="2" customWidth="1"/>
    <col min="3599" max="3601" width="9.28515625" style="2" customWidth="1"/>
    <col min="3602" max="3602" width="9.140625" style="2"/>
    <col min="3603" max="3603" width="2.140625" style="2" customWidth="1"/>
    <col min="3604" max="3604" width="12.7109375" style="2" customWidth="1"/>
    <col min="3605" max="3607" width="9.140625" style="2"/>
    <col min="3608" max="3608" width="10" style="2" customWidth="1"/>
    <col min="3609" max="3840" width="9.140625" style="2"/>
    <col min="3841" max="3841" width="1.85546875" style="2" customWidth="1"/>
    <col min="3842" max="3842" width="12.7109375" style="2" customWidth="1"/>
    <col min="3843" max="3850" width="9.140625" style="2"/>
    <col min="3851" max="3851" width="3.7109375" style="2" customWidth="1"/>
    <col min="3852" max="3852" width="5.7109375" style="2" customWidth="1"/>
    <col min="3853" max="3854" width="11" style="2" customWidth="1"/>
    <col min="3855" max="3857" width="9.28515625" style="2" customWidth="1"/>
    <col min="3858" max="3858" width="9.140625" style="2"/>
    <col min="3859" max="3859" width="2.140625" style="2" customWidth="1"/>
    <col min="3860" max="3860" width="12.7109375" style="2" customWidth="1"/>
    <col min="3861" max="3863" width="9.140625" style="2"/>
    <col min="3864" max="3864" width="10" style="2" customWidth="1"/>
    <col min="3865" max="4096" width="9.140625" style="2"/>
    <col min="4097" max="4097" width="1.85546875" style="2" customWidth="1"/>
    <col min="4098" max="4098" width="12.7109375" style="2" customWidth="1"/>
    <col min="4099" max="4106" width="9.140625" style="2"/>
    <col min="4107" max="4107" width="3.7109375" style="2" customWidth="1"/>
    <col min="4108" max="4108" width="5.7109375" style="2" customWidth="1"/>
    <col min="4109" max="4110" width="11" style="2" customWidth="1"/>
    <col min="4111" max="4113" width="9.28515625" style="2" customWidth="1"/>
    <col min="4114" max="4114" width="9.140625" style="2"/>
    <col min="4115" max="4115" width="2.140625" style="2" customWidth="1"/>
    <col min="4116" max="4116" width="12.7109375" style="2" customWidth="1"/>
    <col min="4117" max="4119" width="9.140625" style="2"/>
    <col min="4120" max="4120" width="10" style="2" customWidth="1"/>
    <col min="4121" max="4352" width="9.140625" style="2"/>
    <col min="4353" max="4353" width="1.85546875" style="2" customWidth="1"/>
    <col min="4354" max="4354" width="12.7109375" style="2" customWidth="1"/>
    <col min="4355" max="4362" width="9.140625" style="2"/>
    <col min="4363" max="4363" width="3.7109375" style="2" customWidth="1"/>
    <col min="4364" max="4364" width="5.7109375" style="2" customWidth="1"/>
    <col min="4365" max="4366" width="11" style="2" customWidth="1"/>
    <col min="4367" max="4369" width="9.28515625" style="2" customWidth="1"/>
    <col min="4370" max="4370" width="9.140625" style="2"/>
    <col min="4371" max="4371" width="2.140625" style="2" customWidth="1"/>
    <col min="4372" max="4372" width="12.7109375" style="2" customWidth="1"/>
    <col min="4373" max="4375" width="9.140625" style="2"/>
    <col min="4376" max="4376" width="10" style="2" customWidth="1"/>
    <col min="4377" max="4608" width="9.140625" style="2"/>
    <col min="4609" max="4609" width="1.85546875" style="2" customWidth="1"/>
    <col min="4610" max="4610" width="12.7109375" style="2" customWidth="1"/>
    <col min="4611" max="4618" width="9.140625" style="2"/>
    <col min="4619" max="4619" width="3.7109375" style="2" customWidth="1"/>
    <col min="4620" max="4620" width="5.7109375" style="2" customWidth="1"/>
    <col min="4621" max="4622" width="11" style="2" customWidth="1"/>
    <col min="4623" max="4625" width="9.28515625" style="2" customWidth="1"/>
    <col min="4626" max="4626" width="9.140625" style="2"/>
    <col min="4627" max="4627" width="2.140625" style="2" customWidth="1"/>
    <col min="4628" max="4628" width="12.7109375" style="2" customWidth="1"/>
    <col min="4629" max="4631" width="9.140625" style="2"/>
    <col min="4632" max="4632" width="10" style="2" customWidth="1"/>
    <col min="4633" max="4864" width="9.140625" style="2"/>
    <col min="4865" max="4865" width="1.85546875" style="2" customWidth="1"/>
    <col min="4866" max="4866" width="12.7109375" style="2" customWidth="1"/>
    <col min="4867" max="4874" width="9.140625" style="2"/>
    <col min="4875" max="4875" width="3.7109375" style="2" customWidth="1"/>
    <col min="4876" max="4876" width="5.7109375" style="2" customWidth="1"/>
    <col min="4877" max="4878" width="11" style="2" customWidth="1"/>
    <col min="4879" max="4881" width="9.28515625" style="2" customWidth="1"/>
    <col min="4882" max="4882" width="9.140625" style="2"/>
    <col min="4883" max="4883" width="2.140625" style="2" customWidth="1"/>
    <col min="4884" max="4884" width="12.7109375" style="2" customWidth="1"/>
    <col min="4885" max="4887" width="9.140625" style="2"/>
    <col min="4888" max="4888" width="10" style="2" customWidth="1"/>
    <col min="4889" max="5120" width="9.140625" style="2"/>
    <col min="5121" max="5121" width="1.85546875" style="2" customWidth="1"/>
    <col min="5122" max="5122" width="12.7109375" style="2" customWidth="1"/>
    <col min="5123" max="5130" width="9.140625" style="2"/>
    <col min="5131" max="5131" width="3.7109375" style="2" customWidth="1"/>
    <col min="5132" max="5132" width="5.7109375" style="2" customWidth="1"/>
    <col min="5133" max="5134" width="11" style="2" customWidth="1"/>
    <col min="5135" max="5137" width="9.28515625" style="2" customWidth="1"/>
    <col min="5138" max="5138" width="9.140625" style="2"/>
    <col min="5139" max="5139" width="2.140625" style="2" customWidth="1"/>
    <col min="5140" max="5140" width="12.7109375" style="2" customWidth="1"/>
    <col min="5141" max="5143" width="9.140625" style="2"/>
    <col min="5144" max="5144" width="10" style="2" customWidth="1"/>
    <col min="5145" max="5376" width="9.140625" style="2"/>
    <col min="5377" max="5377" width="1.85546875" style="2" customWidth="1"/>
    <col min="5378" max="5378" width="12.7109375" style="2" customWidth="1"/>
    <col min="5379" max="5386" width="9.140625" style="2"/>
    <col min="5387" max="5387" width="3.7109375" style="2" customWidth="1"/>
    <col min="5388" max="5388" width="5.7109375" style="2" customWidth="1"/>
    <col min="5389" max="5390" width="11" style="2" customWidth="1"/>
    <col min="5391" max="5393" width="9.28515625" style="2" customWidth="1"/>
    <col min="5394" max="5394" width="9.140625" style="2"/>
    <col min="5395" max="5395" width="2.140625" style="2" customWidth="1"/>
    <col min="5396" max="5396" width="12.7109375" style="2" customWidth="1"/>
    <col min="5397" max="5399" width="9.140625" style="2"/>
    <col min="5400" max="5400" width="10" style="2" customWidth="1"/>
    <col min="5401" max="5632" width="9.140625" style="2"/>
    <col min="5633" max="5633" width="1.85546875" style="2" customWidth="1"/>
    <col min="5634" max="5634" width="12.7109375" style="2" customWidth="1"/>
    <col min="5635" max="5642" width="9.140625" style="2"/>
    <col min="5643" max="5643" width="3.7109375" style="2" customWidth="1"/>
    <col min="5644" max="5644" width="5.7109375" style="2" customWidth="1"/>
    <col min="5645" max="5646" width="11" style="2" customWidth="1"/>
    <col min="5647" max="5649" width="9.28515625" style="2" customWidth="1"/>
    <col min="5650" max="5650" width="9.140625" style="2"/>
    <col min="5651" max="5651" width="2.140625" style="2" customWidth="1"/>
    <col min="5652" max="5652" width="12.7109375" style="2" customWidth="1"/>
    <col min="5653" max="5655" width="9.140625" style="2"/>
    <col min="5656" max="5656" width="10" style="2" customWidth="1"/>
    <col min="5657" max="5888" width="9.140625" style="2"/>
    <col min="5889" max="5889" width="1.85546875" style="2" customWidth="1"/>
    <col min="5890" max="5890" width="12.7109375" style="2" customWidth="1"/>
    <col min="5891" max="5898" width="9.140625" style="2"/>
    <col min="5899" max="5899" width="3.7109375" style="2" customWidth="1"/>
    <col min="5900" max="5900" width="5.7109375" style="2" customWidth="1"/>
    <col min="5901" max="5902" width="11" style="2" customWidth="1"/>
    <col min="5903" max="5905" width="9.28515625" style="2" customWidth="1"/>
    <col min="5906" max="5906" width="9.140625" style="2"/>
    <col min="5907" max="5907" width="2.140625" style="2" customWidth="1"/>
    <col min="5908" max="5908" width="12.7109375" style="2" customWidth="1"/>
    <col min="5909" max="5911" width="9.140625" style="2"/>
    <col min="5912" max="5912" width="10" style="2" customWidth="1"/>
    <col min="5913" max="6144" width="9.140625" style="2"/>
    <col min="6145" max="6145" width="1.85546875" style="2" customWidth="1"/>
    <col min="6146" max="6146" width="12.7109375" style="2" customWidth="1"/>
    <col min="6147" max="6154" width="9.140625" style="2"/>
    <col min="6155" max="6155" width="3.7109375" style="2" customWidth="1"/>
    <col min="6156" max="6156" width="5.7109375" style="2" customWidth="1"/>
    <col min="6157" max="6158" width="11" style="2" customWidth="1"/>
    <col min="6159" max="6161" width="9.28515625" style="2" customWidth="1"/>
    <col min="6162" max="6162" width="9.140625" style="2"/>
    <col min="6163" max="6163" width="2.140625" style="2" customWidth="1"/>
    <col min="6164" max="6164" width="12.7109375" style="2" customWidth="1"/>
    <col min="6165" max="6167" width="9.140625" style="2"/>
    <col min="6168" max="6168" width="10" style="2" customWidth="1"/>
    <col min="6169" max="6400" width="9.140625" style="2"/>
    <col min="6401" max="6401" width="1.85546875" style="2" customWidth="1"/>
    <col min="6402" max="6402" width="12.7109375" style="2" customWidth="1"/>
    <col min="6403" max="6410" width="9.140625" style="2"/>
    <col min="6411" max="6411" width="3.7109375" style="2" customWidth="1"/>
    <col min="6412" max="6412" width="5.7109375" style="2" customWidth="1"/>
    <col min="6413" max="6414" width="11" style="2" customWidth="1"/>
    <col min="6415" max="6417" width="9.28515625" style="2" customWidth="1"/>
    <col min="6418" max="6418" width="9.140625" style="2"/>
    <col min="6419" max="6419" width="2.140625" style="2" customWidth="1"/>
    <col min="6420" max="6420" width="12.7109375" style="2" customWidth="1"/>
    <col min="6421" max="6423" width="9.140625" style="2"/>
    <col min="6424" max="6424" width="10" style="2" customWidth="1"/>
    <col min="6425" max="6656" width="9.140625" style="2"/>
    <col min="6657" max="6657" width="1.85546875" style="2" customWidth="1"/>
    <col min="6658" max="6658" width="12.7109375" style="2" customWidth="1"/>
    <col min="6659" max="6666" width="9.140625" style="2"/>
    <col min="6667" max="6667" width="3.7109375" style="2" customWidth="1"/>
    <col min="6668" max="6668" width="5.7109375" style="2" customWidth="1"/>
    <col min="6669" max="6670" width="11" style="2" customWidth="1"/>
    <col min="6671" max="6673" width="9.28515625" style="2" customWidth="1"/>
    <col min="6674" max="6674" width="9.140625" style="2"/>
    <col min="6675" max="6675" width="2.140625" style="2" customWidth="1"/>
    <col min="6676" max="6676" width="12.7109375" style="2" customWidth="1"/>
    <col min="6677" max="6679" width="9.140625" style="2"/>
    <col min="6680" max="6680" width="10" style="2" customWidth="1"/>
    <col min="6681" max="6912" width="9.140625" style="2"/>
    <col min="6913" max="6913" width="1.85546875" style="2" customWidth="1"/>
    <col min="6914" max="6914" width="12.7109375" style="2" customWidth="1"/>
    <col min="6915" max="6922" width="9.140625" style="2"/>
    <col min="6923" max="6923" width="3.7109375" style="2" customWidth="1"/>
    <col min="6924" max="6924" width="5.7109375" style="2" customWidth="1"/>
    <col min="6925" max="6926" width="11" style="2" customWidth="1"/>
    <col min="6927" max="6929" width="9.28515625" style="2" customWidth="1"/>
    <col min="6930" max="6930" width="9.140625" style="2"/>
    <col min="6931" max="6931" width="2.140625" style="2" customWidth="1"/>
    <col min="6932" max="6932" width="12.7109375" style="2" customWidth="1"/>
    <col min="6933" max="6935" width="9.140625" style="2"/>
    <col min="6936" max="6936" width="10" style="2" customWidth="1"/>
    <col min="6937" max="7168" width="9.140625" style="2"/>
    <col min="7169" max="7169" width="1.85546875" style="2" customWidth="1"/>
    <col min="7170" max="7170" width="12.7109375" style="2" customWidth="1"/>
    <col min="7171" max="7178" width="9.140625" style="2"/>
    <col min="7179" max="7179" width="3.7109375" style="2" customWidth="1"/>
    <col min="7180" max="7180" width="5.7109375" style="2" customWidth="1"/>
    <col min="7181" max="7182" width="11" style="2" customWidth="1"/>
    <col min="7183" max="7185" width="9.28515625" style="2" customWidth="1"/>
    <col min="7186" max="7186" width="9.140625" style="2"/>
    <col min="7187" max="7187" width="2.140625" style="2" customWidth="1"/>
    <col min="7188" max="7188" width="12.7109375" style="2" customWidth="1"/>
    <col min="7189" max="7191" width="9.140625" style="2"/>
    <col min="7192" max="7192" width="10" style="2" customWidth="1"/>
    <col min="7193" max="7424" width="9.140625" style="2"/>
    <col min="7425" max="7425" width="1.85546875" style="2" customWidth="1"/>
    <col min="7426" max="7426" width="12.7109375" style="2" customWidth="1"/>
    <col min="7427" max="7434" width="9.140625" style="2"/>
    <col min="7435" max="7435" width="3.7109375" style="2" customWidth="1"/>
    <col min="7436" max="7436" width="5.7109375" style="2" customWidth="1"/>
    <col min="7437" max="7438" width="11" style="2" customWidth="1"/>
    <col min="7439" max="7441" width="9.28515625" style="2" customWidth="1"/>
    <col min="7442" max="7442" width="9.140625" style="2"/>
    <col min="7443" max="7443" width="2.140625" style="2" customWidth="1"/>
    <col min="7444" max="7444" width="12.7109375" style="2" customWidth="1"/>
    <col min="7445" max="7447" width="9.140625" style="2"/>
    <col min="7448" max="7448" width="10" style="2" customWidth="1"/>
    <col min="7449" max="7680" width="9.140625" style="2"/>
    <col min="7681" max="7681" width="1.85546875" style="2" customWidth="1"/>
    <col min="7682" max="7682" width="12.7109375" style="2" customWidth="1"/>
    <col min="7683" max="7690" width="9.140625" style="2"/>
    <col min="7691" max="7691" width="3.7109375" style="2" customWidth="1"/>
    <col min="7692" max="7692" width="5.7109375" style="2" customWidth="1"/>
    <col min="7693" max="7694" width="11" style="2" customWidth="1"/>
    <col min="7695" max="7697" width="9.28515625" style="2" customWidth="1"/>
    <col min="7698" max="7698" width="9.140625" style="2"/>
    <col min="7699" max="7699" width="2.140625" style="2" customWidth="1"/>
    <col min="7700" max="7700" width="12.7109375" style="2" customWidth="1"/>
    <col min="7701" max="7703" width="9.140625" style="2"/>
    <col min="7704" max="7704" width="10" style="2" customWidth="1"/>
    <col min="7705" max="7936" width="9.140625" style="2"/>
    <col min="7937" max="7937" width="1.85546875" style="2" customWidth="1"/>
    <col min="7938" max="7938" width="12.7109375" style="2" customWidth="1"/>
    <col min="7939" max="7946" width="9.140625" style="2"/>
    <col min="7947" max="7947" width="3.7109375" style="2" customWidth="1"/>
    <col min="7948" max="7948" width="5.7109375" style="2" customWidth="1"/>
    <col min="7949" max="7950" width="11" style="2" customWidth="1"/>
    <col min="7951" max="7953" width="9.28515625" style="2" customWidth="1"/>
    <col min="7954" max="7954" width="9.140625" style="2"/>
    <col min="7955" max="7955" width="2.140625" style="2" customWidth="1"/>
    <col min="7956" max="7956" width="12.7109375" style="2" customWidth="1"/>
    <col min="7957" max="7959" width="9.140625" style="2"/>
    <col min="7960" max="7960" width="10" style="2" customWidth="1"/>
    <col min="7961" max="8192" width="9.140625" style="2"/>
    <col min="8193" max="8193" width="1.85546875" style="2" customWidth="1"/>
    <col min="8194" max="8194" width="12.7109375" style="2" customWidth="1"/>
    <col min="8195" max="8202" width="9.140625" style="2"/>
    <col min="8203" max="8203" width="3.7109375" style="2" customWidth="1"/>
    <col min="8204" max="8204" width="5.7109375" style="2" customWidth="1"/>
    <col min="8205" max="8206" width="11" style="2" customWidth="1"/>
    <col min="8207" max="8209" width="9.28515625" style="2" customWidth="1"/>
    <col min="8210" max="8210" width="9.140625" style="2"/>
    <col min="8211" max="8211" width="2.140625" style="2" customWidth="1"/>
    <col min="8212" max="8212" width="12.7109375" style="2" customWidth="1"/>
    <col min="8213" max="8215" width="9.140625" style="2"/>
    <col min="8216" max="8216" width="10" style="2" customWidth="1"/>
    <col min="8217" max="8448" width="9.140625" style="2"/>
    <col min="8449" max="8449" width="1.85546875" style="2" customWidth="1"/>
    <col min="8450" max="8450" width="12.7109375" style="2" customWidth="1"/>
    <col min="8451" max="8458" width="9.140625" style="2"/>
    <col min="8459" max="8459" width="3.7109375" style="2" customWidth="1"/>
    <col min="8460" max="8460" width="5.7109375" style="2" customWidth="1"/>
    <col min="8461" max="8462" width="11" style="2" customWidth="1"/>
    <col min="8463" max="8465" width="9.28515625" style="2" customWidth="1"/>
    <col min="8466" max="8466" width="9.140625" style="2"/>
    <col min="8467" max="8467" width="2.140625" style="2" customWidth="1"/>
    <col min="8468" max="8468" width="12.7109375" style="2" customWidth="1"/>
    <col min="8469" max="8471" width="9.140625" style="2"/>
    <col min="8472" max="8472" width="10" style="2" customWidth="1"/>
    <col min="8473" max="8704" width="9.140625" style="2"/>
    <col min="8705" max="8705" width="1.85546875" style="2" customWidth="1"/>
    <col min="8706" max="8706" width="12.7109375" style="2" customWidth="1"/>
    <col min="8707" max="8714" width="9.140625" style="2"/>
    <col min="8715" max="8715" width="3.7109375" style="2" customWidth="1"/>
    <col min="8716" max="8716" width="5.7109375" style="2" customWidth="1"/>
    <col min="8717" max="8718" width="11" style="2" customWidth="1"/>
    <col min="8719" max="8721" width="9.28515625" style="2" customWidth="1"/>
    <col min="8722" max="8722" width="9.140625" style="2"/>
    <col min="8723" max="8723" width="2.140625" style="2" customWidth="1"/>
    <col min="8724" max="8724" width="12.7109375" style="2" customWidth="1"/>
    <col min="8725" max="8727" width="9.140625" style="2"/>
    <col min="8728" max="8728" width="10" style="2" customWidth="1"/>
    <col min="8729" max="8960" width="9.140625" style="2"/>
    <col min="8961" max="8961" width="1.85546875" style="2" customWidth="1"/>
    <col min="8962" max="8962" width="12.7109375" style="2" customWidth="1"/>
    <col min="8963" max="8970" width="9.140625" style="2"/>
    <col min="8971" max="8971" width="3.7109375" style="2" customWidth="1"/>
    <col min="8972" max="8972" width="5.7109375" style="2" customWidth="1"/>
    <col min="8973" max="8974" width="11" style="2" customWidth="1"/>
    <col min="8975" max="8977" width="9.28515625" style="2" customWidth="1"/>
    <col min="8978" max="8978" width="9.140625" style="2"/>
    <col min="8979" max="8979" width="2.140625" style="2" customWidth="1"/>
    <col min="8980" max="8980" width="12.7109375" style="2" customWidth="1"/>
    <col min="8981" max="8983" width="9.140625" style="2"/>
    <col min="8984" max="8984" width="10" style="2" customWidth="1"/>
    <col min="8985" max="9216" width="9.140625" style="2"/>
    <col min="9217" max="9217" width="1.85546875" style="2" customWidth="1"/>
    <col min="9218" max="9218" width="12.7109375" style="2" customWidth="1"/>
    <col min="9219" max="9226" width="9.140625" style="2"/>
    <col min="9227" max="9227" width="3.7109375" style="2" customWidth="1"/>
    <col min="9228" max="9228" width="5.7109375" style="2" customWidth="1"/>
    <col min="9229" max="9230" width="11" style="2" customWidth="1"/>
    <col min="9231" max="9233" width="9.28515625" style="2" customWidth="1"/>
    <col min="9234" max="9234" width="9.140625" style="2"/>
    <col min="9235" max="9235" width="2.140625" style="2" customWidth="1"/>
    <col min="9236" max="9236" width="12.7109375" style="2" customWidth="1"/>
    <col min="9237" max="9239" width="9.140625" style="2"/>
    <col min="9240" max="9240" width="10" style="2" customWidth="1"/>
    <col min="9241" max="9472" width="9.140625" style="2"/>
    <col min="9473" max="9473" width="1.85546875" style="2" customWidth="1"/>
    <col min="9474" max="9474" width="12.7109375" style="2" customWidth="1"/>
    <col min="9475" max="9482" width="9.140625" style="2"/>
    <col min="9483" max="9483" width="3.7109375" style="2" customWidth="1"/>
    <col min="9484" max="9484" width="5.7109375" style="2" customWidth="1"/>
    <col min="9485" max="9486" width="11" style="2" customWidth="1"/>
    <col min="9487" max="9489" width="9.28515625" style="2" customWidth="1"/>
    <col min="9490" max="9490" width="9.140625" style="2"/>
    <col min="9491" max="9491" width="2.140625" style="2" customWidth="1"/>
    <col min="9492" max="9492" width="12.7109375" style="2" customWidth="1"/>
    <col min="9493" max="9495" width="9.140625" style="2"/>
    <col min="9496" max="9496" width="10" style="2" customWidth="1"/>
    <col min="9497" max="9728" width="9.140625" style="2"/>
    <col min="9729" max="9729" width="1.85546875" style="2" customWidth="1"/>
    <col min="9730" max="9730" width="12.7109375" style="2" customWidth="1"/>
    <col min="9731" max="9738" width="9.140625" style="2"/>
    <col min="9739" max="9739" width="3.7109375" style="2" customWidth="1"/>
    <col min="9740" max="9740" width="5.7109375" style="2" customWidth="1"/>
    <col min="9741" max="9742" width="11" style="2" customWidth="1"/>
    <col min="9743" max="9745" width="9.28515625" style="2" customWidth="1"/>
    <col min="9746" max="9746" width="9.140625" style="2"/>
    <col min="9747" max="9747" width="2.140625" style="2" customWidth="1"/>
    <col min="9748" max="9748" width="12.7109375" style="2" customWidth="1"/>
    <col min="9749" max="9751" width="9.140625" style="2"/>
    <col min="9752" max="9752" width="10" style="2" customWidth="1"/>
    <col min="9753" max="9984" width="9.140625" style="2"/>
    <col min="9985" max="9985" width="1.85546875" style="2" customWidth="1"/>
    <col min="9986" max="9986" width="12.7109375" style="2" customWidth="1"/>
    <col min="9987" max="9994" width="9.140625" style="2"/>
    <col min="9995" max="9995" width="3.7109375" style="2" customWidth="1"/>
    <col min="9996" max="9996" width="5.7109375" style="2" customWidth="1"/>
    <col min="9997" max="9998" width="11" style="2" customWidth="1"/>
    <col min="9999" max="10001" width="9.28515625" style="2" customWidth="1"/>
    <col min="10002" max="10002" width="9.140625" style="2"/>
    <col min="10003" max="10003" width="2.140625" style="2" customWidth="1"/>
    <col min="10004" max="10004" width="12.7109375" style="2" customWidth="1"/>
    <col min="10005" max="10007" width="9.140625" style="2"/>
    <col min="10008" max="10008" width="10" style="2" customWidth="1"/>
    <col min="10009" max="10240" width="9.140625" style="2"/>
    <col min="10241" max="10241" width="1.85546875" style="2" customWidth="1"/>
    <col min="10242" max="10242" width="12.7109375" style="2" customWidth="1"/>
    <col min="10243" max="10250" width="9.140625" style="2"/>
    <col min="10251" max="10251" width="3.7109375" style="2" customWidth="1"/>
    <col min="10252" max="10252" width="5.7109375" style="2" customWidth="1"/>
    <col min="10253" max="10254" width="11" style="2" customWidth="1"/>
    <col min="10255" max="10257" width="9.28515625" style="2" customWidth="1"/>
    <col min="10258" max="10258" width="9.140625" style="2"/>
    <col min="10259" max="10259" width="2.140625" style="2" customWidth="1"/>
    <col min="10260" max="10260" width="12.7109375" style="2" customWidth="1"/>
    <col min="10261" max="10263" width="9.140625" style="2"/>
    <col min="10264" max="10264" width="10" style="2" customWidth="1"/>
    <col min="10265" max="10496" width="9.140625" style="2"/>
    <col min="10497" max="10497" width="1.85546875" style="2" customWidth="1"/>
    <col min="10498" max="10498" width="12.7109375" style="2" customWidth="1"/>
    <col min="10499" max="10506" width="9.140625" style="2"/>
    <col min="10507" max="10507" width="3.7109375" style="2" customWidth="1"/>
    <col min="10508" max="10508" width="5.7109375" style="2" customWidth="1"/>
    <col min="10509" max="10510" width="11" style="2" customWidth="1"/>
    <col min="10511" max="10513" width="9.28515625" style="2" customWidth="1"/>
    <col min="10514" max="10514" width="9.140625" style="2"/>
    <col min="10515" max="10515" width="2.140625" style="2" customWidth="1"/>
    <col min="10516" max="10516" width="12.7109375" style="2" customWidth="1"/>
    <col min="10517" max="10519" width="9.140625" style="2"/>
    <col min="10520" max="10520" width="10" style="2" customWidth="1"/>
    <col min="10521" max="10752" width="9.140625" style="2"/>
    <col min="10753" max="10753" width="1.85546875" style="2" customWidth="1"/>
    <col min="10754" max="10754" width="12.7109375" style="2" customWidth="1"/>
    <col min="10755" max="10762" width="9.140625" style="2"/>
    <col min="10763" max="10763" width="3.7109375" style="2" customWidth="1"/>
    <col min="10764" max="10764" width="5.7109375" style="2" customWidth="1"/>
    <col min="10765" max="10766" width="11" style="2" customWidth="1"/>
    <col min="10767" max="10769" width="9.28515625" style="2" customWidth="1"/>
    <col min="10770" max="10770" width="9.140625" style="2"/>
    <col min="10771" max="10771" width="2.140625" style="2" customWidth="1"/>
    <col min="10772" max="10772" width="12.7109375" style="2" customWidth="1"/>
    <col min="10773" max="10775" width="9.140625" style="2"/>
    <col min="10776" max="10776" width="10" style="2" customWidth="1"/>
    <col min="10777" max="11008" width="9.140625" style="2"/>
    <col min="11009" max="11009" width="1.85546875" style="2" customWidth="1"/>
    <col min="11010" max="11010" width="12.7109375" style="2" customWidth="1"/>
    <col min="11011" max="11018" width="9.140625" style="2"/>
    <col min="11019" max="11019" width="3.7109375" style="2" customWidth="1"/>
    <col min="11020" max="11020" width="5.7109375" style="2" customWidth="1"/>
    <col min="11021" max="11022" width="11" style="2" customWidth="1"/>
    <col min="11023" max="11025" width="9.28515625" style="2" customWidth="1"/>
    <col min="11026" max="11026" width="9.140625" style="2"/>
    <col min="11027" max="11027" width="2.140625" style="2" customWidth="1"/>
    <col min="11028" max="11028" width="12.7109375" style="2" customWidth="1"/>
    <col min="11029" max="11031" width="9.140625" style="2"/>
    <col min="11032" max="11032" width="10" style="2" customWidth="1"/>
    <col min="11033" max="11264" width="9.140625" style="2"/>
    <col min="11265" max="11265" width="1.85546875" style="2" customWidth="1"/>
    <col min="11266" max="11266" width="12.7109375" style="2" customWidth="1"/>
    <col min="11267" max="11274" width="9.140625" style="2"/>
    <col min="11275" max="11275" width="3.7109375" style="2" customWidth="1"/>
    <col min="11276" max="11276" width="5.7109375" style="2" customWidth="1"/>
    <col min="11277" max="11278" width="11" style="2" customWidth="1"/>
    <col min="11279" max="11281" width="9.28515625" style="2" customWidth="1"/>
    <col min="11282" max="11282" width="9.140625" style="2"/>
    <col min="11283" max="11283" width="2.140625" style="2" customWidth="1"/>
    <col min="11284" max="11284" width="12.7109375" style="2" customWidth="1"/>
    <col min="11285" max="11287" width="9.140625" style="2"/>
    <col min="11288" max="11288" width="10" style="2" customWidth="1"/>
    <col min="11289" max="11520" width="9.140625" style="2"/>
    <col min="11521" max="11521" width="1.85546875" style="2" customWidth="1"/>
    <col min="11522" max="11522" width="12.7109375" style="2" customWidth="1"/>
    <col min="11523" max="11530" width="9.140625" style="2"/>
    <col min="11531" max="11531" width="3.7109375" style="2" customWidth="1"/>
    <col min="11532" max="11532" width="5.7109375" style="2" customWidth="1"/>
    <col min="11533" max="11534" width="11" style="2" customWidth="1"/>
    <col min="11535" max="11537" width="9.28515625" style="2" customWidth="1"/>
    <col min="11538" max="11538" width="9.140625" style="2"/>
    <col min="11539" max="11539" width="2.140625" style="2" customWidth="1"/>
    <col min="11540" max="11540" width="12.7109375" style="2" customWidth="1"/>
    <col min="11541" max="11543" width="9.140625" style="2"/>
    <col min="11544" max="11544" width="10" style="2" customWidth="1"/>
    <col min="11545" max="11776" width="9.140625" style="2"/>
    <col min="11777" max="11777" width="1.85546875" style="2" customWidth="1"/>
    <col min="11778" max="11778" width="12.7109375" style="2" customWidth="1"/>
    <col min="11779" max="11786" width="9.140625" style="2"/>
    <col min="11787" max="11787" width="3.7109375" style="2" customWidth="1"/>
    <col min="11788" max="11788" width="5.7109375" style="2" customWidth="1"/>
    <col min="11789" max="11790" width="11" style="2" customWidth="1"/>
    <col min="11791" max="11793" width="9.28515625" style="2" customWidth="1"/>
    <col min="11794" max="11794" width="9.140625" style="2"/>
    <col min="11795" max="11795" width="2.140625" style="2" customWidth="1"/>
    <col min="11796" max="11796" width="12.7109375" style="2" customWidth="1"/>
    <col min="11797" max="11799" width="9.140625" style="2"/>
    <col min="11800" max="11800" width="10" style="2" customWidth="1"/>
    <col min="11801" max="12032" width="9.140625" style="2"/>
    <col min="12033" max="12033" width="1.85546875" style="2" customWidth="1"/>
    <col min="12034" max="12034" width="12.7109375" style="2" customWidth="1"/>
    <col min="12035" max="12042" width="9.140625" style="2"/>
    <col min="12043" max="12043" width="3.7109375" style="2" customWidth="1"/>
    <col min="12044" max="12044" width="5.7109375" style="2" customWidth="1"/>
    <col min="12045" max="12046" width="11" style="2" customWidth="1"/>
    <col min="12047" max="12049" width="9.28515625" style="2" customWidth="1"/>
    <col min="12050" max="12050" width="9.140625" style="2"/>
    <col min="12051" max="12051" width="2.140625" style="2" customWidth="1"/>
    <col min="12052" max="12052" width="12.7109375" style="2" customWidth="1"/>
    <col min="12053" max="12055" width="9.140625" style="2"/>
    <col min="12056" max="12056" width="10" style="2" customWidth="1"/>
    <col min="12057" max="12288" width="9.140625" style="2"/>
    <col min="12289" max="12289" width="1.85546875" style="2" customWidth="1"/>
    <col min="12290" max="12290" width="12.7109375" style="2" customWidth="1"/>
    <col min="12291" max="12298" width="9.140625" style="2"/>
    <col min="12299" max="12299" width="3.7109375" style="2" customWidth="1"/>
    <col min="12300" max="12300" width="5.7109375" style="2" customWidth="1"/>
    <col min="12301" max="12302" width="11" style="2" customWidth="1"/>
    <col min="12303" max="12305" width="9.28515625" style="2" customWidth="1"/>
    <col min="12306" max="12306" width="9.140625" style="2"/>
    <col min="12307" max="12307" width="2.140625" style="2" customWidth="1"/>
    <col min="12308" max="12308" width="12.7109375" style="2" customWidth="1"/>
    <col min="12309" max="12311" width="9.140625" style="2"/>
    <col min="12312" max="12312" width="10" style="2" customWidth="1"/>
    <col min="12313" max="12544" width="9.140625" style="2"/>
    <col min="12545" max="12545" width="1.85546875" style="2" customWidth="1"/>
    <col min="12546" max="12546" width="12.7109375" style="2" customWidth="1"/>
    <col min="12547" max="12554" width="9.140625" style="2"/>
    <col min="12555" max="12555" width="3.7109375" style="2" customWidth="1"/>
    <col min="12556" max="12556" width="5.7109375" style="2" customWidth="1"/>
    <col min="12557" max="12558" width="11" style="2" customWidth="1"/>
    <col min="12559" max="12561" width="9.28515625" style="2" customWidth="1"/>
    <col min="12562" max="12562" width="9.140625" style="2"/>
    <col min="12563" max="12563" width="2.140625" style="2" customWidth="1"/>
    <col min="12564" max="12564" width="12.7109375" style="2" customWidth="1"/>
    <col min="12565" max="12567" width="9.140625" style="2"/>
    <col min="12568" max="12568" width="10" style="2" customWidth="1"/>
    <col min="12569" max="12800" width="9.140625" style="2"/>
    <col min="12801" max="12801" width="1.85546875" style="2" customWidth="1"/>
    <col min="12802" max="12802" width="12.7109375" style="2" customWidth="1"/>
    <col min="12803" max="12810" width="9.140625" style="2"/>
    <col min="12811" max="12811" width="3.7109375" style="2" customWidth="1"/>
    <col min="12812" max="12812" width="5.7109375" style="2" customWidth="1"/>
    <col min="12813" max="12814" width="11" style="2" customWidth="1"/>
    <col min="12815" max="12817" width="9.28515625" style="2" customWidth="1"/>
    <col min="12818" max="12818" width="9.140625" style="2"/>
    <col min="12819" max="12819" width="2.140625" style="2" customWidth="1"/>
    <col min="12820" max="12820" width="12.7109375" style="2" customWidth="1"/>
    <col min="12821" max="12823" width="9.140625" style="2"/>
    <col min="12824" max="12824" width="10" style="2" customWidth="1"/>
    <col min="12825" max="13056" width="9.140625" style="2"/>
    <col min="13057" max="13057" width="1.85546875" style="2" customWidth="1"/>
    <col min="13058" max="13058" width="12.7109375" style="2" customWidth="1"/>
    <col min="13059" max="13066" width="9.140625" style="2"/>
    <col min="13067" max="13067" width="3.7109375" style="2" customWidth="1"/>
    <col min="13068" max="13068" width="5.7109375" style="2" customWidth="1"/>
    <col min="13069" max="13070" width="11" style="2" customWidth="1"/>
    <col min="13071" max="13073" width="9.28515625" style="2" customWidth="1"/>
    <col min="13074" max="13074" width="9.140625" style="2"/>
    <col min="13075" max="13075" width="2.140625" style="2" customWidth="1"/>
    <col min="13076" max="13076" width="12.7109375" style="2" customWidth="1"/>
    <col min="13077" max="13079" width="9.140625" style="2"/>
    <col min="13080" max="13080" width="10" style="2" customWidth="1"/>
    <col min="13081" max="13312" width="9.140625" style="2"/>
    <col min="13313" max="13313" width="1.85546875" style="2" customWidth="1"/>
    <col min="13314" max="13314" width="12.7109375" style="2" customWidth="1"/>
    <col min="13315" max="13322" width="9.140625" style="2"/>
    <col min="13323" max="13323" width="3.7109375" style="2" customWidth="1"/>
    <col min="13324" max="13324" width="5.7109375" style="2" customWidth="1"/>
    <col min="13325" max="13326" width="11" style="2" customWidth="1"/>
    <col min="13327" max="13329" width="9.28515625" style="2" customWidth="1"/>
    <col min="13330" max="13330" width="9.140625" style="2"/>
    <col min="13331" max="13331" width="2.140625" style="2" customWidth="1"/>
    <col min="13332" max="13332" width="12.7109375" style="2" customWidth="1"/>
    <col min="13333" max="13335" width="9.140625" style="2"/>
    <col min="13336" max="13336" width="10" style="2" customWidth="1"/>
    <col min="13337" max="13568" width="9.140625" style="2"/>
    <col min="13569" max="13569" width="1.85546875" style="2" customWidth="1"/>
    <col min="13570" max="13570" width="12.7109375" style="2" customWidth="1"/>
    <col min="13571" max="13578" width="9.140625" style="2"/>
    <col min="13579" max="13579" width="3.7109375" style="2" customWidth="1"/>
    <col min="13580" max="13580" width="5.7109375" style="2" customWidth="1"/>
    <col min="13581" max="13582" width="11" style="2" customWidth="1"/>
    <col min="13583" max="13585" width="9.28515625" style="2" customWidth="1"/>
    <col min="13586" max="13586" width="9.140625" style="2"/>
    <col min="13587" max="13587" width="2.140625" style="2" customWidth="1"/>
    <col min="13588" max="13588" width="12.7109375" style="2" customWidth="1"/>
    <col min="13589" max="13591" width="9.140625" style="2"/>
    <col min="13592" max="13592" width="10" style="2" customWidth="1"/>
    <col min="13593" max="13824" width="9.140625" style="2"/>
    <col min="13825" max="13825" width="1.85546875" style="2" customWidth="1"/>
    <col min="13826" max="13826" width="12.7109375" style="2" customWidth="1"/>
    <col min="13827" max="13834" width="9.140625" style="2"/>
    <col min="13835" max="13835" width="3.7109375" style="2" customWidth="1"/>
    <col min="13836" max="13836" width="5.7109375" style="2" customWidth="1"/>
    <col min="13837" max="13838" width="11" style="2" customWidth="1"/>
    <col min="13839" max="13841" width="9.28515625" style="2" customWidth="1"/>
    <col min="13842" max="13842" width="9.140625" style="2"/>
    <col min="13843" max="13843" width="2.140625" style="2" customWidth="1"/>
    <col min="13844" max="13844" width="12.7109375" style="2" customWidth="1"/>
    <col min="13845" max="13847" width="9.140625" style="2"/>
    <col min="13848" max="13848" width="10" style="2" customWidth="1"/>
    <col min="13849" max="14080" width="9.140625" style="2"/>
    <col min="14081" max="14081" width="1.85546875" style="2" customWidth="1"/>
    <col min="14082" max="14082" width="12.7109375" style="2" customWidth="1"/>
    <col min="14083" max="14090" width="9.140625" style="2"/>
    <col min="14091" max="14091" width="3.7109375" style="2" customWidth="1"/>
    <col min="14092" max="14092" width="5.7109375" style="2" customWidth="1"/>
    <col min="14093" max="14094" width="11" style="2" customWidth="1"/>
    <col min="14095" max="14097" width="9.28515625" style="2" customWidth="1"/>
    <col min="14098" max="14098" width="9.140625" style="2"/>
    <col min="14099" max="14099" width="2.140625" style="2" customWidth="1"/>
    <col min="14100" max="14100" width="12.7109375" style="2" customWidth="1"/>
    <col min="14101" max="14103" width="9.140625" style="2"/>
    <col min="14104" max="14104" width="10" style="2" customWidth="1"/>
    <col min="14105" max="14336" width="9.140625" style="2"/>
    <col min="14337" max="14337" width="1.85546875" style="2" customWidth="1"/>
    <col min="14338" max="14338" width="12.7109375" style="2" customWidth="1"/>
    <col min="14339" max="14346" width="9.140625" style="2"/>
    <col min="14347" max="14347" width="3.7109375" style="2" customWidth="1"/>
    <col min="14348" max="14348" width="5.7109375" style="2" customWidth="1"/>
    <col min="14349" max="14350" width="11" style="2" customWidth="1"/>
    <col min="14351" max="14353" width="9.28515625" style="2" customWidth="1"/>
    <col min="14354" max="14354" width="9.140625" style="2"/>
    <col min="14355" max="14355" width="2.140625" style="2" customWidth="1"/>
    <col min="14356" max="14356" width="12.7109375" style="2" customWidth="1"/>
    <col min="14357" max="14359" width="9.140625" style="2"/>
    <col min="14360" max="14360" width="10" style="2" customWidth="1"/>
    <col min="14361" max="14592" width="9.140625" style="2"/>
    <col min="14593" max="14593" width="1.85546875" style="2" customWidth="1"/>
    <col min="14594" max="14594" width="12.7109375" style="2" customWidth="1"/>
    <col min="14595" max="14602" width="9.140625" style="2"/>
    <col min="14603" max="14603" width="3.7109375" style="2" customWidth="1"/>
    <col min="14604" max="14604" width="5.7109375" style="2" customWidth="1"/>
    <col min="14605" max="14606" width="11" style="2" customWidth="1"/>
    <col min="14607" max="14609" width="9.28515625" style="2" customWidth="1"/>
    <col min="14610" max="14610" width="9.140625" style="2"/>
    <col min="14611" max="14611" width="2.140625" style="2" customWidth="1"/>
    <col min="14612" max="14612" width="12.7109375" style="2" customWidth="1"/>
    <col min="14613" max="14615" width="9.140625" style="2"/>
    <col min="14616" max="14616" width="10" style="2" customWidth="1"/>
    <col min="14617" max="14848" width="9.140625" style="2"/>
    <col min="14849" max="14849" width="1.85546875" style="2" customWidth="1"/>
    <col min="14850" max="14850" width="12.7109375" style="2" customWidth="1"/>
    <col min="14851" max="14858" width="9.140625" style="2"/>
    <col min="14859" max="14859" width="3.7109375" style="2" customWidth="1"/>
    <col min="14860" max="14860" width="5.7109375" style="2" customWidth="1"/>
    <col min="14861" max="14862" width="11" style="2" customWidth="1"/>
    <col min="14863" max="14865" width="9.28515625" style="2" customWidth="1"/>
    <col min="14866" max="14866" width="9.140625" style="2"/>
    <col min="14867" max="14867" width="2.140625" style="2" customWidth="1"/>
    <col min="14868" max="14868" width="12.7109375" style="2" customWidth="1"/>
    <col min="14869" max="14871" width="9.140625" style="2"/>
    <col min="14872" max="14872" width="10" style="2" customWidth="1"/>
    <col min="14873" max="15104" width="9.140625" style="2"/>
    <col min="15105" max="15105" width="1.85546875" style="2" customWidth="1"/>
    <col min="15106" max="15106" width="12.7109375" style="2" customWidth="1"/>
    <col min="15107" max="15114" width="9.140625" style="2"/>
    <col min="15115" max="15115" width="3.7109375" style="2" customWidth="1"/>
    <col min="15116" max="15116" width="5.7109375" style="2" customWidth="1"/>
    <col min="15117" max="15118" width="11" style="2" customWidth="1"/>
    <col min="15119" max="15121" width="9.28515625" style="2" customWidth="1"/>
    <col min="15122" max="15122" width="9.140625" style="2"/>
    <col min="15123" max="15123" width="2.140625" style="2" customWidth="1"/>
    <col min="15124" max="15124" width="12.7109375" style="2" customWidth="1"/>
    <col min="15125" max="15127" width="9.140625" style="2"/>
    <col min="15128" max="15128" width="10" style="2" customWidth="1"/>
    <col min="15129" max="15360" width="9.140625" style="2"/>
    <col min="15361" max="15361" width="1.85546875" style="2" customWidth="1"/>
    <col min="15362" max="15362" width="12.7109375" style="2" customWidth="1"/>
    <col min="15363" max="15370" width="9.140625" style="2"/>
    <col min="15371" max="15371" width="3.7109375" style="2" customWidth="1"/>
    <col min="15372" max="15372" width="5.7109375" style="2" customWidth="1"/>
    <col min="15373" max="15374" width="11" style="2" customWidth="1"/>
    <col min="15375" max="15377" width="9.28515625" style="2" customWidth="1"/>
    <col min="15378" max="15378" width="9.140625" style="2"/>
    <col min="15379" max="15379" width="2.140625" style="2" customWidth="1"/>
    <col min="15380" max="15380" width="12.7109375" style="2" customWidth="1"/>
    <col min="15381" max="15383" width="9.140625" style="2"/>
    <col min="15384" max="15384" width="10" style="2" customWidth="1"/>
    <col min="15385" max="15616" width="9.140625" style="2"/>
    <col min="15617" max="15617" width="1.85546875" style="2" customWidth="1"/>
    <col min="15618" max="15618" width="12.7109375" style="2" customWidth="1"/>
    <col min="15619" max="15626" width="9.140625" style="2"/>
    <col min="15627" max="15627" width="3.7109375" style="2" customWidth="1"/>
    <col min="15628" max="15628" width="5.7109375" style="2" customWidth="1"/>
    <col min="15629" max="15630" width="11" style="2" customWidth="1"/>
    <col min="15631" max="15633" width="9.28515625" style="2" customWidth="1"/>
    <col min="15634" max="15634" width="9.140625" style="2"/>
    <col min="15635" max="15635" width="2.140625" style="2" customWidth="1"/>
    <col min="15636" max="15636" width="12.7109375" style="2" customWidth="1"/>
    <col min="15637" max="15639" width="9.140625" style="2"/>
    <col min="15640" max="15640" width="10" style="2" customWidth="1"/>
    <col min="15641" max="15872" width="9.140625" style="2"/>
    <col min="15873" max="15873" width="1.85546875" style="2" customWidth="1"/>
    <col min="15874" max="15874" width="12.7109375" style="2" customWidth="1"/>
    <col min="15875" max="15882" width="9.140625" style="2"/>
    <col min="15883" max="15883" width="3.7109375" style="2" customWidth="1"/>
    <col min="15884" max="15884" width="5.7109375" style="2" customWidth="1"/>
    <col min="15885" max="15886" width="11" style="2" customWidth="1"/>
    <col min="15887" max="15889" width="9.28515625" style="2" customWidth="1"/>
    <col min="15890" max="15890" width="9.140625" style="2"/>
    <col min="15891" max="15891" width="2.140625" style="2" customWidth="1"/>
    <col min="15892" max="15892" width="12.7109375" style="2" customWidth="1"/>
    <col min="15893" max="15895" width="9.140625" style="2"/>
    <col min="15896" max="15896" width="10" style="2" customWidth="1"/>
    <col min="15897" max="16128" width="9.140625" style="2"/>
    <col min="16129" max="16129" width="1.85546875" style="2" customWidth="1"/>
    <col min="16130" max="16130" width="12.7109375" style="2" customWidth="1"/>
    <col min="16131" max="16138" width="9.140625" style="2"/>
    <col min="16139" max="16139" width="3.7109375" style="2" customWidth="1"/>
    <col min="16140" max="16140" width="5.7109375" style="2" customWidth="1"/>
    <col min="16141" max="16142" width="11" style="2" customWidth="1"/>
    <col min="16143" max="16145" width="9.28515625" style="2" customWidth="1"/>
    <col min="16146" max="16146" width="9.140625" style="2"/>
    <col min="16147" max="16147" width="2.140625" style="2" customWidth="1"/>
    <col min="16148" max="16148" width="12.7109375" style="2" customWidth="1"/>
    <col min="16149" max="16151" width="9.140625" style="2"/>
    <col min="16152" max="16152" width="10" style="2" customWidth="1"/>
    <col min="16153" max="16384" width="9.140625" style="2"/>
  </cols>
  <sheetData>
    <row r="1" spans="2:27" x14ac:dyDescent="0.2">
      <c r="B1" s="1" t="s">
        <v>37</v>
      </c>
    </row>
    <row r="3" spans="2:27" x14ac:dyDescent="0.2">
      <c r="B3" s="3" t="s">
        <v>0</v>
      </c>
      <c r="C3" s="4"/>
      <c r="D3" s="4"/>
      <c r="E3" s="4"/>
      <c r="F3" s="5"/>
      <c r="H3" s="6"/>
      <c r="I3" s="7"/>
      <c r="J3" s="7"/>
      <c r="K3" s="7"/>
      <c r="L3" s="7"/>
      <c r="M3" s="7"/>
    </row>
    <row r="4" spans="2:27" x14ac:dyDescent="0.2">
      <c r="B4" s="8"/>
      <c r="C4" s="7"/>
      <c r="D4" s="7"/>
      <c r="E4" s="7"/>
      <c r="F4" s="9"/>
      <c r="H4" s="7"/>
      <c r="I4" s="7"/>
      <c r="J4" s="7"/>
      <c r="K4" s="7"/>
      <c r="L4" s="7"/>
      <c r="M4" s="7"/>
    </row>
    <row r="5" spans="2:27" x14ac:dyDescent="0.2">
      <c r="B5" s="8" t="s">
        <v>1</v>
      </c>
      <c r="C5" s="7"/>
      <c r="D5" s="10">
        <v>1000</v>
      </c>
      <c r="E5" s="7"/>
      <c r="F5" s="9"/>
      <c r="H5" s="7"/>
      <c r="I5" s="7"/>
      <c r="J5" s="7"/>
      <c r="K5" s="7"/>
      <c r="L5" s="7"/>
      <c r="M5" s="10"/>
    </row>
    <row r="6" spans="2:27" x14ac:dyDescent="0.2">
      <c r="B6" s="8"/>
      <c r="C6" s="7"/>
      <c r="D6" s="7"/>
      <c r="E6" s="7"/>
      <c r="F6" s="9"/>
      <c r="H6" s="7"/>
      <c r="I6" s="7"/>
      <c r="J6" s="7"/>
      <c r="K6" s="7"/>
      <c r="L6" s="7"/>
      <c r="M6" s="10"/>
    </row>
    <row r="7" spans="2:27" x14ac:dyDescent="0.2">
      <c r="B7" s="8" t="s">
        <v>2</v>
      </c>
      <c r="C7" s="7"/>
      <c r="D7" s="10">
        <v>1200</v>
      </c>
      <c r="E7" s="7"/>
      <c r="F7" s="9"/>
      <c r="H7" s="7"/>
      <c r="I7" s="7"/>
      <c r="J7" s="7"/>
      <c r="K7" s="7"/>
      <c r="L7" s="7"/>
      <c r="M7" s="7"/>
    </row>
    <row r="8" spans="2:27" x14ac:dyDescent="0.2">
      <c r="B8" s="8" t="s">
        <v>3</v>
      </c>
      <c r="C8" s="7"/>
      <c r="D8" s="11">
        <v>0.35</v>
      </c>
      <c r="E8" s="7" t="s">
        <v>4</v>
      </c>
      <c r="F8" s="9"/>
      <c r="H8" s="7"/>
      <c r="I8" s="7"/>
      <c r="J8" s="7"/>
      <c r="K8" s="7"/>
      <c r="L8" s="7"/>
      <c r="M8" s="10"/>
    </row>
    <row r="9" spans="2:27" x14ac:dyDescent="0.2">
      <c r="B9" s="8" t="s">
        <v>5</v>
      </c>
      <c r="C9" s="7"/>
      <c r="D9" s="11">
        <v>0.08</v>
      </c>
      <c r="E9" s="7" t="s">
        <v>6</v>
      </c>
      <c r="F9" s="9"/>
      <c r="H9" s="6"/>
      <c r="I9" s="6"/>
      <c r="J9" s="6"/>
      <c r="K9" s="6"/>
      <c r="L9" s="6"/>
      <c r="M9" s="12"/>
    </row>
    <row r="10" spans="2:27" x14ac:dyDescent="0.2">
      <c r="B10" s="8" t="s">
        <v>7</v>
      </c>
      <c r="C10" s="7"/>
      <c r="D10" s="11">
        <v>0.1</v>
      </c>
      <c r="E10" s="7" t="s">
        <v>4</v>
      </c>
      <c r="F10" s="9"/>
      <c r="H10" s="7"/>
      <c r="I10" s="7"/>
      <c r="J10" s="7"/>
      <c r="K10" s="7"/>
      <c r="L10" s="7"/>
      <c r="M10" s="7"/>
    </row>
    <row r="11" spans="2:27" x14ac:dyDescent="0.2">
      <c r="B11" s="8" t="s">
        <v>8</v>
      </c>
      <c r="C11" s="7"/>
      <c r="D11" s="11">
        <v>0.06</v>
      </c>
      <c r="E11" s="7" t="s">
        <v>6</v>
      </c>
      <c r="F11" s="9"/>
    </row>
    <row r="12" spans="2:27" x14ac:dyDescent="0.2">
      <c r="B12" s="8" t="s">
        <v>9</v>
      </c>
      <c r="C12" s="7"/>
      <c r="D12" s="11">
        <v>0.15</v>
      </c>
      <c r="E12" s="7" t="s">
        <v>6</v>
      </c>
      <c r="F12" s="9"/>
    </row>
    <row r="13" spans="2:27" x14ac:dyDescent="0.2">
      <c r="B13" s="13" t="s">
        <v>10</v>
      </c>
      <c r="C13" s="14"/>
      <c r="D13" s="15">
        <v>0.05</v>
      </c>
      <c r="E13" s="14" t="s">
        <v>6</v>
      </c>
      <c r="F13" s="16"/>
    </row>
    <row r="15" spans="2:27" x14ac:dyDescent="0.2">
      <c r="B15" s="3" t="s">
        <v>11</v>
      </c>
      <c r="C15" s="4"/>
      <c r="D15" s="4"/>
      <c r="E15" s="4"/>
      <c r="F15" s="4"/>
      <c r="G15" s="4"/>
      <c r="H15" s="17" t="s">
        <v>12</v>
      </c>
      <c r="I15" s="18">
        <f>I18/H18</f>
        <v>0.1910010164239421</v>
      </c>
      <c r="J15" s="5"/>
      <c r="L15" s="19" t="s">
        <v>13</v>
      </c>
      <c r="M15" s="4"/>
      <c r="N15" s="4"/>
      <c r="O15" s="4"/>
      <c r="P15" s="4"/>
      <c r="Q15" s="48">
        <f>NPV($D$13,R18:R27)</f>
        <v>881.55850969463972</v>
      </c>
      <c r="R15" s="5"/>
      <c r="S15" s="7"/>
      <c r="T15" s="19" t="s">
        <v>14</v>
      </c>
      <c r="U15" s="4"/>
      <c r="V15" s="4"/>
      <c r="W15" s="4"/>
      <c r="X15" s="20"/>
      <c r="Y15" s="4"/>
      <c r="Z15" s="4"/>
      <c r="AA15" s="5"/>
    </row>
    <row r="16" spans="2:27" x14ac:dyDescent="0.2">
      <c r="B16" s="8" t="s">
        <v>15</v>
      </c>
      <c r="C16" s="10">
        <f>NPV($D$13,C18:C27)*(1+$D$13)</f>
        <v>4615.4650179345108</v>
      </c>
      <c r="D16" s="10">
        <f>NPV($D$13,D18:D27)*(1+$D$13)^0.5</f>
        <v>2008.0331315710112</v>
      </c>
      <c r="E16" s="10">
        <f>NPV($D$13,E18:E27)*(1+$D$13)</f>
        <v>1200</v>
      </c>
      <c r="F16" s="10">
        <f>NPV($D$13,F18:F27)</f>
        <v>525.87337666886037</v>
      </c>
      <c r="G16" s="7"/>
      <c r="J16" s="9"/>
      <c r="L16" s="8"/>
      <c r="M16" s="7"/>
      <c r="N16" s="7"/>
      <c r="O16" s="7"/>
      <c r="P16" s="7"/>
      <c r="Q16" s="7"/>
      <c r="R16" s="9"/>
      <c r="S16" s="7"/>
      <c r="T16" s="8" t="s">
        <v>16</v>
      </c>
      <c r="U16" s="7"/>
      <c r="V16" s="21">
        <v>0.17</v>
      </c>
      <c r="W16" s="7"/>
      <c r="X16" s="7"/>
      <c r="Y16" s="7"/>
      <c r="Z16" s="7"/>
      <c r="AA16" s="9"/>
    </row>
    <row r="17" spans="2:32" ht="51" x14ac:dyDescent="0.2">
      <c r="B17" s="22" t="s">
        <v>17</v>
      </c>
      <c r="C17" s="23" t="s">
        <v>18</v>
      </c>
      <c r="D17" s="23" t="s">
        <v>19</v>
      </c>
      <c r="E17" s="23" t="s">
        <v>20</v>
      </c>
      <c r="F17" s="23" t="s">
        <v>21</v>
      </c>
      <c r="G17" s="23" t="s">
        <v>22</v>
      </c>
      <c r="H17" s="23" t="s">
        <v>23</v>
      </c>
      <c r="I17" s="23" t="s">
        <v>24</v>
      </c>
      <c r="J17" s="24" t="s">
        <v>25</v>
      </c>
      <c r="L17" s="22" t="s">
        <v>17</v>
      </c>
      <c r="M17" s="23" t="s">
        <v>26</v>
      </c>
      <c r="N17" s="23" t="s">
        <v>27</v>
      </c>
      <c r="O17" s="23" t="s">
        <v>28</v>
      </c>
      <c r="P17" s="23" t="s">
        <v>29</v>
      </c>
      <c r="Q17" s="23" t="s">
        <v>30</v>
      </c>
      <c r="R17" s="24" t="s">
        <v>31</v>
      </c>
      <c r="S17" s="23"/>
      <c r="T17" s="22" t="s">
        <v>17</v>
      </c>
      <c r="U17" s="23" t="s">
        <v>18</v>
      </c>
      <c r="V17" s="23" t="s">
        <v>19</v>
      </c>
      <c r="W17" s="23" t="s">
        <v>32</v>
      </c>
      <c r="X17" s="23" t="s">
        <v>33</v>
      </c>
      <c r="Y17" s="23" t="s">
        <v>34</v>
      </c>
      <c r="Z17" s="23" t="s">
        <v>35</v>
      </c>
      <c r="AA17" s="24" t="s">
        <v>36</v>
      </c>
      <c r="AB17" s="23"/>
      <c r="AC17" s="23"/>
      <c r="AD17" s="23"/>
      <c r="AE17" s="23"/>
      <c r="AF17" s="23"/>
    </row>
    <row r="18" spans="2:32" x14ac:dyDescent="0.2">
      <c r="B18" s="22">
        <v>1</v>
      </c>
      <c r="C18" s="10">
        <f>D5</f>
        <v>1000</v>
      </c>
      <c r="D18" s="10">
        <f>$D$8*C18*(1+$D$9)^(B18-1)</f>
        <v>350</v>
      </c>
      <c r="E18" s="10">
        <f>D7</f>
        <v>1200</v>
      </c>
      <c r="F18" s="10">
        <f>$D$10*C18*(1+$D$11)^(B18-1)</f>
        <v>100</v>
      </c>
      <c r="G18" s="10">
        <f>NPV($D$13,$D$18:$D$27)*(1+$D$13)^0.5+E18+NPV($D$13,$F$18:$F$27)-NPV($D$13,$C$18:$C$27)*(1+$D$13)</f>
        <v>-881.55850969463972</v>
      </c>
      <c r="H18" s="10">
        <f>NPV($D$13,$C18:$C$27)*(1+$D$13)</f>
        <v>4615.4650179345108</v>
      </c>
      <c r="I18" s="10">
        <f>-G18</f>
        <v>881.55850969463972</v>
      </c>
      <c r="J18" s="25">
        <f>G18+I18</f>
        <v>0</v>
      </c>
      <c r="K18" s="10"/>
      <c r="L18" s="22">
        <v>1</v>
      </c>
      <c r="M18" s="26">
        <f>$I$15*C18</f>
        <v>191.0010164239421</v>
      </c>
      <c r="N18" s="26">
        <f>M18*(1+$D$13)</f>
        <v>200.55106724513922</v>
      </c>
      <c r="O18" s="10">
        <f t="shared" ref="O18:O27" si="0">C18-D18-E18-F18</f>
        <v>-650</v>
      </c>
      <c r="P18" s="10">
        <f>$D$13*(C18-E18)-D18*((1+$D$13)^0.5-1)+$D$13*J18</f>
        <v>-18.643276808585973</v>
      </c>
      <c r="Q18" s="10">
        <f t="shared" ref="Q18:Q27" si="1">J18-J19</f>
        <v>869.19434405372567</v>
      </c>
      <c r="R18" s="25">
        <f>SUM(O18:Q18)</f>
        <v>200.55106724513973</v>
      </c>
      <c r="S18" s="10"/>
      <c r="T18" s="22">
        <v>1</v>
      </c>
      <c r="U18" s="27"/>
      <c r="V18" s="28"/>
      <c r="W18" s="28"/>
      <c r="X18" s="28"/>
      <c r="Y18" s="28"/>
      <c r="Z18" s="28"/>
      <c r="AA18" s="29"/>
    </row>
    <row r="19" spans="2:32" x14ac:dyDescent="0.2">
      <c r="B19" s="22">
        <v>2</v>
      </c>
      <c r="C19" s="10">
        <f>C18*(1-$D$12)</f>
        <v>850</v>
      </c>
      <c r="D19" s="10">
        <f t="shared" ref="D19:D27" si="2">$D$8*C19*(1+$D$9)^(B19-1)</f>
        <v>321.3</v>
      </c>
      <c r="E19" s="10"/>
      <c r="F19" s="10">
        <f t="shared" ref="F19:F27" si="3">$D$10*C19*(1+$D$11)^(B19-1)</f>
        <v>90.100000000000009</v>
      </c>
      <c r="G19" s="10">
        <f>NPV($D$13,$D19:$D$27)*(1+$D$13)^0.5+NPV($D$13,$F19:$F$27)-NPV($D$13,$C19:$C$27)*(1+$D$13)</f>
        <v>-1594.2797119879583</v>
      </c>
      <c r="H19" s="10">
        <f>NPV($D$13,$C19:$C$27)*(1+$D$13)</f>
        <v>3796.2382688312373</v>
      </c>
      <c r="I19" s="10">
        <f t="shared" ref="I19:I27" si="4">$I$15*H19</f>
        <v>725.08536793423264</v>
      </c>
      <c r="J19" s="25">
        <f t="shared" ref="J19:J27" si="5">G19+I19</f>
        <v>-869.19434405372567</v>
      </c>
      <c r="K19" s="10"/>
      <c r="L19" s="22">
        <v>2</v>
      </c>
      <c r="M19" s="26">
        <f t="shared" ref="M19:M27" si="6">$I$15*C19</f>
        <v>162.35086396035078</v>
      </c>
      <c r="N19" s="26">
        <f t="shared" ref="N19:N27" si="7">M19*(1+$D$13)</f>
        <v>170.46840715836834</v>
      </c>
      <c r="O19" s="10">
        <f t="shared" si="0"/>
        <v>438.6</v>
      </c>
      <c r="P19" s="10">
        <f>$D$13*(C19-E19)-D19*((1+$D$13)^0.5-1)+$D$13*J19</f>
        <v>-8.8942453129682093</v>
      </c>
      <c r="Q19" s="10">
        <f t="shared" si="1"/>
        <v>-259.2373475286638</v>
      </c>
      <c r="R19" s="25">
        <f t="shared" ref="R19:R27" si="8">SUM(O19:Q19)</f>
        <v>170.468407158368</v>
      </c>
      <c r="S19" s="10"/>
      <c r="T19" s="22">
        <v>2</v>
      </c>
      <c r="U19" s="30">
        <f>D5*(1-$V$16)</f>
        <v>830</v>
      </c>
      <c r="V19" s="10">
        <f t="shared" ref="V19:V27" si="9">$D$8*U19*(1+$D$9)^(T19-1)</f>
        <v>313.74</v>
      </c>
      <c r="W19" s="10">
        <f>$D$10*U19*(1+$D$11)^(T19-1)</f>
        <v>87.98</v>
      </c>
      <c r="X19" s="10">
        <f>NPV($D$13,V19:$V$27)*(1+$D$13)^0.5+NPV($D$13,W19:$W$27)-NPV($D$13,U19:$U$27)*(1+$D$13)</f>
        <v>-1556.7672481764757</v>
      </c>
      <c r="Y19" s="10">
        <f>NPV($D$13,U19:U$27)*(1+$D$13)</f>
        <v>3706.9150154469717</v>
      </c>
      <c r="Z19" s="10">
        <f>$I$15*Y19</f>
        <v>708.02453574754463</v>
      </c>
      <c r="AA19" s="25">
        <f>X19+Z19</f>
        <v>-848.7427124289311</v>
      </c>
    </row>
    <row r="20" spans="2:32" x14ac:dyDescent="0.2">
      <c r="B20" s="22">
        <v>3</v>
      </c>
      <c r="C20" s="10">
        <f t="shared" ref="C20:C27" si="10">C19*(1-$D$12)</f>
        <v>722.5</v>
      </c>
      <c r="D20" s="10">
        <f t="shared" si="2"/>
        <v>294.95339999999999</v>
      </c>
      <c r="E20" s="10"/>
      <c r="F20" s="10">
        <f t="shared" si="3"/>
        <v>81.18010000000001</v>
      </c>
      <c r="G20" s="10">
        <f>NPV($D$13,$D20:$D$27)*(1+$D$13)^0.5+NPV($D$13,$F20:$F$27)-NPV($D$13,$C20:$C$27)*(1+$D$13)</f>
        <v>-1200.8282256976379</v>
      </c>
      <c r="H20" s="10">
        <f>NPV($D$13,$C20:$C$27)*(1+$D$13)</f>
        <v>3093.5501822727992</v>
      </c>
      <c r="I20" s="10">
        <f t="shared" si="4"/>
        <v>590.87122917257602</v>
      </c>
      <c r="J20" s="25">
        <f t="shared" si="5"/>
        <v>-609.95699652506187</v>
      </c>
      <c r="K20" s="10"/>
      <c r="L20" s="22">
        <v>3</v>
      </c>
      <c r="M20" s="26">
        <f t="shared" si="6"/>
        <v>137.99823436629816</v>
      </c>
      <c r="N20" s="26">
        <f t="shared" si="7"/>
        <v>144.89814608461307</v>
      </c>
      <c r="O20" s="10">
        <f t="shared" si="0"/>
        <v>346.36649999999997</v>
      </c>
      <c r="P20" s="10">
        <f t="shared" ref="P20:P27" si="11">$D$13*(C20-E20)-D20*((1+$D$13)^0.5-1)+$D$13*J20</f>
        <v>-1.6567466314919024</v>
      </c>
      <c r="Q20" s="10">
        <f t="shared" si="1"/>
        <v>-199.81160728389534</v>
      </c>
      <c r="R20" s="25">
        <f t="shared" si="8"/>
        <v>144.89814608461273</v>
      </c>
      <c r="S20" s="10"/>
      <c r="T20" s="22">
        <v>3</v>
      </c>
      <c r="U20" s="26">
        <f>U19*(1-$D$12)</f>
        <v>705.5</v>
      </c>
      <c r="V20" s="10">
        <f t="shared" si="9"/>
        <v>288.01332000000002</v>
      </c>
      <c r="W20" s="10">
        <f t="shared" ref="W20:W27" si="12">$D$10*U20*(1+$D$11)^(T20-1)</f>
        <v>79.269980000000004</v>
      </c>
      <c r="X20" s="10">
        <f>NPV($D$13,V20:$V$27)*(1+$D$13)^0.5+NPV($D$13,W20:$W$27)-NPV($D$13,U20:$U$27)*(1+$D$13)</f>
        <v>-1172.5734439165158</v>
      </c>
      <c r="Y20" s="10">
        <f>NPV($D$13,U20:U$27)*(1+$D$13)</f>
        <v>3020.7607662193204</v>
      </c>
      <c r="Z20" s="10">
        <f t="shared" ref="Z20:Z26" si="13">$I$15*Y20</f>
        <v>576.96837672145637</v>
      </c>
      <c r="AA20" s="25">
        <f t="shared" ref="AA20:AA27" si="14">X20+Z20</f>
        <v>-595.60506719505941</v>
      </c>
    </row>
    <row r="21" spans="2:32" x14ac:dyDescent="0.2">
      <c r="B21" s="22">
        <v>4</v>
      </c>
      <c r="C21" s="10">
        <f t="shared" si="10"/>
        <v>614.125</v>
      </c>
      <c r="D21" s="10">
        <f t="shared" si="2"/>
        <v>270.76722120000005</v>
      </c>
      <c r="E21" s="10"/>
      <c r="F21" s="10">
        <f t="shared" si="3"/>
        <v>73.143270100000024</v>
      </c>
      <c r="G21" s="10">
        <f>NPV($D$13,$D21:$D$27)*(1+$D$13)^0.5+NPV($D$13,$F21:$F$27)-NPV($D$13,$C21:$C$27)*(1+$D$13)</f>
        <v>-885.66203378775822</v>
      </c>
      <c r="H21" s="10">
        <f>NPV($D$13,$C21:$C$27)*(1+$D$13)</f>
        <v>2489.6026913864389</v>
      </c>
      <c r="I21" s="10">
        <f t="shared" si="4"/>
        <v>475.51664454659169</v>
      </c>
      <c r="J21" s="25">
        <f t="shared" si="5"/>
        <v>-410.14538924116653</v>
      </c>
      <c r="K21" s="10"/>
      <c r="L21" s="22">
        <v>4</v>
      </c>
      <c r="M21" s="26">
        <f t="shared" si="6"/>
        <v>117.29849921135344</v>
      </c>
      <c r="N21" s="26">
        <f t="shared" si="7"/>
        <v>123.16342417192112</v>
      </c>
      <c r="O21" s="10">
        <f t="shared" si="0"/>
        <v>270.2145086999999</v>
      </c>
      <c r="P21" s="10">
        <f t="shared" si="11"/>
        <v>3.5123632707324468</v>
      </c>
      <c r="Q21" s="10">
        <f t="shared" si="1"/>
        <v>-150.56344779881107</v>
      </c>
      <c r="R21" s="25">
        <f t="shared" si="8"/>
        <v>123.16342417192129</v>
      </c>
      <c r="S21" s="10"/>
      <c r="T21" s="22">
        <v>4</v>
      </c>
      <c r="U21" s="26">
        <f t="shared" ref="U21:U27" si="15">U20*(1-$D$12)</f>
        <v>599.67499999999995</v>
      </c>
      <c r="V21" s="10">
        <f t="shared" si="9"/>
        <v>264.39622775999999</v>
      </c>
      <c r="W21" s="10">
        <f t="shared" si="12"/>
        <v>71.422251980000013</v>
      </c>
      <c r="X21" s="10">
        <f>NPV($D$13,V21:$V$27)*(1+$D$13)^0.5+NPV($D$13,W21:$W$27)-NPV($D$13,U21:$U$27)*(1+$D$13)</f>
        <v>-864.82292711039963</v>
      </c>
      <c r="Y21" s="10">
        <f>NPV($D$13,U21:U$27)*(1+$D$13)</f>
        <v>2431.0238045302872</v>
      </c>
      <c r="Z21" s="10">
        <f t="shared" si="13"/>
        <v>464.32801761608357</v>
      </c>
      <c r="AA21" s="25">
        <f t="shared" si="14"/>
        <v>-400.49490949431606</v>
      </c>
    </row>
    <row r="22" spans="2:32" x14ac:dyDescent="0.2">
      <c r="B22" s="22">
        <v>5</v>
      </c>
      <c r="C22" s="10">
        <f t="shared" si="10"/>
        <v>522.00625000000002</v>
      </c>
      <c r="D22" s="10">
        <f t="shared" si="2"/>
        <v>248.56430906160006</v>
      </c>
      <c r="E22" s="10"/>
      <c r="F22" s="10">
        <f t="shared" si="3"/>
        <v>65.902086360100014</v>
      </c>
      <c r="G22" s="10">
        <f>NPV($D$13,$D22:$D$27)*(1+$D$13)^0.5+NPV($D$13,$F22:$F$27)-NPV($D$13,$C22:$C$27)*(1+$D$13)</f>
        <v>-635.71099404435563</v>
      </c>
      <c r="H22" s="10">
        <f>NPV($D$13,$C22:$C$27)*(1+$D$13)</f>
        <v>1969.2515759557609</v>
      </c>
      <c r="I22" s="10">
        <f t="shared" si="4"/>
        <v>376.12905260200017</v>
      </c>
      <c r="J22" s="25">
        <f t="shared" si="5"/>
        <v>-259.58194144235546</v>
      </c>
      <c r="K22" s="10"/>
      <c r="L22" s="22">
        <v>5</v>
      </c>
      <c r="M22" s="26">
        <f t="shared" si="6"/>
        <v>99.703724329650427</v>
      </c>
      <c r="N22" s="26">
        <f t="shared" si="7"/>
        <v>104.68891054613296</v>
      </c>
      <c r="O22" s="10">
        <f t="shared" si="0"/>
        <v>207.53985457829995</v>
      </c>
      <c r="P22" s="10">
        <f t="shared" si="11"/>
        <v>6.982900776584156</v>
      </c>
      <c r="Q22" s="10">
        <f t="shared" si="1"/>
        <v>-109.83384480875139</v>
      </c>
      <c r="R22" s="25">
        <f t="shared" si="8"/>
        <v>104.68891054613272</v>
      </c>
      <c r="S22" s="10"/>
      <c r="T22" s="22">
        <v>5</v>
      </c>
      <c r="U22" s="26">
        <f t="shared" si="15"/>
        <v>509.72374999999994</v>
      </c>
      <c r="V22" s="10">
        <f t="shared" si="9"/>
        <v>242.71573708368001</v>
      </c>
      <c r="W22" s="10">
        <f t="shared" si="12"/>
        <v>64.351449033980018</v>
      </c>
      <c r="X22" s="10">
        <f>NPV($D$13,V22:$V$27)*(1+$D$13)^0.5+NPV($D$13,W22:$W$27)-NPV($D$13,U22:$U$27)*(1+$D$13)</f>
        <v>-620.75308830213521</v>
      </c>
      <c r="Y22" s="10">
        <f>NPV($D$13,U22:U$27)*(1+$D$13)</f>
        <v>1922.9162447568017</v>
      </c>
      <c r="Z22" s="10">
        <f t="shared" si="13"/>
        <v>367.27895724665893</v>
      </c>
      <c r="AA22" s="25">
        <f t="shared" si="14"/>
        <v>-253.47413105547628</v>
      </c>
    </row>
    <row r="23" spans="2:32" x14ac:dyDescent="0.2">
      <c r="B23" s="22">
        <v>6</v>
      </c>
      <c r="C23" s="10">
        <f t="shared" si="10"/>
        <v>443.70531249999999</v>
      </c>
      <c r="D23" s="10">
        <f t="shared" si="2"/>
        <v>228.18203571854883</v>
      </c>
      <c r="E23" s="10"/>
      <c r="F23" s="10">
        <f t="shared" si="3"/>
        <v>59.377779810450122</v>
      </c>
      <c r="G23" s="10">
        <f>NPV($D$13,$D23:$D$27)*(1+$D$13)^0.5+NPV($D$13,$F23:$F$27)-NPV($D$13,$C23:$C$27)*(1+$D$13)</f>
        <v>-439.9946913195713</v>
      </c>
      <c r="H23" s="10">
        <f>NPV($D$13,$C23:$C$27)*(1+$D$13)</f>
        <v>1519.607592253549</v>
      </c>
      <c r="I23" s="10">
        <f t="shared" si="4"/>
        <v>290.24659468596724</v>
      </c>
      <c r="J23" s="25">
        <f t="shared" si="5"/>
        <v>-149.74809663360406</v>
      </c>
      <c r="K23" s="10"/>
      <c r="L23" s="22">
        <v>6</v>
      </c>
      <c r="M23" s="26">
        <f t="shared" si="6"/>
        <v>84.74816568020286</v>
      </c>
      <c r="N23" s="26">
        <f t="shared" si="7"/>
        <v>88.985573964213003</v>
      </c>
      <c r="O23" s="10">
        <f t="shared" si="0"/>
        <v>156.14549697100102</v>
      </c>
      <c r="P23" s="10">
        <f t="shared" si="11"/>
        <v>9.0628879434281675</v>
      </c>
      <c r="Q23" s="10">
        <f t="shared" si="1"/>
        <v>-76.222810950216115</v>
      </c>
      <c r="R23" s="25">
        <f t="shared" si="8"/>
        <v>88.985573964213074</v>
      </c>
      <c r="S23" s="10"/>
      <c r="T23" s="22">
        <v>6</v>
      </c>
      <c r="U23" s="26">
        <f t="shared" si="15"/>
        <v>433.26518749999991</v>
      </c>
      <c r="V23" s="10">
        <f t="shared" si="9"/>
        <v>222.81304664281825</v>
      </c>
      <c r="W23" s="10">
        <f t="shared" si="12"/>
        <v>57.980655579615991</v>
      </c>
      <c r="X23" s="10">
        <f>NPV($D$13,V23:$V$27)*(1+$D$13)^0.5+NPV($D$13,W23:$W$27)-NPV($D$13,U23:$U$27)*(1+$D$13)</f>
        <v>-429.64187505322843</v>
      </c>
      <c r="Y23" s="10">
        <f>NPV($D$13,U23:U$27)*(1+$D$13)</f>
        <v>1483.8521194946416</v>
      </c>
      <c r="Z23" s="10">
        <f t="shared" si="13"/>
        <v>283.41726304629731</v>
      </c>
      <c r="AA23" s="25">
        <f t="shared" si="14"/>
        <v>-146.22461200693112</v>
      </c>
    </row>
    <row r="24" spans="2:32" x14ac:dyDescent="0.2">
      <c r="B24" s="22">
        <v>7</v>
      </c>
      <c r="C24" s="10">
        <f t="shared" si="10"/>
        <v>377.14951562499999</v>
      </c>
      <c r="D24" s="10">
        <f t="shared" si="2"/>
        <v>209.47110878962786</v>
      </c>
      <c r="E24" s="10"/>
      <c r="F24" s="10">
        <f t="shared" si="3"/>
        <v>53.499379609215559</v>
      </c>
      <c r="G24" s="10">
        <f>NPV($D$13,$D24:$D$27)*(1+$D$13)^0.5+NPV($D$13,$F24:$F$27)-NPV($D$13,$C24:$C$27)*(1+$D$13)</f>
        <v>-289.29863613944053</v>
      </c>
      <c r="H24" s="10">
        <f>NPV($D$13,$C24:$C$27)*(1+$D$13)</f>
        <v>1129.6973937412265</v>
      </c>
      <c r="I24" s="10">
        <f t="shared" si="4"/>
        <v>215.77335045605258</v>
      </c>
      <c r="J24" s="25">
        <f t="shared" si="5"/>
        <v>-73.525285683387949</v>
      </c>
      <c r="K24" s="10"/>
      <c r="L24" s="22">
        <v>7</v>
      </c>
      <c r="M24" s="26">
        <f t="shared" si="6"/>
        <v>72.035940828172428</v>
      </c>
      <c r="N24" s="26">
        <f t="shared" si="7"/>
        <v>75.637737869581059</v>
      </c>
      <c r="O24" s="10">
        <f t="shared" si="0"/>
        <v>114.17902722615656</v>
      </c>
      <c r="P24" s="10">
        <f t="shared" si="11"/>
        <v>10.008306420880087</v>
      </c>
      <c r="Q24" s="10">
        <f t="shared" si="1"/>
        <v>-48.549595777455465</v>
      </c>
      <c r="R24" s="25">
        <f t="shared" si="8"/>
        <v>75.637737869581187</v>
      </c>
      <c r="S24" s="10"/>
      <c r="T24" s="22">
        <v>7</v>
      </c>
      <c r="U24" s="26">
        <f t="shared" si="15"/>
        <v>368.27540937499992</v>
      </c>
      <c r="V24" s="10">
        <f t="shared" si="9"/>
        <v>204.54237681810716</v>
      </c>
      <c r="W24" s="10">
        <f t="shared" si="12"/>
        <v>52.240570677234018</v>
      </c>
      <c r="X24" s="10">
        <f>NPV($D$13,V24:$V$27)*(1+$D$13)^0.5+NPV($D$13,W24:$W$27)-NPV($D$13,U24:$U$27)*(1+$D$13)</f>
        <v>-282.4916094067479</v>
      </c>
      <c r="Y24" s="10">
        <f>NPV($D$13,U24:U$27)*(1+$D$13)</f>
        <v>1103.1162785943739</v>
      </c>
      <c r="Z24" s="10">
        <f t="shared" si="13"/>
        <v>210.69633044532188</v>
      </c>
      <c r="AA24" s="25">
        <f t="shared" si="14"/>
        <v>-71.795278961426021</v>
      </c>
    </row>
    <row r="25" spans="2:32" x14ac:dyDescent="0.2">
      <c r="B25" s="22">
        <v>8</v>
      </c>
      <c r="C25" s="10">
        <f t="shared" si="10"/>
        <v>320.57708828124998</v>
      </c>
      <c r="D25" s="10">
        <f t="shared" si="2"/>
        <v>192.29447786887837</v>
      </c>
      <c r="E25" s="10"/>
      <c r="F25" s="10">
        <f t="shared" si="3"/>
        <v>48.202941027903229</v>
      </c>
      <c r="G25" s="10">
        <f>NPV($D$13,$D25:$D$27)*(1+$D$13)^0.5+NPV($D$13,$F25:$F$27)-NPV($D$13,$C25:$C$27)*(1+$D$13)</f>
        <v>-175.89997001520669</v>
      </c>
      <c r="H25" s="10">
        <f>NPV($D$13,$C25:$C$27)*(1+$D$13)</f>
        <v>790.17527202203803</v>
      </c>
      <c r="I25" s="10">
        <f t="shared" si="4"/>
        <v>150.92428010927421</v>
      </c>
      <c r="J25" s="25">
        <f t="shared" si="5"/>
        <v>-24.975689905932484</v>
      </c>
      <c r="K25" s="10"/>
      <c r="L25" s="22">
        <v>8</v>
      </c>
      <c r="M25" s="26">
        <f t="shared" si="6"/>
        <v>61.230549703946565</v>
      </c>
      <c r="N25" s="26">
        <f t="shared" si="7"/>
        <v>64.292077189143896</v>
      </c>
      <c r="O25" s="10">
        <f t="shared" si="0"/>
        <v>80.079669384468389</v>
      </c>
      <c r="P25" s="10">
        <f t="shared" si="11"/>
        <v>10.031343058813803</v>
      </c>
      <c r="Q25" s="10">
        <f t="shared" si="1"/>
        <v>-25.818935254138438</v>
      </c>
      <c r="R25" s="25">
        <f t="shared" si="8"/>
        <v>64.292077189143754</v>
      </c>
      <c r="S25" s="10"/>
      <c r="T25" s="22">
        <v>8</v>
      </c>
      <c r="U25" s="26">
        <f t="shared" si="15"/>
        <v>313.0340979687499</v>
      </c>
      <c r="V25" s="10">
        <f t="shared" si="9"/>
        <v>187.76990191902237</v>
      </c>
      <c r="W25" s="10">
        <f t="shared" si="12"/>
        <v>47.068754180187845</v>
      </c>
      <c r="X25" s="10">
        <f>NPV($D$13,V25:$V$27)*(1+$D$13)^0.5+NPV($D$13,W25:$W$27)-NPV($D$13,U25:$U$27)*(1+$D$13)</f>
        <v>-171.76114719131931</v>
      </c>
      <c r="Y25" s="10">
        <f>NPV($D$13,U25:U$27)*(1+$D$13)</f>
        <v>771.5829126803427</v>
      </c>
      <c r="Z25" s="10">
        <f t="shared" si="13"/>
        <v>147.37312057729122</v>
      </c>
      <c r="AA25" s="25">
        <f t="shared" si="14"/>
        <v>-24.388026614028092</v>
      </c>
    </row>
    <row r="26" spans="2:32" x14ac:dyDescent="0.2">
      <c r="B26" s="22">
        <v>9</v>
      </c>
      <c r="C26" s="10">
        <f t="shared" si="10"/>
        <v>272.4905250390625</v>
      </c>
      <c r="D26" s="10">
        <f t="shared" si="2"/>
        <v>176.52633068363036</v>
      </c>
      <c r="E26" s="10"/>
      <c r="F26" s="10">
        <f t="shared" si="3"/>
        <v>43.430849866140811</v>
      </c>
      <c r="G26" s="10">
        <f>NPV($D$13,$D26:$D$27)*(1+$D$13)^0.5+NPV($D$13,$F26:$F$27)-NPV($D$13,$C26:$C$27)*(1+$D$13)</f>
        <v>-93.335171577388053</v>
      </c>
      <c r="H26" s="10">
        <f>NPV($D$13,$C26:$C$27)*(1+$D$13)</f>
        <v>493.07809292782736</v>
      </c>
      <c r="I26" s="10">
        <f t="shared" si="4"/>
        <v>94.178416925594007</v>
      </c>
      <c r="J26" s="25">
        <f t="shared" si="5"/>
        <v>0.84324534820595431</v>
      </c>
      <c r="K26" s="10"/>
      <c r="L26" s="22">
        <v>9</v>
      </c>
      <c r="M26" s="26">
        <f t="shared" si="6"/>
        <v>52.045967248354586</v>
      </c>
      <c r="N26" s="26">
        <f t="shared" si="7"/>
        <v>54.64826561077232</v>
      </c>
      <c r="O26" s="10">
        <f t="shared" si="0"/>
        <v>52.533344489291331</v>
      </c>
      <c r="P26" s="10">
        <f t="shared" si="11"/>
        <v>9.3073572619274216</v>
      </c>
      <c r="Q26" s="10">
        <f t="shared" si="1"/>
        <v>-7.192436140446425</v>
      </c>
      <c r="R26" s="25">
        <f t="shared" si="8"/>
        <v>54.648265610772327</v>
      </c>
      <c r="S26" s="10"/>
      <c r="T26" s="22">
        <v>9</v>
      </c>
      <c r="U26" s="26">
        <f t="shared" si="15"/>
        <v>266.07898327343742</v>
      </c>
      <c r="V26" s="10">
        <f t="shared" si="9"/>
        <v>172.37276996166253</v>
      </c>
      <c r="W26" s="10">
        <f t="shared" si="12"/>
        <v>42.408947516349244</v>
      </c>
      <c r="X26" s="10">
        <f>NPV($D$13,V26:$V$27)*(1+$D$13)^0.5+NPV($D$13,W26:$W$27)-NPV($D$13,U26:$U$27)*(1+$D$13)</f>
        <v>-91.139049893214178</v>
      </c>
      <c r="Y26" s="10">
        <f>NPV($D$13,U26:U$27)*(1+$D$13)</f>
        <v>481.47625544717243</v>
      </c>
      <c r="Z26" s="10">
        <f t="shared" si="13"/>
        <v>91.962454174403518</v>
      </c>
      <c r="AA26" s="25">
        <f t="shared" si="14"/>
        <v>0.82340428118934028</v>
      </c>
    </row>
    <row r="27" spans="2:32" x14ac:dyDescent="0.2">
      <c r="B27" s="31">
        <v>10</v>
      </c>
      <c r="C27" s="32">
        <f t="shared" si="10"/>
        <v>231.61694628320313</v>
      </c>
      <c r="D27" s="32">
        <f t="shared" si="2"/>
        <v>162.05117156757268</v>
      </c>
      <c r="E27" s="32"/>
      <c r="F27" s="32">
        <f t="shared" si="3"/>
        <v>39.131195729392871</v>
      </c>
      <c r="G27" s="32">
        <f>NPV($D$13,$D27:$D$27)*(1+$D$13)^0.5+NPV($D$13,$F27:$F$27)-NPV($D$13,$C27:$C$27)*(1+$D$13)</f>
        <v>-36.203390672449018</v>
      </c>
      <c r="H27" s="32">
        <f>NPV($D$13,$C27:$C$27)*(1+$D$13)</f>
        <v>231.61694628320313</v>
      </c>
      <c r="I27" s="32">
        <f t="shared" si="4"/>
        <v>44.239072161101397</v>
      </c>
      <c r="J27" s="33">
        <f t="shared" si="5"/>
        <v>8.0356814886523793</v>
      </c>
      <c r="K27" s="10"/>
      <c r="L27" s="31">
        <v>10</v>
      </c>
      <c r="M27" s="34">
        <f t="shared" si="6"/>
        <v>44.239072161101397</v>
      </c>
      <c r="N27" s="34">
        <f t="shared" si="7"/>
        <v>46.451025769156466</v>
      </c>
      <c r="O27" s="32">
        <f t="shared" si="0"/>
        <v>30.434578986237582</v>
      </c>
      <c r="P27" s="32">
        <f t="shared" si="11"/>
        <v>7.9807652942665257</v>
      </c>
      <c r="Q27" s="32">
        <f t="shared" si="1"/>
        <v>8.0356814886523793</v>
      </c>
      <c r="R27" s="33">
        <f t="shared" si="8"/>
        <v>46.451025769156487</v>
      </c>
      <c r="S27" s="10"/>
      <c r="T27" s="31">
        <v>10</v>
      </c>
      <c r="U27" s="34">
        <f t="shared" si="15"/>
        <v>226.16713578242181</v>
      </c>
      <c r="V27" s="32">
        <f t="shared" si="9"/>
        <v>158.23820282480622</v>
      </c>
      <c r="W27" s="32">
        <f t="shared" si="12"/>
        <v>38.210461712230675</v>
      </c>
      <c r="X27" s="32">
        <f>NPV($D$13,V27:$V$27)*(1+$D$13)^0.5+NPV($D$13,W27:$W$27)-NPV($D$13,U27:$U$27)*(1+$D$13)</f>
        <v>-35.351546186038433</v>
      </c>
      <c r="Y27" s="32">
        <f>NPV($D$13,U27:U$27)*(1+$D$13)</f>
        <v>226.16713578242181</v>
      </c>
      <c r="Z27" s="32">
        <f>$I$15*Y27</f>
        <v>43.198152816134289</v>
      </c>
      <c r="AA27" s="33">
        <f t="shared" si="14"/>
        <v>7.8466066300958559</v>
      </c>
    </row>
    <row r="28" spans="2:32" ht="15" x14ac:dyDescent="0.2">
      <c r="B28" s="51" t="s">
        <v>54</v>
      </c>
    </row>
    <row r="29" spans="2:32" x14ac:dyDescent="0.2">
      <c r="B29" s="3" t="s">
        <v>11</v>
      </c>
      <c r="C29" s="4"/>
      <c r="D29" s="4"/>
      <c r="E29" s="4"/>
      <c r="F29" s="4"/>
      <c r="G29" s="4"/>
      <c r="H29" s="17" t="s">
        <v>12</v>
      </c>
      <c r="I29" s="50">
        <v>0.1910010164239421</v>
      </c>
      <c r="J29" s="5"/>
      <c r="L29" s="19" t="s">
        <v>13</v>
      </c>
      <c r="M29" s="4"/>
      <c r="N29" s="4"/>
      <c r="O29" s="4"/>
      <c r="P29" s="4"/>
      <c r="Q29" s="4"/>
      <c r="R29" s="5"/>
    </row>
    <row r="30" spans="2:32" x14ac:dyDescent="0.2">
      <c r="B30" s="8" t="s">
        <v>15</v>
      </c>
      <c r="C30" s="10">
        <f>NPV($D$13,C32:C41)*(1+$D$13)</f>
        <v>4530.3952528066393</v>
      </c>
      <c r="D30" s="10">
        <f>NPV($D$13,D32:D41)*(1+$D$13)^0.5</f>
        <v>2017.617120958696</v>
      </c>
      <c r="E30" s="10">
        <f>NPV($D$13,E32:E41)*(1+$D$13)</f>
        <v>1200</v>
      </c>
      <c r="F30" s="10">
        <f>NPV($D$13,F32:F41)</f>
        <v>525.26459133547519</v>
      </c>
      <c r="G30" s="7"/>
      <c r="J30" s="9"/>
      <c r="L30" s="8"/>
      <c r="M30" s="7"/>
      <c r="N30" s="7"/>
      <c r="O30" s="7"/>
      <c r="P30" s="7"/>
      <c r="Q30" s="7"/>
      <c r="R30" s="9"/>
    </row>
    <row r="31" spans="2:32" ht="51" x14ac:dyDescent="0.2">
      <c r="B31" s="22" t="s">
        <v>17</v>
      </c>
      <c r="C31" s="23" t="s">
        <v>18</v>
      </c>
      <c r="D31" s="23" t="s">
        <v>19</v>
      </c>
      <c r="E31" s="23" t="s">
        <v>20</v>
      </c>
      <c r="F31" s="23" t="s">
        <v>21</v>
      </c>
      <c r="G31" s="23" t="s">
        <v>22</v>
      </c>
      <c r="H31" s="23" t="s">
        <v>23</v>
      </c>
      <c r="I31" s="23" t="s">
        <v>24</v>
      </c>
      <c r="J31" s="24" t="s">
        <v>25</v>
      </c>
      <c r="L31" s="22" t="s">
        <v>17</v>
      </c>
      <c r="M31" s="23" t="s">
        <v>26</v>
      </c>
      <c r="N31" s="23" t="s">
        <v>27</v>
      </c>
      <c r="O31" s="23" t="s">
        <v>28</v>
      </c>
      <c r="P31" s="23" t="s">
        <v>29</v>
      </c>
      <c r="Q31" s="23" t="s">
        <v>30</v>
      </c>
      <c r="R31" s="24" t="s">
        <v>31</v>
      </c>
    </row>
    <row r="32" spans="2:32" x14ac:dyDescent="0.2">
      <c r="B32" s="22">
        <v>1</v>
      </c>
      <c r="C32" s="10">
        <f>D5</f>
        <v>1000</v>
      </c>
      <c r="D32" s="47">
        <v>400</v>
      </c>
      <c r="E32" s="10">
        <f>D7</f>
        <v>1200</v>
      </c>
      <c r="F32" s="47">
        <v>110</v>
      </c>
      <c r="G32" s="10">
        <f>NPV($D$13,$D$32:$D$41)*(1+$D$13)^0.5+E32+NPV($D$13,$F$32:$F$41)-NPV($D$13,$C$32:$C$41)*(1+$D$13)</f>
        <v>-787.51354051246835</v>
      </c>
      <c r="H32" s="10">
        <f>NPV($D$13,C32:$C$42)*(1+$D$13)</f>
        <v>4530.3952528066393</v>
      </c>
      <c r="I32" s="10">
        <f>-G32</f>
        <v>787.51354051246835</v>
      </c>
      <c r="J32" s="25">
        <f>G32+I32</f>
        <v>0</v>
      </c>
      <c r="K32" s="10"/>
      <c r="L32" s="22">
        <v>1</v>
      </c>
      <c r="M32" s="26">
        <f>$I$29*C32</f>
        <v>191.0010164239421</v>
      </c>
      <c r="N32" s="26">
        <f>M32*(1+$D$13)</f>
        <v>200.55106724513922</v>
      </c>
      <c r="O32" s="10">
        <f t="shared" ref="O32:O41" si="16">C32-D32-E32-F32</f>
        <v>-710</v>
      </c>
      <c r="P32" s="10">
        <f>$D$13*(C32-E32)-D32*((1+$D$13)^0.5-1)+$D$13*J32</f>
        <v>-19.878030638383972</v>
      </c>
      <c r="Q32" s="10">
        <f t="shared" ref="Q32:Q41" si="17">J32-J33</f>
        <v>848.7427124289311</v>
      </c>
      <c r="R32" s="49">
        <f>SUM(O32:Q32)</f>
        <v>118.86468179054714</v>
      </c>
    </row>
    <row r="33" spans="2:18" x14ac:dyDescent="0.2">
      <c r="B33" s="22">
        <v>2</v>
      </c>
      <c r="C33" s="47">
        <f>C32*(1-0.17)</f>
        <v>830</v>
      </c>
      <c r="D33" s="10">
        <f t="shared" ref="D33:D41" si="18">$D$8*C33*(1+$D$9)^(B33-1)</f>
        <v>313.74</v>
      </c>
      <c r="E33" s="10"/>
      <c r="F33" s="10">
        <f t="shared" ref="F33:F41" si="19">$D$10*C33*(1+$D$11)^(B33-1)</f>
        <v>87.98</v>
      </c>
      <c r="G33" s="10">
        <f>NPV($D$13,$D33:$D$41)*(1+$D$13)^0.5+NPV($D$13,$F33:$F$41)-NPV($D$13,$C33:$C$41)*(1+$D$13)</f>
        <v>-1556.7672481764757</v>
      </c>
      <c r="H33" s="10">
        <f>NPV($D$13,C33:$C$42)*(1+$D$13)</f>
        <v>3706.9150154469717</v>
      </c>
      <c r="I33" s="10">
        <f t="shared" ref="I33:I41" si="20">$I$15*H33</f>
        <v>708.02453574754463</v>
      </c>
      <c r="J33" s="25">
        <f t="shared" ref="J33:J41" si="21">G33+I33</f>
        <v>-848.7427124289311</v>
      </c>
      <c r="K33" s="10"/>
      <c r="L33" s="22">
        <v>2</v>
      </c>
      <c r="M33" s="26">
        <f t="shared" ref="M33:M41" si="22">$I$15*C33</f>
        <v>158.53084363187193</v>
      </c>
      <c r="N33" s="26">
        <f t="shared" ref="N33:N41" si="23">M33*(1+$D$13)</f>
        <v>166.45738581346552</v>
      </c>
      <c r="O33" s="10">
        <f t="shared" si="16"/>
        <v>428.28</v>
      </c>
      <c r="P33" s="10">
        <f>$D$13*(C33-E33)-D33*((1+$D$13)^0.5-1)+$D$13*J33</f>
        <v>-8.6849689526630272</v>
      </c>
      <c r="Q33" s="10">
        <f t="shared" si="17"/>
        <v>-253.13764523387169</v>
      </c>
      <c r="R33" s="25">
        <f t="shared" ref="R33:R41" si="24">SUM(O33:Q33)</f>
        <v>166.45738581346524</v>
      </c>
    </row>
    <row r="34" spans="2:18" x14ac:dyDescent="0.2">
      <c r="B34" s="22">
        <v>3</v>
      </c>
      <c r="C34" s="10">
        <f t="shared" ref="C34:C41" si="25">C33*(1-$D$12)</f>
        <v>705.5</v>
      </c>
      <c r="D34" s="10">
        <f t="shared" si="18"/>
        <v>288.01332000000002</v>
      </c>
      <c r="E34" s="10"/>
      <c r="F34" s="10">
        <f t="shared" si="19"/>
        <v>79.269980000000004</v>
      </c>
      <c r="G34" s="10">
        <f>NPV($D$13,$D34:$D$41)*(1+$D$13)^0.5+NPV($D$13,$F34:$F$41)-NPV($D$13,$C34:$C$41)*(1+$D$13)</f>
        <v>-1172.5734439165158</v>
      </c>
      <c r="H34" s="10">
        <f>NPV($D$13,C34:$C$42)*(1+$D$13)</f>
        <v>3020.7607662193204</v>
      </c>
      <c r="I34" s="10">
        <f t="shared" si="20"/>
        <v>576.96837672145637</v>
      </c>
      <c r="J34" s="25">
        <f t="shared" si="21"/>
        <v>-595.60506719505941</v>
      </c>
      <c r="K34" s="10"/>
      <c r="L34" s="22">
        <v>3</v>
      </c>
      <c r="M34" s="26">
        <f t="shared" si="22"/>
        <v>134.75121708709116</v>
      </c>
      <c r="N34" s="26">
        <f t="shared" si="23"/>
        <v>141.48877794144573</v>
      </c>
      <c r="O34" s="10">
        <f t="shared" si="16"/>
        <v>338.21669999999995</v>
      </c>
      <c r="P34" s="10">
        <f t="shared" ref="P34:P41" si="26">$D$13*(C34-E34)-D34*((1+$D$13)^0.5-1)+$D$13*J34</f>
        <v>-1.6177643578096941</v>
      </c>
      <c r="Q34" s="10">
        <f t="shared" si="17"/>
        <v>-195.11015770074334</v>
      </c>
      <c r="R34" s="25">
        <f t="shared" si="24"/>
        <v>141.48877794144693</v>
      </c>
    </row>
    <row r="35" spans="2:18" x14ac:dyDescent="0.2">
      <c r="B35" s="22">
        <v>4</v>
      </c>
      <c r="C35" s="10">
        <f t="shared" si="25"/>
        <v>599.67499999999995</v>
      </c>
      <c r="D35" s="10">
        <f t="shared" si="18"/>
        <v>264.39622775999999</v>
      </c>
      <c r="E35" s="10"/>
      <c r="F35" s="10">
        <f t="shared" si="19"/>
        <v>71.422251980000013</v>
      </c>
      <c r="G35" s="10">
        <f>NPV($D$13,$D35:$D$41)*(1+$D$13)^0.5+NPV($D$13,$F35:$F$41)-NPV($D$13,$C35:$C$41)*(1+$D$13)</f>
        <v>-864.82292711039963</v>
      </c>
      <c r="H35" s="10">
        <f>NPV($D$13,C35:$C$42)*(1+$D$13)</f>
        <v>2431.0238045302872</v>
      </c>
      <c r="I35" s="10">
        <f t="shared" si="20"/>
        <v>464.32801761608357</v>
      </c>
      <c r="J35" s="25">
        <f t="shared" si="21"/>
        <v>-400.49490949431606</v>
      </c>
      <c r="K35" s="10"/>
      <c r="L35" s="22">
        <v>4</v>
      </c>
      <c r="M35" s="26">
        <f t="shared" si="22"/>
        <v>114.53853452402747</v>
      </c>
      <c r="N35" s="26">
        <f t="shared" si="23"/>
        <v>120.26546125022885</v>
      </c>
      <c r="O35" s="10">
        <f t="shared" si="16"/>
        <v>263.85652025999997</v>
      </c>
      <c r="P35" s="10">
        <f t="shared" si="26"/>
        <v>3.429719429068129</v>
      </c>
      <c r="Q35" s="10">
        <f t="shared" si="17"/>
        <v>-147.02077843883978</v>
      </c>
      <c r="R35" s="25">
        <f t="shared" si="24"/>
        <v>120.26546125022833</v>
      </c>
    </row>
    <row r="36" spans="2:18" x14ac:dyDescent="0.2">
      <c r="B36" s="22">
        <v>5</v>
      </c>
      <c r="C36" s="10">
        <f t="shared" si="25"/>
        <v>509.72374999999994</v>
      </c>
      <c r="D36" s="10">
        <f t="shared" si="18"/>
        <v>242.71573708368001</v>
      </c>
      <c r="E36" s="10"/>
      <c r="F36" s="10">
        <f t="shared" si="19"/>
        <v>64.351449033980018</v>
      </c>
      <c r="G36" s="10">
        <f>NPV($D$13,$D36:$D$41)*(1+$D$13)^0.5+NPV($D$13,$F36:$F$41)-NPV($D$13,$C36:$C$41)*(1+$D$13)</f>
        <v>-620.75308830213521</v>
      </c>
      <c r="H36" s="10">
        <f>NPV($D$13,C36:$C$42)*(1+$D$13)</f>
        <v>1922.9162447568017</v>
      </c>
      <c r="I36" s="10">
        <f t="shared" si="20"/>
        <v>367.27895724665893</v>
      </c>
      <c r="J36" s="25">
        <f t="shared" si="21"/>
        <v>-253.47413105547628</v>
      </c>
      <c r="K36" s="10"/>
      <c r="L36" s="22">
        <v>5</v>
      </c>
      <c r="M36" s="26">
        <f t="shared" si="22"/>
        <v>97.357754345423345</v>
      </c>
      <c r="N36" s="26">
        <f t="shared" si="23"/>
        <v>102.22564206269452</v>
      </c>
      <c r="O36" s="10">
        <f t="shared" si="16"/>
        <v>202.65656388233987</v>
      </c>
      <c r="P36" s="10">
        <f t="shared" si="26"/>
        <v>6.8185972288998329</v>
      </c>
      <c r="Q36" s="10">
        <f t="shared" si="17"/>
        <v>-107.24951904854515</v>
      </c>
      <c r="R36" s="25">
        <f t="shared" si="24"/>
        <v>102.22564206269453</v>
      </c>
    </row>
    <row r="37" spans="2:18" x14ac:dyDescent="0.2">
      <c r="B37" s="22">
        <v>6</v>
      </c>
      <c r="C37" s="10">
        <f t="shared" si="25"/>
        <v>433.26518749999991</v>
      </c>
      <c r="D37" s="10">
        <f t="shared" si="18"/>
        <v>222.81304664281825</v>
      </c>
      <c r="E37" s="10"/>
      <c r="F37" s="10">
        <f t="shared" si="19"/>
        <v>57.980655579615991</v>
      </c>
      <c r="G37" s="10">
        <f>NPV($D$13,$D37:$D$41)*(1+$D$13)^0.5+NPV($D$13,$F37:$F$41)-NPV($D$13,$C37:$C$41)*(1+$D$13)</f>
        <v>-429.64187505322843</v>
      </c>
      <c r="H37" s="10">
        <f>NPV($D$13,C37:$C$42)*(1+$D$13)</f>
        <v>1483.8521194946416</v>
      </c>
      <c r="I37" s="10">
        <f t="shared" si="20"/>
        <v>283.41726304629731</v>
      </c>
      <c r="J37" s="25">
        <f t="shared" si="21"/>
        <v>-146.22461200693112</v>
      </c>
      <c r="K37" s="10"/>
      <c r="L37" s="22">
        <v>6</v>
      </c>
      <c r="M37" s="26">
        <f t="shared" si="22"/>
        <v>82.754091193609838</v>
      </c>
      <c r="N37" s="26">
        <f t="shared" si="23"/>
        <v>86.891795753290339</v>
      </c>
      <c r="O37" s="10">
        <f t="shared" si="16"/>
        <v>152.47148527756568</v>
      </c>
      <c r="P37" s="10">
        <f t="shared" si="26"/>
        <v>8.849643521229849</v>
      </c>
      <c r="Q37" s="10">
        <f t="shared" si="17"/>
        <v>-74.429333045505103</v>
      </c>
      <c r="R37" s="25">
        <f t="shared" si="24"/>
        <v>86.89179575329041</v>
      </c>
    </row>
    <row r="38" spans="2:18" x14ac:dyDescent="0.2">
      <c r="B38" s="22">
        <v>7</v>
      </c>
      <c r="C38" s="10">
        <f t="shared" si="25"/>
        <v>368.27540937499992</v>
      </c>
      <c r="D38" s="10">
        <f t="shared" si="18"/>
        <v>204.54237681810716</v>
      </c>
      <c r="E38" s="10"/>
      <c r="F38" s="10">
        <f t="shared" si="19"/>
        <v>52.240570677234018</v>
      </c>
      <c r="G38" s="10">
        <f>NPV($D$13,$D38:$D$41)*(1+$D$13)^0.5+NPV($D$13,$F38:$F$41)-NPV($D$13,$C38:$C$41)*(1+$D$13)</f>
        <v>-282.4916094067479</v>
      </c>
      <c r="H38" s="10">
        <f>NPV($D$13,C38:$C$42)*(1+$D$13)</f>
        <v>1103.1162785943739</v>
      </c>
      <c r="I38" s="10">
        <f t="shared" si="20"/>
        <v>210.69633044532188</v>
      </c>
      <c r="J38" s="25">
        <f t="shared" si="21"/>
        <v>-71.795278961426021</v>
      </c>
      <c r="K38" s="10"/>
      <c r="L38" s="22">
        <v>7</v>
      </c>
      <c r="M38" s="26">
        <f t="shared" si="22"/>
        <v>70.340977514568365</v>
      </c>
      <c r="N38" s="26">
        <f t="shared" si="23"/>
        <v>73.858026390296786</v>
      </c>
      <c r="O38" s="10">
        <f t="shared" si="16"/>
        <v>111.49246187965875</v>
      </c>
      <c r="P38" s="10">
        <f t="shared" si="26"/>
        <v>9.7728168580358421</v>
      </c>
      <c r="Q38" s="10">
        <f t="shared" si="17"/>
        <v>-47.407252347397929</v>
      </c>
      <c r="R38" s="25">
        <f t="shared" si="24"/>
        <v>73.858026390296658</v>
      </c>
    </row>
    <row r="39" spans="2:18" x14ac:dyDescent="0.2">
      <c r="B39" s="22">
        <v>8</v>
      </c>
      <c r="C39" s="10">
        <f t="shared" si="25"/>
        <v>313.0340979687499</v>
      </c>
      <c r="D39" s="10">
        <f t="shared" si="18"/>
        <v>187.76990191902237</v>
      </c>
      <c r="E39" s="10"/>
      <c r="F39" s="10">
        <f t="shared" si="19"/>
        <v>47.068754180187845</v>
      </c>
      <c r="G39" s="10">
        <f>NPV($D$13,$D39:$D$41)*(1+$D$13)^0.5+NPV($D$13,$F39:$F$41)-NPV($D$13,$C39:$C$41)*(1+$D$13)</f>
        <v>-171.76114719131931</v>
      </c>
      <c r="H39" s="10">
        <f>NPV($D$13,C39:$C$42)*(1+$D$13)</f>
        <v>771.5829126803427</v>
      </c>
      <c r="I39" s="10">
        <f t="shared" si="20"/>
        <v>147.37312057729122</v>
      </c>
      <c r="J39" s="25">
        <f t="shared" si="21"/>
        <v>-24.388026614028092</v>
      </c>
      <c r="K39" s="10"/>
      <c r="L39" s="22">
        <v>8</v>
      </c>
      <c r="M39" s="26">
        <f t="shared" si="22"/>
        <v>59.789830887383104</v>
      </c>
      <c r="N39" s="26">
        <f t="shared" si="23"/>
        <v>62.779322431752263</v>
      </c>
      <c r="O39" s="10">
        <f t="shared" si="16"/>
        <v>78.195441869539678</v>
      </c>
      <c r="P39" s="10">
        <f t="shared" si="26"/>
        <v>9.7953114574299498</v>
      </c>
      <c r="Q39" s="10">
        <f t="shared" si="17"/>
        <v>-25.211430895217433</v>
      </c>
      <c r="R39" s="25">
        <f t="shared" si="24"/>
        <v>62.779322431752192</v>
      </c>
    </row>
    <row r="40" spans="2:18" x14ac:dyDescent="0.2">
      <c r="B40" s="22">
        <v>9</v>
      </c>
      <c r="C40" s="10">
        <f t="shared" si="25"/>
        <v>266.07898327343742</v>
      </c>
      <c r="D40" s="10">
        <f t="shared" si="18"/>
        <v>172.37276996166253</v>
      </c>
      <c r="E40" s="10"/>
      <c r="F40" s="10">
        <f t="shared" si="19"/>
        <v>42.408947516349244</v>
      </c>
      <c r="G40" s="10">
        <f>NPV($D$13,$D40:$D$41)*(1+$D$13)^0.5+NPV($D$13,$F40:$F$41)-NPV($D$13,$C40:$C$41)*(1+$D$13)</f>
        <v>-91.139049893214178</v>
      </c>
      <c r="H40" s="10">
        <f>NPV($D$13,C40:$C$42)*(1+$D$13)</f>
        <v>481.47625544717243</v>
      </c>
      <c r="I40" s="10">
        <f t="shared" si="20"/>
        <v>91.962454174403518</v>
      </c>
      <c r="J40" s="25">
        <f t="shared" si="21"/>
        <v>0.82340428118934028</v>
      </c>
      <c r="K40" s="10"/>
      <c r="L40" s="22">
        <v>9</v>
      </c>
      <c r="M40" s="26">
        <f t="shared" si="22"/>
        <v>50.821356254275635</v>
      </c>
      <c r="N40" s="26">
        <f t="shared" si="23"/>
        <v>53.362424066989419</v>
      </c>
      <c r="O40" s="10">
        <f t="shared" si="16"/>
        <v>51.297265795425645</v>
      </c>
      <c r="P40" s="10">
        <f t="shared" si="26"/>
        <v>9.0883606204703007</v>
      </c>
      <c r="Q40" s="10">
        <f t="shared" si="17"/>
        <v>-7.0232023489065156</v>
      </c>
      <c r="R40" s="25">
        <f t="shared" si="24"/>
        <v>53.362424066989426</v>
      </c>
    </row>
    <row r="41" spans="2:18" x14ac:dyDescent="0.2">
      <c r="B41" s="31">
        <v>10</v>
      </c>
      <c r="C41" s="32">
        <f t="shared" si="25"/>
        <v>226.16713578242181</v>
      </c>
      <c r="D41" s="32">
        <f t="shared" si="18"/>
        <v>158.23820282480622</v>
      </c>
      <c r="E41" s="32"/>
      <c r="F41" s="32">
        <f t="shared" si="19"/>
        <v>38.210461712230675</v>
      </c>
      <c r="G41" s="32">
        <f>NPV($D$13,$D41:$D$41)*(1+$D$13)^0.5+NPV($D$13,$F41:$F$41)-NPV($D$13,$C41:$C$41)*(1+$D$13)</f>
        <v>-35.351546186038433</v>
      </c>
      <c r="H41" s="32">
        <f>NPV($D$13,C41:$C$42)*(1+$D$13)</f>
        <v>226.16713578242181</v>
      </c>
      <c r="I41" s="32">
        <f t="shared" si="20"/>
        <v>43.198152816134289</v>
      </c>
      <c r="J41" s="33">
        <f t="shared" si="21"/>
        <v>7.8466066300958559</v>
      </c>
      <c r="K41" s="10"/>
      <c r="L41" s="31">
        <v>10</v>
      </c>
      <c r="M41" s="34">
        <f t="shared" si="22"/>
        <v>43.198152816134289</v>
      </c>
      <c r="N41" s="34">
        <f t="shared" si="23"/>
        <v>45.358060456941004</v>
      </c>
      <c r="O41" s="32">
        <f t="shared" si="16"/>
        <v>29.718471245384912</v>
      </c>
      <c r="P41" s="32">
        <f t="shared" si="26"/>
        <v>7.7929825814602518</v>
      </c>
      <c r="Q41" s="32">
        <f t="shared" si="17"/>
        <v>7.8466066300958559</v>
      </c>
      <c r="R41" s="33">
        <f t="shared" si="24"/>
        <v>45.358060456941018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opLeftCell="A4" workbookViewId="0">
      <selection activeCell="D40" sqref="D40"/>
    </sheetView>
  </sheetViews>
  <sheetFormatPr defaultRowHeight="15" x14ac:dyDescent="0.25"/>
  <cols>
    <col min="5" max="5" width="10.28515625" bestFit="1" customWidth="1"/>
  </cols>
  <sheetData>
    <row r="3" spans="1:5" x14ac:dyDescent="0.25">
      <c r="A3" t="s">
        <v>41</v>
      </c>
    </row>
    <row r="4" spans="1:5" ht="45" x14ac:dyDescent="0.25">
      <c r="A4" s="35" t="s">
        <v>17</v>
      </c>
      <c r="B4" s="35" t="s">
        <v>38</v>
      </c>
      <c r="C4" s="35" t="s">
        <v>19</v>
      </c>
      <c r="D4" s="36" t="s">
        <v>39</v>
      </c>
      <c r="E4" s="36" t="s">
        <v>7</v>
      </c>
    </row>
    <row r="5" spans="1:5" x14ac:dyDescent="0.25">
      <c r="A5" s="39">
        <v>1</v>
      </c>
      <c r="B5" s="40">
        <f>'Assumptions and calculations'!C18</f>
        <v>1000</v>
      </c>
      <c r="C5" s="40">
        <f>'Assumptions and calculations'!D18</f>
        <v>350</v>
      </c>
      <c r="D5" s="40">
        <f>'Assumptions and calculations'!E18</f>
        <v>1200</v>
      </c>
      <c r="E5" s="40">
        <f>'Assumptions and calculations'!F18</f>
        <v>100</v>
      </c>
    </row>
    <row r="6" spans="1:5" x14ac:dyDescent="0.25">
      <c r="A6" s="37">
        <f t="shared" ref="A6:A14" si="0">1+A5</f>
        <v>2</v>
      </c>
      <c r="B6" s="38">
        <f>'Assumptions and calculations'!C19</f>
        <v>850</v>
      </c>
      <c r="C6" s="38">
        <f>'Assumptions and calculations'!D19</f>
        <v>321.3</v>
      </c>
      <c r="D6" s="38">
        <f>'Assumptions and calculations'!E19</f>
        <v>0</v>
      </c>
      <c r="E6" s="38">
        <f>'Assumptions and calculations'!F19</f>
        <v>90.100000000000009</v>
      </c>
    </row>
    <row r="7" spans="1:5" x14ac:dyDescent="0.25">
      <c r="A7" s="39">
        <f t="shared" si="0"/>
        <v>3</v>
      </c>
      <c r="B7" s="40">
        <f>'Assumptions and calculations'!C20</f>
        <v>722.5</v>
      </c>
      <c r="C7" s="40">
        <f>'Assumptions and calculations'!D20</f>
        <v>294.95339999999999</v>
      </c>
      <c r="D7" s="40">
        <f>'Assumptions and calculations'!E20</f>
        <v>0</v>
      </c>
      <c r="E7" s="40">
        <f>'Assumptions and calculations'!F20</f>
        <v>81.18010000000001</v>
      </c>
    </row>
    <row r="8" spans="1:5" x14ac:dyDescent="0.25">
      <c r="A8" s="37">
        <f t="shared" si="0"/>
        <v>4</v>
      </c>
      <c r="B8" s="38">
        <f>'Assumptions and calculations'!C21</f>
        <v>614.125</v>
      </c>
      <c r="C8" s="38">
        <f>'Assumptions and calculations'!D21</f>
        <v>270.76722120000005</v>
      </c>
      <c r="D8" s="38">
        <f>'Assumptions and calculations'!E21</f>
        <v>0</v>
      </c>
      <c r="E8" s="38">
        <f>'Assumptions and calculations'!F21</f>
        <v>73.143270100000024</v>
      </c>
    </row>
    <row r="9" spans="1:5" x14ac:dyDescent="0.25">
      <c r="A9" s="39">
        <f t="shared" si="0"/>
        <v>5</v>
      </c>
      <c r="B9" s="40">
        <f>'Assumptions and calculations'!C22</f>
        <v>522.00625000000002</v>
      </c>
      <c r="C9" s="40">
        <f>'Assumptions and calculations'!D22</f>
        <v>248.56430906160006</v>
      </c>
      <c r="D9" s="40">
        <f>'Assumptions and calculations'!E22</f>
        <v>0</v>
      </c>
      <c r="E9" s="40">
        <f>'Assumptions and calculations'!F22</f>
        <v>65.902086360100014</v>
      </c>
    </row>
    <row r="10" spans="1:5" x14ac:dyDescent="0.25">
      <c r="A10" s="37">
        <f t="shared" si="0"/>
        <v>6</v>
      </c>
      <c r="B10" s="38">
        <f>'Assumptions and calculations'!C23</f>
        <v>443.70531249999999</v>
      </c>
      <c r="C10" s="38">
        <f>'Assumptions and calculations'!D23</f>
        <v>228.18203571854883</v>
      </c>
      <c r="D10" s="38">
        <f>'Assumptions and calculations'!E23</f>
        <v>0</v>
      </c>
      <c r="E10" s="38">
        <f>'Assumptions and calculations'!F23</f>
        <v>59.377779810450122</v>
      </c>
    </row>
    <row r="11" spans="1:5" x14ac:dyDescent="0.25">
      <c r="A11" s="39">
        <f t="shared" si="0"/>
        <v>7</v>
      </c>
      <c r="B11" s="40">
        <f>'Assumptions and calculations'!C24</f>
        <v>377.14951562499999</v>
      </c>
      <c r="C11" s="40">
        <f>'Assumptions and calculations'!D24</f>
        <v>209.47110878962786</v>
      </c>
      <c r="D11" s="40">
        <f>'Assumptions and calculations'!E24</f>
        <v>0</v>
      </c>
      <c r="E11" s="40">
        <f>'Assumptions and calculations'!F24</f>
        <v>53.499379609215559</v>
      </c>
    </row>
    <row r="12" spans="1:5" x14ac:dyDescent="0.25">
      <c r="A12" s="37">
        <f t="shared" si="0"/>
        <v>8</v>
      </c>
      <c r="B12" s="38">
        <f>'Assumptions and calculations'!C25</f>
        <v>320.57708828124998</v>
      </c>
      <c r="C12" s="38">
        <f>'Assumptions and calculations'!D25</f>
        <v>192.29447786887837</v>
      </c>
      <c r="D12" s="38">
        <f>'Assumptions and calculations'!E25</f>
        <v>0</v>
      </c>
      <c r="E12" s="38">
        <f>'Assumptions and calculations'!F25</f>
        <v>48.202941027903229</v>
      </c>
    </row>
    <row r="13" spans="1:5" x14ac:dyDescent="0.25">
      <c r="A13" s="39">
        <f t="shared" si="0"/>
        <v>9</v>
      </c>
      <c r="B13" s="40">
        <f>'Assumptions and calculations'!C26</f>
        <v>272.4905250390625</v>
      </c>
      <c r="C13" s="40">
        <f>'Assumptions and calculations'!D26</f>
        <v>176.52633068363036</v>
      </c>
      <c r="D13" s="40">
        <f>'Assumptions and calculations'!E26</f>
        <v>0</v>
      </c>
      <c r="E13" s="40">
        <f>'Assumptions and calculations'!F26</f>
        <v>43.430849866140811</v>
      </c>
    </row>
    <row r="14" spans="1:5" x14ac:dyDescent="0.25">
      <c r="A14" s="37">
        <f t="shared" si="0"/>
        <v>10</v>
      </c>
      <c r="B14" s="38">
        <f>'Assumptions and calculations'!C27</f>
        <v>231.61694628320313</v>
      </c>
      <c r="C14" s="38">
        <f>'Assumptions and calculations'!D27</f>
        <v>162.05117156757268</v>
      </c>
      <c r="D14" s="38">
        <f>'Assumptions and calculations'!E27</f>
        <v>0</v>
      </c>
      <c r="E14" s="38">
        <f>'Assumptions and calculations'!F27</f>
        <v>39.131195729392871</v>
      </c>
    </row>
    <row r="17" spans="1:5" x14ac:dyDescent="0.25">
      <c r="A17" t="s">
        <v>40</v>
      </c>
    </row>
    <row r="18" spans="1:5" x14ac:dyDescent="0.25">
      <c r="A18" s="46" t="s">
        <v>42</v>
      </c>
      <c r="B18" s="46"/>
      <c r="C18" s="46"/>
      <c r="D18" s="45" t="s">
        <v>45</v>
      </c>
      <c r="E18" s="45"/>
    </row>
    <row r="19" spans="1:5" x14ac:dyDescent="0.25">
      <c r="A19" s="39" t="s">
        <v>44</v>
      </c>
      <c r="B19" s="40"/>
      <c r="C19" s="39"/>
      <c r="D19" s="40">
        <f>'Assumptions and calculations'!H18</f>
        <v>4615.4650179345108</v>
      </c>
      <c r="E19" s="39"/>
    </row>
    <row r="20" spans="1:5" x14ac:dyDescent="0.25">
      <c r="A20" s="37" t="s">
        <v>19</v>
      </c>
      <c r="B20" s="38"/>
      <c r="C20" s="37"/>
      <c r="D20" s="38">
        <f>-NPV('Assumptions and calculations'!D13,'Assumptions and calculations'!D18:D27)*(1+'Assumptions and calculations'!D13)^0.5</f>
        <v>-2008.0331315710112</v>
      </c>
      <c r="E20" s="37"/>
    </row>
    <row r="21" spans="1:5" x14ac:dyDescent="0.25">
      <c r="A21" s="39" t="s">
        <v>39</v>
      </c>
      <c r="B21" s="40"/>
      <c r="C21" s="39"/>
      <c r="D21" s="40">
        <f>-'Assumptions and calculations'!E18</f>
        <v>-1200</v>
      </c>
      <c r="E21" s="39"/>
    </row>
    <row r="22" spans="1:5" x14ac:dyDescent="0.25">
      <c r="A22" s="37" t="s">
        <v>21</v>
      </c>
      <c r="B22" s="38"/>
      <c r="C22" s="37"/>
      <c r="D22" s="38">
        <f>-NPV('Assumptions and calculations'!D13,'Assumptions and calculations'!F18:F27)</f>
        <v>-525.87337666886037</v>
      </c>
      <c r="E22" s="37"/>
    </row>
    <row r="23" spans="1:5" x14ac:dyDescent="0.25">
      <c r="A23" s="39" t="s">
        <v>43</v>
      </c>
      <c r="B23" s="40"/>
      <c r="C23" s="39"/>
      <c r="D23" s="40">
        <f>SUM(D19:E22)</f>
        <v>881.5585096946395</v>
      </c>
      <c r="E23" s="39"/>
    </row>
    <row r="25" spans="1:5" x14ac:dyDescent="0.25">
      <c r="A25" t="s">
        <v>46</v>
      </c>
    </row>
    <row r="26" spans="1:5" x14ac:dyDescent="0.25">
      <c r="A26" s="44" t="s">
        <v>52</v>
      </c>
      <c r="B26" s="44"/>
      <c r="C26" s="44"/>
      <c r="D26" s="43"/>
      <c r="E26" s="43" t="s">
        <v>53</v>
      </c>
    </row>
    <row r="27" spans="1:5" x14ac:dyDescent="0.25">
      <c r="A27" s="39" t="s">
        <v>50</v>
      </c>
      <c r="B27" s="39"/>
      <c r="C27" s="39"/>
      <c r="D27" s="39"/>
      <c r="E27" s="41">
        <f>'Assumptions and calculations'!N18</f>
        <v>200.55106724513922</v>
      </c>
    </row>
    <row r="28" spans="1:5" x14ac:dyDescent="0.25">
      <c r="A28" s="37" t="s">
        <v>51</v>
      </c>
      <c r="B28" s="37"/>
      <c r="C28" s="37"/>
      <c r="D28" s="37"/>
      <c r="E28" s="42">
        <f>(350-400)*(1+'Assumptions and calculations'!D13)^0.5</f>
        <v>-51.234753829797995</v>
      </c>
    </row>
    <row r="29" spans="1:5" x14ac:dyDescent="0.25">
      <c r="A29" s="39" t="s">
        <v>47</v>
      </c>
      <c r="B29" s="39"/>
      <c r="C29" s="39"/>
      <c r="D29" s="39"/>
      <c r="E29" s="41">
        <f>'Assumptions and calculations'!J19-'Assumptions and calculations'!AA19</f>
        <v>-20.451631624794572</v>
      </c>
    </row>
    <row r="30" spans="1:5" x14ac:dyDescent="0.25">
      <c r="A30" s="37" t="s">
        <v>48</v>
      </c>
      <c r="B30" s="37"/>
      <c r="C30" s="37"/>
      <c r="D30" s="37"/>
      <c r="E30" s="42">
        <f>100-110</f>
        <v>-10</v>
      </c>
    </row>
    <row r="31" spans="1:5" x14ac:dyDescent="0.25">
      <c r="A31" s="39" t="s">
        <v>49</v>
      </c>
      <c r="B31" s="39"/>
      <c r="C31" s="39"/>
      <c r="D31" s="39"/>
      <c r="E31" s="41">
        <f>SUM(E27:E30)</f>
        <v>118.86468179054665</v>
      </c>
    </row>
  </sheetData>
  <mergeCells count="2">
    <mergeCell ref="D18:E18"/>
    <mergeCell ref="A18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 and calculations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2019-02-21T04:45:14Z</dcterms:created>
  <dcterms:modified xsi:type="dcterms:W3CDTF">2020-03-22T14:24:08Z</dcterms:modified>
</cp:coreProperties>
</file>