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45" windowWidth="20610" windowHeight="11640" activeTab="1"/>
  </bookViews>
  <sheets>
    <sheet name="Assumptions" sheetId="2" r:id="rId1"/>
    <sheet name="Model" sheetId="3" r:id="rId2"/>
  </sheets>
  <definedNames>
    <definedName name="claim_exp_pc">Assumptions!$B$16</definedName>
    <definedName name="clm_exp_margin">Assumptions!$B$73</definedName>
    <definedName name="clm_margin">Assumptions!$B$71</definedName>
    <definedName name="clm_rate_inc">Assumptions!$B$30</definedName>
    <definedName name="exp_index">Assumptions!$B$25</definedName>
    <definedName name="exp_rate">Assumptions!$A$33:$C$67</definedName>
    <definedName name="inv_income_pa">Assumptions!$B$22</definedName>
    <definedName name="lapse_rate">Assumptions!$A$33:$B$67</definedName>
    <definedName name="num_pol_if">Assumptions!$B$6</definedName>
    <definedName name="pp_exp_margin">Assumptions!$B$72</definedName>
    <definedName name="pp_expense">Assumptions!$B$17</definedName>
    <definedName name="prem_exp">Assumptions!$B$15</definedName>
    <definedName name="prem_if">Assumptions!$B$7</definedName>
    <definedName name="qx">Assumptions!$B$29</definedName>
    <definedName name="ren_comm">Assumptions!$B$14</definedName>
    <definedName name="risk_disc_rate">Assumptions!$B$24</definedName>
    <definedName name="risk_free_rate">Assumptions!$B$23</definedName>
    <definedName name="si_if">Assumptions!$B$8</definedName>
    <definedName name="si_index">Assumptions!$B$21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4" i="3" l="1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AC54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I54" i="3"/>
  <c r="N54" i="3"/>
  <c r="Y54" i="3"/>
  <c r="H54" i="3"/>
  <c r="M54" i="3"/>
  <c r="X54" i="3"/>
  <c r="J54" i="3"/>
  <c r="L54" i="3"/>
  <c r="W54" i="3"/>
  <c r="V54" i="3"/>
  <c r="U54" i="3"/>
  <c r="AC53" i="3"/>
  <c r="I53" i="3"/>
  <c r="N53" i="3"/>
  <c r="Y53" i="3"/>
  <c r="H53" i="3"/>
  <c r="M53" i="3"/>
  <c r="X53" i="3"/>
  <c r="J53" i="3"/>
  <c r="L53" i="3"/>
  <c r="W53" i="3"/>
  <c r="V53" i="3"/>
  <c r="U53" i="3"/>
  <c r="AC52" i="3"/>
  <c r="I52" i="3"/>
  <c r="N52" i="3"/>
  <c r="Y52" i="3"/>
  <c r="H52" i="3"/>
  <c r="M52" i="3"/>
  <c r="X52" i="3"/>
  <c r="J52" i="3"/>
  <c r="L52" i="3"/>
  <c r="W52" i="3"/>
  <c r="V52" i="3"/>
  <c r="U52" i="3"/>
  <c r="AC51" i="3"/>
  <c r="I51" i="3"/>
  <c r="N51" i="3"/>
  <c r="Y51" i="3"/>
  <c r="H51" i="3"/>
  <c r="M51" i="3"/>
  <c r="X51" i="3"/>
  <c r="J51" i="3"/>
  <c r="L51" i="3"/>
  <c r="W51" i="3"/>
  <c r="V51" i="3"/>
  <c r="U51" i="3"/>
  <c r="AC50" i="3"/>
  <c r="I50" i="3"/>
  <c r="N50" i="3"/>
  <c r="Y50" i="3"/>
  <c r="H50" i="3"/>
  <c r="M50" i="3"/>
  <c r="X50" i="3"/>
  <c r="J50" i="3"/>
  <c r="L50" i="3"/>
  <c r="W50" i="3"/>
  <c r="V50" i="3"/>
  <c r="U50" i="3"/>
  <c r="AC49" i="3"/>
  <c r="I49" i="3"/>
  <c r="N49" i="3"/>
  <c r="Y49" i="3"/>
  <c r="H49" i="3"/>
  <c r="M49" i="3"/>
  <c r="X49" i="3"/>
  <c r="J49" i="3"/>
  <c r="L49" i="3"/>
  <c r="W49" i="3"/>
  <c r="V49" i="3"/>
  <c r="U49" i="3"/>
  <c r="AC48" i="3"/>
  <c r="I48" i="3"/>
  <c r="N48" i="3"/>
  <c r="Y48" i="3"/>
  <c r="H48" i="3"/>
  <c r="M48" i="3"/>
  <c r="X48" i="3"/>
  <c r="J48" i="3"/>
  <c r="L48" i="3"/>
  <c r="W48" i="3"/>
  <c r="V48" i="3"/>
  <c r="U48" i="3"/>
  <c r="AC47" i="3"/>
  <c r="I47" i="3"/>
  <c r="N47" i="3"/>
  <c r="Y47" i="3"/>
  <c r="H47" i="3"/>
  <c r="M47" i="3"/>
  <c r="X47" i="3"/>
  <c r="J47" i="3"/>
  <c r="L47" i="3"/>
  <c r="W47" i="3"/>
  <c r="V47" i="3"/>
  <c r="U47" i="3"/>
  <c r="AC46" i="3"/>
  <c r="I46" i="3"/>
  <c r="N46" i="3"/>
  <c r="Y46" i="3"/>
  <c r="H46" i="3"/>
  <c r="M46" i="3"/>
  <c r="X46" i="3"/>
  <c r="J46" i="3"/>
  <c r="L46" i="3"/>
  <c r="W46" i="3"/>
  <c r="V46" i="3"/>
  <c r="U46" i="3"/>
  <c r="AC45" i="3"/>
  <c r="I45" i="3"/>
  <c r="N45" i="3"/>
  <c r="Y45" i="3"/>
  <c r="H45" i="3"/>
  <c r="M45" i="3"/>
  <c r="X45" i="3"/>
  <c r="J45" i="3"/>
  <c r="L45" i="3"/>
  <c r="W45" i="3"/>
  <c r="V45" i="3"/>
  <c r="U45" i="3"/>
  <c r="AC44" i="3"/>
  <c r="I44" i="3"/>
  <c r="N44" i="3"/>
  <c r="Y44" i="3"/>
  <c r="H44" i="3"/>
  <c r="M44" i="3"/>
  <c r="X44" i="3"/>
  <c r="J44" i="3"/>
  <c r="L44" i="3"/>
  <c r="W44" i="3"/>
  <c r="V44" i="3"/>
  <c r="U44" i="3"/>
  <c r="AC43" i="3"/>
  <c r="I43" i="3"/>
  <c r="N43" i="3"/>
  <c r="Y43" i="3"/>
  <c r="H43" i="3"/>
  <c r="M43" i="3"/>
  <c r="X43" i="3"/>
  <c r="J43" i="3"/>
  <c r="L43" i="3"/>
  <c r="W43" i="3"/>
  <c r="V43" i="3"/>
  <c r="U43" i="3"/>
  <c r="AC42" i="3"/>
  <c r="I42" i="3"/>
  <c r="N42" i="3"/>
  <c r="Y42" i="3"/>
  <c r="H42" i="3"/>
  <c r="M42" i="3"/>
  <c r="X42" i="3"/>
  <c r="J42" i="3"/>
  <c r="L42" i="3"/>
  <c r="W42" i="3"/>
  <c r="V42" i="3"/>
  <c r="U42" i="3"/>
  <c r="AC41" i="3"/>
  <c r="I41" i="3"/>
  <c r="N41" i="3"/>
  <c r="Y41" i="3"/>
  <c r="H41" i="3"/>
  <c r="M41" i="3"/>
  <c r="X41" i="3"/>
  <c r="J41" i="3"/>
  <c r="L41" i="3"/>
  <c r="W41" i="3"/>
  <c r="V41" i="3"/>
  <c r="U41" i="3"/>
  <c r="AC40" i="3"/>
  <c r="I40" i="3"/>
  <c r="N40" i="3"/>
  <c r="Y40" i="3"/>
  <c r="H40" i="3"/>
  <c r="M40" i="3"/>
  <c r="X40" i="3"/>
  <c r="J40" i="3"/>
  <c r="L40" i="3"/>
  <c r="W40" i="3"/>
  <c r="V40" i="3"/>
  <c r="U40" i="3"/>
  <c r="AC39" i="3"/>
  <c r="I39" i="3"/>
  <c r="N39" i="3"/>
  <c r="Y39" i="3"/>
  <c r="H39" i="3"/>
  <c r="M39" i="3"/>
  <c r="X39" i="3"/>
  <c r="J39" i="3"/>
  <c r="L39" i="3"/>
  <c r="W39" i="3"/>
  <c r="V39" i="3"/>
  <c r="U39" i="3"/>
  <c r="AC38" i="3"/>
  <c r="I38" i="3"/>
  <c r="N38" i="3"/>
  <c r="Y38" i="3"/>
  <c r="H38" i="3"/>
  <c r="M38" i="3"/>
  <c r="X38" i="3"/>
  <c r="J38" i="3"/>
  <c r="L38" i="3"/>
  <c r="W38" i="3"/>
  <c r="V38" i="3"/>
  <c r="U38" i="3"/>
  <c r="AC37" i="3"/>
  <c r="I37" i="3"/>
  <c r="N37" i="3"/>
  <c r="Y37" i="3"/>
  <c r="H37" i="3"/>
  <c r="M37" i="3"/>
  <c r="X37" i="3"/>
  <c r="J37" i="3"/>
  <c r="L37" i="3"/>
  <c r="W37" i="3"/>
  <c r="V37" i="3"/>
  <c r="U37" i="3"/>
  <c r="AC36" i="3"/>
  <c r="I36" i="3"/>
  <c r="N36" i="3"/>
  <c r="Y36" i="3"/>
  <c r="H36" i="3"/>
  <c r="M36" i="3"/>
  <c r="X36" i="3"/>
  <c r="J36" i="3"/>
  <c r="L36" i="3"/>
  <c r="W36" i="3"/>
  <c r="V36" i="3"/>
  <c r="U36" i="3"/>
  <c r="AC35" i="3"/>
  <c r="I35" i="3"/>
  <c r="N35" i="3"/>
  <c r="Y35" i="3"/>
  <c r="H35" i="3"/>
  <c r="M35" i="3"/>
  <c r="X35" i="3"/>
  <c r="J35" i="3"/>
  <c r="L35" i="3"/>
  <c r="W35" i="3"/>
  <c r="V35" i="3"/>
  <c r="U35" i="3"/>
  <c r="AC34" i="3"/>
  <c r="I34" i="3"/>
  <c r="N34" i="3"/>
  <c r="Y34" i="3"/>
  <c r="H34" i="3"/>
  <c r="M34" i="3"/>
  <c r="X34" i="3"/>
  <c r="J34" i="3"/>
  <c r="L34" i="3"/>
  <c r="W34" i="3"/>
  <c r="V34" i="3"/>
  <c r="U34" i="3"/>
  <c r="AC33" i="3"/>
  <c r="I33" i="3"/>
  <c r="N33" i="3"/>
  <c r="Y33" i="3"/>
  <c r="H33" i="3"/>
  <c r="M33" i="3"/>
  <c r="X33" i="3"/>
  <c r="J33" i="3"/>
  <c r="L33" i="3"/>
  <c r="W33" i="3"/>
  <c r="V33" i="3"/>
  <c r="U33" i="3"/>
  <c r="AC32" i="3"/>
  <c r="I32" i="3"/>
  <c r="N32" i="3"/>
  <c r="Y32" i="3"/>
  <c r="H32" i="3"/>
  <c r="M32" i="3"/>
  <c r="X32" i="3"/>
  <c r="J32" i="3"/>
  <c r="L32" i="3"/>
  <c r="W32" i="3"/>
  <c r="V32" i="3"/>
  <c r="U32" i="3"/>
  <c r="AC31" i="3"/>
  <c r="I31" i="3"/>
  <c r="N31" i="3"/>
  <c r="Y31" i="3"/>
  <c r="H31" i="3"/>
  <c r="M31" i="3"/>
  <c r="X31" i="3"/>
  <c r="J31" i="3"/>
  <c r="L31" i="3"/>
  <c r="W31" i="3"/>
  <c r="V31" i="3"/>
  <c r="U31" i="3"/>
  <c r="AC30" i="3"/>
  <c r="I30" i="3"/>
  <c r="N30" i="3"/>
  <c r="Y30" i="3"/>
  <c r="H30" i="3"/>
  <c r="M30" i="3"/>
  <c r="X30" i="3"/>
  <c r="J30" i="3"/>
  <c r="L30" i="3"/>
  <c r="W30" i="3"/>
  <c r="V30" i="3"/>
  <c r="U30" i="3"/>
  <c r="AC29" i="3"/>
  <c r="I29" i="3"/>
  <c r="N29" i="3"/>
  <c r="Y29" i="3"/>
  <c r="H29" i="3"/>
  <c r="M29" i="3"/>
  <c r="X29" i="3"/>
  <c r="J29" i="3"/>
  <c r="L29" i="3"/>
  <c r="W29" i="3"/>
  <c r="V29" i="3"/>
  <c r="U29" i="3"/>
  <c r="AC28" i="3"/>
  <c r="I28" i="3"/>
  <c r="N28" i="3"/>
  <c r="Y28" i="3"/>
  <c r="H28" i="3"/>
  <c r="M28" i="3"/>
  <c r="X28" i="3"/>
  <c r="J28" i="3"/>
  <c r="L28" i="3"/>
  <c r="W28" i="3"/>
  <c r="V28" i="3"/>
  <c r="U28" i="3"/>
  <c r="AC27" i="3"/>
  <c r="I27" i="3"/>
  <c r="N27" i="3"/>
  <c r="Y27" i="3"/>
  <c r="H27" i="3"/>
  <c r="M27" i="3"/>
  <c r="X27" i="3"/>
  <c r="J27" i="3"/>
  <c r="L27" i="3"/>
  <c r="W27" i="3"/>
  <c r="V27" i="3"/>
  <c r="U27" i="3"/>
  <c r="AC26" i="3"/>
  <c r="I26" i="3"/>
  <c r="N26" i="3"/>
  <c r="Y26" i="3"/>
  <c r="H26" i="3"/>
  <c r="M26" i="3"/>
  <c r="X26" i="3"/>
  <c r="J26" i="3"/>
  <c r="L26" i="3"/>
  <c r="W26" i="3"/>
  <c r="V26" i="3"/>
  <c r="U26" i="3"/>
  <c r="AC25" i="3"/>
  <c r="I25" i="3"/>
  <c r="N25" i="3"/>
  <c r="Y25" i="3"/>
  <c r="H25" i="3"/>
  <c r="M25" i="3"/>
  <c r="X25" i="3"/>
  <c r="J25" i="3"/>
  <c r="L25" i="3"/>
  <c r="W25" i="3"/>
  <c r="V25" i="3"/>
  <c r="U25" i="3"/>
  <c r="AC24" i="3"/>
  <c r="I24" i="3"/>
  <c r="N24" i="3"/>
  <c r="Y24" i="3"/>
  <c r="H24" i="3"/>
  <c r="M24" i="3"/>
  <c r="X24" i="3"/>
  <c r="J24" i="3"/>
  <c r="L24" i="3"/>
  <c r="W24" i="3"/>
  <c r="V24" i="3"/>
  <c r="U24" i="3"/>
  <c r="AC23" i="3"/>
  <c r="I23" i="3"/>
  <c r="N23" i="3"/>
  <c r="Y23" i="3"/>
  <c r="H23" i="3"/>
  <c r="M23" i="3"/>
  <c r="X23" i="3"/>
  <c r="J23" i="3"/>
  <c r="L23" i="3"/>
  <c r="W23" i="3"/>
  <c r="V23" i="3"/>
  <c r="U23" i="3"/>
  <c r="AC22" i="3"/>
  <c r="I22" i="3"/>
  <c r="N22" i="3"/>
  <c r="Y22" i="3"/>
  <c r="H22" i="3"/>
  <c r="M22" i="3"/>
  <c r="X22" i="3"/>
  <c r="J22" i="3"/>
  <c r="L22" i="3"/>
  <c r="W22" i="3"/>
  <c r="V22" i="3"/>
  <c r="U22" i="3"/>
  <c r="AC21" i="3"/>
  <c r="I21" i="3"/>
  <c r="N21" i="3"/>
  <c r="Y21" i="3"/>
  <c r="H21" i="3"/>
  <c r="M21" i="3"/>
  <c r="X21" i="3"/>
  <c r="J21" i="3"/>
  <c r="L21" i="3"/>
  <c r="W21" i="3"/>
  <c r="V21" i="3"/>
  <c r="U21" i="3"/>
  <c r="AC20" i="3"/>
  <c r="Y20" i="3"/>
  <c r="X20" i="3"/>
  <c r="W20" i="3"/>
  <c r="V20" i="3"/>
  <c r="U20" i="3"/>
  <c r="AC19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I20" i="3"/>
  <c r="M20" i="3"/>
  <c r="L20" i="3"/>
  <c r="C11" i="3"/>
  <c r="C10" i="3"/>
  <c r="J19" i="3"/>
  <c r="I19" i="3"/>
  <c r="H19" i="3"/>
  <c r="A21" i="3"/>
  <c r="B34" i="2"/>
  <c r="A22" i="3"/>
  <c r="B35" i="2"/>
  <c r="A23" i="3"/>
  <c r="B36" i="2"/>
  <c r="A24" i="3"/>
  <c r="B37" i="2"/>
  <c r="A25" i="3"/>
  <c r="B38" i="2"/>
  <c r="A26" i="3"/>
  <c r="B39" i="2"/>
  <c r="A27" i="3"/>
  <c r="B40" i="2"/>
  <c r="A28" i="3"/>
  <c r="B41" i="2"/>
  <c r="A29" i="3"/>
  <c r="B42" i="2"/>
  <c r="A30" i="3"/>
  <c r="B43" i="2"/>
  <c r="A31" i="3"/>
  <c r="B44" i="2"/>
  <c r="A32" i="3"/>
  <c r="B45" i="2"/>
  <c r="A33" i="3"/>
  <c r="B46" i="2"/>
  <c r="A34" i="3"/>
  <c r="B47" i="2"/>
  <c r="A35" i="3"/>
  <c r="B48" i="2"/>
  <c r="A36" i="3"/>
  <c r="B49" i="2"/>
  <c r="A37" i="3"/>
  <c r="B50" i="2"/>
  <c r="A38" i="3"/>
  <c r="B51" i="2"/>
  <c r="A39" i="3"/>
  <c r="B52" i="2"/>
  <c r="A40" i="3"/>
  <c r="B53" i="2"/>
  <c r="A41" i="3"/>
  <c r="B54" i="2"/>
  <c r="A42" i="3"/>
  <c r="B55" i="2"/>
  <c r="A43" i="3"/>
  <c r="B56" i="2"/>
  <c r="A44" i="3"/>
  <c r="B57" i="2"/>
  <c r="A45" i="3"/>
  <c r="B58" i="2"/>
  <c r="A46" i="3"/>
  <c r="B59" i="2"/>
  <c r="A47" i="3"/>
  <c r="B60" i="2"/>
  <c r="A48" i="3"/>
  <c r="B61" i="2"/>
  <c r="A49" i="3"/>
  <c r="B62" i="2"/>
  <c r="A50" i="3"/>
  <c r="B63" i="2"/>
  <c r="A51" i="3"/>
  <c r="B64" i="2"/>
  <c r="A52" i="3"/>
  <c r="B65" i="2"/>
  <c r="A53" i="3"/>
  <c r="B66" i="2"/>
  <c r="A54" i="3"/>
  <c r="N20" i="3"/>
  <c r="H20" i="3"/>
  <c r="J20" i="3"/>
  <c r="AG54" i="3"/>
  <c r="AF54" i="3"/>
  <c r="Z54" i="3"/>
  <c r="Q54" i="3"/>
  <c r="R54" i="3"/>
  <c r="F54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AG53" i="3"/>
  <c r="AF53" i="3"/>
  <c r="Z53" i="3"/>
  <c r="Q53" i="3"/>
  <c r="R53" i="3"/>
  <c r="AG52" i="3"/>
  <c r="AF52" i="3"/>
  <c r="Z52" i="3"/>
  <c r="Q52" i="3"/>
  <c r="R52" i="3"/>
  <c r="AG51" i="3"/>
  <c r="AF51" i="3"/>
  <c r="Z51" i="3"/>
  <c r="Q51" i="3"/>
  <c r="R51" i="3"/>
  <c r="AG50" i="3"/>
  <c r="AF50" i="3"/>
  <c r="Z50" i="3"/>
  <c r="Q50" i="3"/>
  <c r="R50" i="3"/>
  <c r="AG49" i="3"/>
  <c r="AF49" i="3"/>
  <c r="Z49" i="3"/>
  <c r="Q49" i="3"/>
  <c r="R49" i="3"/>
  <c r="AG48" i="3"/>
  <c r="AF48" i="3"/>
  <c r="Z48" i="3"/>
  <c r="Q48" i="3"/>
  <c r="R48" i="3"/>
  <c r="AG47" i="3"/>
  <c r="AF47" i="3"/>
  <c r="Z47" i="3"/>
  <c r="Q47" i="3"/>
  <c r="R47" i="3"/>
  <c r="AG46" i="3"/>
  <c r="AF46" i="3"/>
  <c r="Z46" i="3"/>
  <c r="Q46" i="3"/>
  <c r="R46" i="3"/>
  <c r="AG45" i="3"/>
  <c r="AF45" i="3"/>
  <c r="Z45" i="3"/>
  <c r="Q45" i="3"/>
  <c r="R45" i="3"/>
  <c r="AG44" i="3"/>
  <c r="AF44" i="3"/>
  <c r="Z44" i="3"/>
  <c r="Q44" i="3"/>
  <c r="R44" i="3"/>
  <c r="AG43" i="3"/>
  <c r="AF43" i="3"/>
  <c r="Z43" i="3"/>
  <c r="Q43" i="3"/>
  <c r="R43" i="3"/>
  <c r="AG42" i="3"/>
  <c r="AF42" i="3"/>
  <c r="Z42" i="3"/>
  <c r="Q42" i="3"/>
  <c r="R42" i="3"/>
  <c r="AG41" i="3"/>
  <c r="AF41" i="3"/>
  <c r="Z41" i="3"/>
  <c r="Q41" i="3"/>
  <c r="R41" i="3"/>
  <c r="AG40" i="3"/>
  <c r="AF40" i="3"/>
  <c r="Z40" i="3"/>
  <c r="Q40" i="3"/>
  <c r="R40" i="3"/>
  <c r="AG39" i="3"/>
  <c r="AF39" i="3"/>
  <c r="Z39" i="3"/>
  <c r="Q39" i="3"/>
  <c r="R39" i="3"/>
  <c r="AG38" i="3"/>
  <c r="AF38" i="3"/>
  <c r="Z38" i="3"/>
  <c r="Q38" i="3"/>
  <c r="R38" i="3"/>
  <c r="AG37" i="3"/>
  <c r="AF37" i="3"/>
  <c r="Z37" i="3"/>
  <c r="Q37" i="3"/>
  <c r="R37" i="3"/>
  <c r="AG36" i="3"/>
  <c r="AF36" i="3"/>
  <c r="Z36" i="3"/>
  <c r="Q36" i="3"/>
  <c r="R36" i="3"/>
  <c r="AG35" i="3"/>
  <c r="AF35" i="3"/>
  <c r="Z35" i="3"/>
  <c r="Q35" i="3"/>
  <c r="R35" i="3"/>
  <c r="AG34" i="3"/>
  <c r="AF34" i="3"/>
  <c r="Z34" i="3"/>
  <c r="Q34" i="3"/>
  <c r="R34" i="3"/>
  <c r="AG33" i="3"/>
  <c r="AF33" i="3"/>
  <c r="Z33" i="3"/>
  <c r="Q33" i="3"/>
  <c r="R33" i="3"/>
  <c r="AG32" i="3"/>
  <c r="AF32" i="3"/>
  <c r="Z32" i="3"/>
  <c r="Q32" i="3"/>
  <c r="R32" i="3"/>
  <c r="AG31" i="3"/>
  <c r="AF31" i="3"/>
  <c r="Z31" i="3"/>
  <c r="Q31" i="3"/>
  <c r="R31" i="3"/>
  <c r="AG30" i="3"/>
  <c r="AF30" i="3"/>
  <c r="Z30" i="3"/>
  <c r="Q30" i="3"/>
  <c r="R30" i="3"/>
  <c r="AG29" i="3"/>
  <c r="AF29" i="3"/>
  <c r="Z29" i="3"/>
  <c r="Q29" i="3"/>
  <c r="R29" i="3"/>
  <c r="AG28" i="3"/>
  <c r="AF28" i="3"/>
  <c r="Z28" i="3"/>
  <c r="Q28" i="3"/>
  <c r="R28" i="3"/>
  <c r="AG27" i="3"/>
  <c r="AF27" i="3"/>
  <c r="Z27" i="3"/>
  <c r="Q27" i="3"/>
  <c r="R27" i="3"/>
  <c r="AG26" i="3"/>
  <c r="AF26" i="3"/>
  <c r="Z26" i="3"/>
  <c r="Q26" i="3"/>
  <c r="R26" i="3"/>
  <c r="AG25" i="3"/>
  <c r="AF25" i="3"/>
  <c r="Z25" i="3"/>
  <c r="Q25" i="3"/>
  <c r="R25" i="3"/>
  <c r="AG24" i="3"/>
  <c r="AF24" i="3"/>
  <c r="Z24" i="3"/>
  <c r="Q24" i="3"/>
  <c r="R24" i="3"/>
  <c r="AG23" i="3"/>
  <c r="AF23" i="3"/>
  <c r="Z23" i="3"/>
  <c r="Q23" i="3"/>
  <c r="R23" i="3"/>
  <c r="AG22" i="3"/>
  <c r="AF22" i="3"/>
  <c r="Z22" i="3"/>
  <c r="Q22" i="3"/>
  <c r="R22" i="3"/>
  <c r="AG21" i="3"/>
  <c r="AF21" i="3"/>
  <c r="Z21" i="3"/>
  <c r="Q21" i="3"/>
  <c r="R21" i="3"/>
  <c r="AG20" i="3"/>
  <c r="AF20" i="3"/>
  <c r="Z20" i="3"/>
  <c r="Q20" i="3"/>
  <c r="R20" i="3"/>
  <c r="AF19" i="3"/>
  <c r="AG19" i="3"/>
  <c r="R14" i="3"/>
  <c r="P14" i="3"/>
  <c r="O14" i="3"/>
  <c r="N14" i="3"/>
  <c r="M14" i="3"/>
  <c r="L14" i="3"/>
  <c r="K14" i="3"/>
  <c r="J14" i="3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B10" i="2"/>
</calcChain>
</file>

<file path=xl/sharedStrings.xml><?xml version="1.0" encoding="utf-8"?>
<sst xmlns="http://schemas.openxmlformats.org/spreadsheetml/2006/main" count="88" uniqueCount="72">
  <si>
    <t>Commission</t>
  </si>
  <si>
    <t>Claims</t>
  </si>
  <si>
    <t>Year</t>
  </si>
  <si>
    <t>Expense Indexation (pa)</t>
  </si>
  <si>
    <t>Investment Income (pa)</t>
  </si>
  <si>
    <t>Annual Claim Rate Increase</t>
  </si>
  <si>
    <t>Risk Discount Rate</t>
  </si>
  <si>
    <t>Working</t>
  </si>
  <si>
    <t>Surplus Arising</t>
  </si>
  <si>
    <t>Claim Rate</t>
  </si>
  <si>
    <t>Lapse Rate</t>
  </si>
  <si>
    <t>Survivorship</t>
  </si>
  <si>
    <t>BOY</t>
  </si>
  <si>
    <t>EOY</t>
  </si>
  <si>
    <t>Maturity/
Expiry
 Rate</t>
  </si>
  <si>
    <t>Calendar
year</t>
  </si>
  <si>
    <t>Projection
Year</t>
  </si>
  <si>
    <t>Renewal Commission</t>
  </si>
  <si>
    <t>Premium Expense</t>
  </si>
  <si>
    <t>Premium
Expense</t>
  </si>
  <si>
    <t>Per Policy Expense</t>
  </si>
  <si>
    <t>Inforce Premium</t>
  </si>
  <si>
    <t>Policy Liability</t>
  </si>
  <si>
    <t>Risk Free Discount Rate</t>
  </si>
  <si>
    <t>NPV
Premium</t>
  </si>
  <si>
    <t>Planned
Profit</t>
  </si>
  <si>
    <t>Interest</t>
  </si>
  <si>
    <t>Capital
Release</t>
  </si>
  <si>
    <t>Claim
Expense</t>
  </si>
  <si>
    <t>Number of
Policies</t>
  </si>
  <si>
    <t>Sum
Insured</t>
  </si>
  <si>
    <t>Premium</t>
  </si>
  <si>
    <t>Decrements - Working</t>
  </si>
  <si>
    <t>Policy
Expense</t>
  </si>
  <si>
    <t>NPV</t>
  </si>
  <si>
    <t>Maturity/
Expiry
Rate</t>
  </si>
  <si>
    <t>VIF</t>
  </si>
  <si>
    <t>Net Present Values</t>
  </si>
  <si>
    <t>NPV
Commission</t>
  </si>
  <si>
    <t>NPV
Premium
Expense</t>
  </si>
  <si>
    <t>NPV
Policy
Expense</t>
  </si>
  <si>
    <t>NPV
Claims</t>
  </si>
  <si>
    <t>NPV
Claim
Expense</t>
  </si>
  <si>
    <t>Policy
Liability</t>
  </si>
  <si>
    <t>Cashflows</t>
  </si>
  <si>
    <t>N/A</t>
  </si>
  <si>
    <t>Results</t>
  </si>
  <si>
    <t>Calculations &amp; Results</t>
  </si>
  <si>
    <t>Lapse
Rate</t>
  </si>
  <si>
    <t>Discontinuance Rates</t>
  </si>
  <si>
    <t>Economic Assumptions</t>
  </si>
  <si>
    <t>Capital Flag (Y/N)</t>
  </si>
  <si>
    <t>N</t>
  </si>
  <si>
    <t>2015 Claim Rate (qx)</t>
  </si>
  <si>
    <t>Expense Assumptions</t>
  </si>
  <si>
    <t>of premium</t>
  </si>
  <si>
    <t>of claims</t>
  </si>
  <si>
    <t>Policy Data @ 31/12/2014</t>
  </si>
  <si>
    <t>per policy</t>
  </si>
  <si>
    <t>Capital Margins</t>
  </si>
  <si>
    <t>Calculation Flags</t>
  </si>
  <si>
    <t>Claims Margin</t>
  </si>
  <si>
    <t>Per Policy Expense Margin</t>
  </si>
  <si>
    <t>Claim Expense Margins</t>
  </si>
  <si>
    <t>Assumptions &amp; Policy Data</t>
  </si>
  <si>
    <t>NPV
Profit Margin</t>
  </si>
  <si>
    <t>Discount Rates</t>
  </si>
  <si>
    <t>Capital
 Required</t>
  </si>
  <si>
    <t>Claim Expense</t>
  </si>
  <si>
    <t>Inforce Sum Insured</t>
  </si>
  <si>
    <t>Number of policies</t>
  </si>
  <si>
    <t>Guaranteed Sum Insured Indexation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</si>
</sst>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164" formatCode="0.0%"/>
    <numFmt numFmtId="165" formatCode="0.00000000"/>
    <numFmt numFmtId="166" formatCode="#,##0;\(#,##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33CC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sz val="10"/>
      <color rgb="FF0099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4" fontId="3" fillId="0" borderId="0" xfId="0" applyNumberFormat="1" applyFont="1"/>
    <xf numFmtId="166" fontId="6" fillId="0" borderId="0" xfId="0" applyNumberFormat="1" applyFont="1" applyAlignment="1">
      <alignment horizontal="center" vertical="center"/>
    </xf>
    <xf numFmtId="166" fontId="3" fillId="0" borderId="0" xfId="0" applyNumberFormat="1" applyFont="1"/>
    <xf numFmtId="166" fontId="6" fillId="0" borderId="0" xfId="0" applyNumberFormat="1" applyFont="1" applyAlignment="1">
      <alignment horizontal="center"/>
    </xf>
    <xf numFmtId="0" fontId="3" fillId="0" borderId="0" xfId="0" applyFont="1" applyFill="1" applyBorder="1"/>
    <xf numFmtId="10" fontId="6" fillId="0" borderId="0" xfId="1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9" fontId="3" fillId="0" borderId="0" xfId="0" applyNumberFormat="1" applyFont="1" applyBorder="1" applyAlignment="1"/>
    <xf numFmtId="0" fontId="3" fillId="0" borderId="0" xfId="0" applyFont="1" applyBorder="1" applyAlignment="1">
      <alignment vertical="center"/>
    </xf>
    <xf numFmtId="10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9" fontId="3" fillId="0" borderId="0" xfId="0" applyNumberFormat="1" applyFont="1"/>
    <xf numFmtId="0" fontId="7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0" fontId="3" fillId="0" borderId="2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/>
    <xf numFmtId="0" fontId="4" fillId="0" borderId="3" xfId="0" applyFont="1" applyBorder="1" applyAlignment="1"/>
    <xf numFmtId="0" fontId="4" fillId="0" borderId="0" xfId="0" applyFont="1" applyAlignment="1">
      <alignment horizontal="center"/>
    </xf>
    <xf numFmtId="0" fontId="4" fillId="0" borderId="4" xfId="0" applyFont="1" applyBorder="1" applyAlignme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8" fontId="3" fillId="0" borderId="0" xfId="0" applyNumberFormat="1" applyFont="1"/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3" fontId="7" fillId="0" borderId="0" xfId="0" applyNumberFormat="1" applyFont="1"/>
    <xf numFmtId="9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33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workbookViewId="0">
      <selection activeCell="B14" sqref="B14"/>
    </sheetView>
  </sheetViews>
  <sheetFormatPr defaultColWidth="8.85546875" defaultRowHeight="12.75" x14ac:dyDescent="0.2"/>
  <cols>
    <col min="1" max="1" width="37.85546875" style="2" bestFit="1" customWidth="1"/>
    <col min="2" max="3" width="14.5703125" style="2" customWidth="1"/>
    <col min="4" max="6" width="12.140625" style="2" customWidth="1"/>
    <col min="7" max="16384" width="8.85546875" style="2"/>
  </cols>
  <sheetData>
    <row r="2" spans="1:3" s="24" customFormat="1" ht="18" x14ac:dyDescent="0.4">
      <c r="A2" s="1" t="s">
        <v>64</v>
      </c>
    </row>
    <row r="4" spans="1:3" ht="12.6" x14ac:dyDescent="0.25">
      <c r="A4" s="3" t="s">
        <v>57</v>
      </c>
      <c r="B4" s="4"/>
    </row>
    <row r="6" spans="1:3" ht="12.6" x14ac:dyDescent="0.25">
      <c r="A6" s="2" t="s">
        <v>70</v>
      </c>
      <c r="B6" s="5">
        <v>100000</v>
      </c>
    </row>
    <row r="7" spans="1:3" ht="12.6" x14ac:dyDescent="0.25">
      <c r="A7" s="2" t="s">
        <v>21</v>
      </c>
      <c r="B7" s="5">
        <v>222750000</v>
      </c>
    </row>
    <row r="8" spans="1:3" ht="12.6" x14ac:dyDescent="0.25">
      <c r="A8" s="2" t="s">
        <v>69</v>
      </c>
      <c r="B8" s="5">
        <v>45000000000</v>
      </c>
    </row>
    <row r="9" spans="1:3" ht="12.6" x14ac:dyDescent="0.25">
      <c r="B9" s="6"/>
    </row>
    <row r="10" spans="1:3" ht="12.6" x14ac:dyDescent="0.25">
      <c r="A10" s="2" t="s">
        <v>22</v>
      </c>
      <c r="B10" s="7">
        <f>-185695000</f>
        <v>-185695000</v>
      </c>
    </row>
    <row r="12" spans="1:3" ht="12.6" x14ac:dyDescent="0.25">
      <c r="A12" s="3" t="s">
        <v>54</v>
      </c>
    </row>
    <row r="14" spans="1:3" ht="12.6" x14ac:dyDescent="0.25">
      <c r="A14" s="8" t="s">
        <v>17</v>
      </c>
      <c r="B14" s="9">
        <v>0.25</v>
      </c>
      <c r="C14" s="2" t="s">
        <v>55</v>
      </c>
    </row>
    <row r="15" spans="1:3" ht="12.6" x14ac:dyDescent="0.25">
      <c r="A15" s="8" t="s">
        <v>18</v>
      </c>
      <c r="B15" s="9">
        <v>1.4999999999999999E-2</v>
      </c>
      <c r="C15" s="2" t="s">
        <v>55</v>
      </c>
    </row>
    <row r="16" spans="1:3" ht="12.6" x14ac:dyDescent="0.25">
      <c r="A16" s="8" t="s">
        <v>68</v>
      </c>
      <c r="B16" s="9">
        <v>1.4999999999999999E-2</v>
      </c>
      <c r="C16" s="2" t="s">
        <v>56</v>
      </c>
    </row>
    <row r="17" spans="1:3" ht="12.6" x14ac:dyDescent="0.25">
      <c r="A17" s="8" t="s">
        <v>20</v>
      </c>
      <c r="B17" s="10">
        <v>120</v>
      </c>
      <c r="C17" s="2" t="s">
        <v>58</v>
      </c>
    </row>
    <row r="19" spans="1:3" ht="12.6" x14ac:dyDescent="0.25">
      <c r="A19" s="3" t="s">
        <v>50</v>
      </c>
    </row>
    <row r="20" spans="1:3" ht="12.6" x14ac:dyDescent="0.25">
      <c r="B20" s="11"/>
    </row>
    <row r="21" spans="1:3" ht="12.6" x14ac:dyDescent="0.25">
      <c r="A21" s="8" t="s">
        <v>71</v>
      </c>
      <c r="B21" s="9">
        <v>0.03</v>
      </c>
      <c r="C21" s="12"/>
    </row>
    <row r="22" spans="1:3" ht="12.6" x14ac:dyDescent="0.25">
      <c r="A22" s="13" t="s">
        <v>4</v>
      </c>
      <c r="B22" s="9">
        <v>0.03</v>
      </c>
      <c r="C22" s="12"/>
    </row>
    <row r="23" spans="1:3" ht="12.6" x14ac:dyDescent="0.25">
      <c r="A23" s="12" t="s">
        <v>23</v>
      </c>
      <c r="B23" s="9">
        <v>2.75E-2</v>
      </c>
      <c r="C23" s="12"/>
    </row>
    <row r="24" spans="1:3" ht="12.6" x14ac:dyDescent="0.25">
      <c r="A24" s="8" t="s">
        <v>6</v>
      </c>
      <c r="B24" s="9">
        <v>0.125</v>
      </c>
      <c r="C24" s="14"/>
    </row>
    <row r="25" spans="1:3" ht="12.6" x14ac:dyDescent="0.25">
      <c r="A25" s="15" t="s">
        <v>3</v>
      </c>
      <c r="B25" s="9">
        <v>2.5000000000000001E-2</v>
      </c>
      <c r="C25" s="12"/>
    </row>
    <row r="27" spans="1:3" ht="12.6" x14ac:dyDescent="0.25">
      <c r="A27" s="3" t="s">
        <v>49</v>
      </c>
    </row>
    <row r="28" spans="1:3" ht="12.6" x14ac:dyDescent="0.25">
      <c r="A28" s="3"/>
    </row>
    <row r="29" spans="1:3" ht="12.6" x14ac:dyDescent="0.25">
      <c r="A29" s="12" t="s">
        <v>53</v>
      </c>
      <c r="B29" s="16">
        <v>1E-3</v>
      </c>
    </row>
    <row r="30" spans="1:3" ht="12.6" x14ac:dyDescent="0.25">
      <c r="A30" s="8" t="s">
        <v>5</v>
      </c>
      <c r="B30" s="17">
        <v>7.4999999999999997E-2</v>
      </c>
    </row>
    <row r="32" spans="1:3" ht="37.5" x14ac:dyDescent="0.25">
      <c r="A32" s="18" t="s">
        <v>2</v>
      </c>
      <c r="B32" s="19" t="s">
        <v>48</v>
      </c>
      <c r="C32" s="20" t="s">
        <v>35</v>
      </c>
    </row>
    <row r="33" spans="1:3" ht="12.6" x14ac:dyDescent="0.25">
      <c r="A33" s="21">
        <v>1</v>
      </c>
      <c r="B33" s="22">
        <v>0.05</v>
      </c>
      <c r="C33" s="22">
        <v>0</v>
      </c>
    </row>
    <row r="34" spans="1:3" ht="12.6" x14ac:dyDescent="0.25">
      <c r="A34" s="21">
        <f>A33+1</f>
        <v>2</v>
      </c>
      <c r="B34" s="48">
        <f>+B33</f>
        <v>0.05</v>
      </c>
      <c r="C34" s="22">
        <v>0</v>
      </c>
    </row>
    <row r="35" spans="1:3" ht="12.6" x14ac:dyDescent="0.25">
      <c r="A35" s="21">
        <f t="shared" ref="A35:A67" si="0">A34+1</f>
        <v>3</v>
      </c>
      <c r="B35" s="48">
        <f t="shared" ref="B35:B66" si="1">+B34</f>
        <v>0.05</v>
      </c>
      <c r="C35" s="22">
        <v>0</v>
      </c>
    </row>
    <row r="36" spans="1:3" ht="12.6" x14ac:dyDescent="0.25">
      <c r="A36" s="21">
        <f t="shared" si="0"/>
        <v>4</v>
      </c>
      <c r="B36" s="48">
        <f t="shared" si="1"/>
        <v>0.05</v>
      </c>
      <c r="C36" s="22">
        <v>0</v>
      </c>
    </row>
    <row r="37" spans="1:3" ht="12.6" x14ac:dyDescent="0.25">
      <c r="A37" s="21">
        <f t="shared" si="0"/>
        <v>5</v>
      </c>
      <c r="B37" s="48">
        <f t="shared" si="1"/>
        <v>0.05</v>
      </c>
      <c r="C37" s="22">
        <v>0</v>
      </c>
    </row>
    <row r="38" spans="1:3" ht="12.6" x14ac:dyDescent="0.25">
      <c r="A38" s="21">
        <f t="shared" si="0"/>
        <v>6</v>
      </c>
      <c r="B38" s="48">
        <f t="shared" si="1"/>
        <v>0.05</v>
      </c>
      <c r="C38" s="22">
        <v>0</v>
      </c>
    </row>
    <row r="39" spans="1:3" ht="12.6" x14ac:dyDescent="0.25">
      <c r="A39" s="21">
        <f t="shared" si="0"/>
        <v>7</v>
      </c>
      <c r="B39" s="48">
        <f t="shared" si="1"/>
        <v>0.05</v>
      </c>
      <c r="C39" s="22">
        <v>0</v>
      </c>
    </row>
    <row r="40" spans="1:3" ht="12.6" x14ac:dyDescent="0.25">
      <c r="A40" s="21">
        <f t="shared" si="0"/>
        <v>8</v>
      </c>
      <c r="B40" s="48">
        <f t="shared" si="1"/>
        <v>0.05</v>
      </c>
      <c r="C40" s="22">
        <v>0</v>
      </c>
    </row>
    <row r="41" spans="1:3" ht="12.6" x14ac:dyDescent="0.25">
      <c r="A41" s="21">
        <f t="shared" si="0"/>
        <v>9</v>
      </c>
      <c r="B41" s="48">
        <f t="shared" si="1"/>
        <v>0.05</v>
      </c>
      <c r="C41" s="22">
        <v>0</v>
      </c>
    </row>
    <row r="42" spans="1:3" ht="12.6" x14ac:dyDescent="0.25">
      <c r="A42" s="21">
        <f t="shared" si="0"/>
        <v>10</v>
      </c>
      <c r="B42" s="48">
        <f t="shared" si="1"/>
        <v>0.05</v>
      </c>
      <c r="C42" s="22">
        <v>0.05</v>
      </c>
    </row>
    <row r="43" spans="1:3" x14ac:dyDescent="0.2">
      <c r="A43" s="21">
        <f t="shared" si="0"/>
        <v>11</v>
      </c>
      <c r="B43" s="48">
        <f t="shared" si="1"/>
        <v>0.05</v>
      </c>
      <c r="C43" s="22">
        <v>0.05</v>
      </c>
    </row>
    <row r="44" spans="1:3" x14ac:dyDescent="0.2">
      <c r="A44" s="21">
        <f t="shared" si="0"/>
        <v>12</v>
      </c>
      <c r="B44" s="48">
        <f t="shared" si="1"/>
        <v>0.05</v>
      </c>
      <c r="C44" s="22">
        <v>0.05</v>
      </c>
    </row>
    <row r="45" spans="1:3" x14ac:dyDescent="0.2">
      <c r="A45" s="21">
        <f t="shared" si="0"/>
        <v>13</v>
      </c>
      <c r="B45" s="48">
        <f t="shared" si="1"/>
        <v>0.05</v>
      </c>
      <c r="C45" s="22">
        <v>0.05</v>
      </c>
    </row>
    <row r="46" spans="1:3" x14ac:dyDescent="0.2">
      <c r="A46" s="21">
        <f t="shared" si="0"/>
        <v>14</v>
      </c>
      <c r="B46" s="48">
        <f t="shared" si="1"/>
        <v>0.05</v>
      </c>
      <c r="C46" s="22">
        <v>0.05</v>
      </c>
    </row>
    <row r="47" spans="1:3" x14ac:dyDescent="0.2">
      <c r="A47" s="21">
        <f t="shared" si="0"/>
        <v>15</v>
      </c>
      <c r="B47" s="48">
        <f t="shared" si="1"/>
        <v>0.05</v>
      </c>
      <c r="C47" s="22">
        <v>0.05</v>
      </c>
    </row>
    <row r="48" spans="1:3" x14ac:dyDescent="0.2">
      <c r="A48" s="21">
        <f t="shared" si="0"/>
        <v>16</v>
      </c>
      <c r="B48" s="48">
        <f t="shared" si="1"/>
        <v>0.05</v>
      </c>
      <c r="C48" s="22">
        <v>0.05</v>
      </c>
    </row>
    <row r="49" spans="1:3" x14ac:dyDescent="0.2">
      <c r="A49" s="21">
        <f t="shared" si="0"/>
        <v>17</v>
      </c>
      <c r="B49" s="48">
        <f t="shared" si="1"/>
        <v>0.05</v>
      </c>
      <c r="C49" s="22">
        <v>0.05</v>
      </c>
    </row>
    <row r="50" spans="1:3" x14ac:dyDescent="0.2">
      <c r="A50" s="21">
        <f t="shared" si="0"/>
        <v>18</v>
      </c>
      <c r="B50" s="48">
        <f t="shared" si="1"/>
        <v>0.05</v>
      </c>
      <c r="C50" s="22">
        <v>0.05</v>
      </c>
    </row>
    <row r="51" spans="1:3" x14ac:dyDescent="0.2">
      <c r="A51" s="21">
        <f t="shared" si="0"/>
        <v>19</v>
      </c>
      <c r="B51" s="48">
        <f t="shared" si="1"/>
        <v>0.05</v>
      </c>
      <c r="C51" s="22">
        <v>0.05</v>
      </c>
    </row>
    <row r="52" spans="1:3" x14ac:dyDescent="0.2">
      <c r="A52" s="21">
        <f t="shared" si="0"/>
        <v>20</v>
      </c>
      <c r="B52" s="48">
        <f t="shared" si="1"/>
        <v>0.05</v>
      </c>
      <c r="C52" s="22">
        <v>0.05</v>
      </c>
    </row>
    <row r="53" spans="1:3" x14ac:dyDescent="0.2">
      <c r="A53" s="21">
        <f t="shared" si="0"/>
        <v>21</v>
      </c>
      <c r="B53" s="48">
        <f t="shared" si="1"/>
        <v>0.05</v>
      </c>
      <c r="C53" s="22">
        <v>0.06</v>
      </c>
    </row>
    <row r="54" spans="1:3" x14ac:dyDescent="0.2">
      <c r="A54" s="21">
        <f t="shared" si="0"/>
        <v>22</v>
      </c>
      <c r="B54" s="48">
        <f t="shared" si="1"/>
        <v>0.05</v>
      </c>
      <c r="C54" s="22">
        <v>7.0000000000000007E-2</v>
      </c>
    </row>
    <row r="55" spans="1:3" x14ac:dyDescent="0.2">
      <c r="A55" s="21">
        <f t="shared" si="0"/>
        <v>23</v>
      </c>
      <c r="B55" s="48">
        <f t="shared" si="1"/>
        <v>0.05</v>
      </c>
      <c r="C55" s="22">
        <v>0.08</v>
      </c>
    </row>
    <row r="56" spans="1:3" x14ac:dyDescent="0.2">
      <c r="A56" s="21">
        <f t="shared" si="0"/>
        <v>24</v>
      </c>
      <c r="B56" s="48">
        <f t="shared" si="1"/>
        <v>0.05</v>
      </c>
      <c r="C56" s="22">
        <v>0.09</v>
      </c>
    </row>
    <row r="57" spans="1:3" x14ac:dyDescent="0.2">
      <c r="A57" s="21">
        <f t="shared" si="0"/>
        <v>25</v>
      </c>
      <c r="B57" s="48">
        <f t="shared" si="1"/>
        <v>0.05</v>
      </c>
      <c r="C57" s="22">
        <v>0.1</v>
      </c>
    </row>
    <row r="58" spans="1:3" x14ac:dyDescent="0.2">
      <c r="A58" s="21">
        <f t="shared" si="0"/>
        <v>26</v>
      </c>
      <c r="B58" s="48">
        <f t="shared" si="1"/>
        <v>0.05</v>
      </c>
      <c r="C58" s="22">
        <v>0.11</v>
      </c>
    </row>
    <row r="59" spans="1:3" x14ac:dyDescent="0.2">
      <c r="A59" s="21">
        <f t="shared" si="0"/>
        <v>27</v>
      </c>
      <c r="B59" s="48">
        <f t="shared" si="1"/>
        <v>0.05</v>
      </c>
      <c r="C59" s="22">
        <v>0.12</v>
      </c>
    </row>
    <row r="60" spans="1:3" x14ac:dyDescent="0.2">
      <c r="A60" s="21">
        <f t="shared" si="0"/>
        <v>28</v>
      </c>
      <c r="B60" s="48">
        <f t="shared" si="1"/>
        <v>0.05</v>
      </c>
      <c r="C60" s="22">
        <v>0.13</v>
      </c>
    </row>
    <row r="61" spans="1:3" x14ac:dyDescent="0.2">
      <c r="A61" s="21">
        <f t="shared" si="0"/>
        <v>29</v>
      </c>
      <c r="B61" s="48">
        <f t="shared" si="1"/>
        <v>0.05</v>
      </c>
      <c r="C61" s="22">
        <v>0.14000000000000001</v>
      </c>
    </row>
    <row r="62" spans="1:3" x14ac:dyDescent="0.2">
      <c r="A62" s="21">
        <f t="shared" si="0"/>
        <v>30</v>
      </c>
      <c r="B62" s="48">
        <f t="shared" si="1"/>
        <v>0.05</v>
      </c>
      <c r="C62" s="22">
        <v>0.15</v>
      </c>
    </row>
    <row r="63" spans="1:3" x14ac:dyDescent="0.2">
      <c r="A63" s="21">
        <f t="shared" si="0"/>
        <v>31</v>
      </c>
      <c r="B63" s="48">
        <f t="shared" si="1"/>
        <v>0.05</v>
      </c>
      <c r="C63" s="22">
        <v>0.2</v>
      </c>
    </row>
    <row r="64" spans="1:3" x14ac:dyDescent="0.2">
      <c r="A64" s="21">
        <f t="shared" si="0"/>
        <v>32</v>
      </c>
      <c r="B64" s="48">
        <f t="shared" si="1"/>
        <v>0.05</v>
      </c>
      <c r="C64" s="22">
        <v>0.25</v>
      </c>
    </row>
    <row r="65" spans="1:3" x14ac:dyDescent="0.2">
      <c r="A65" s="21">
        <f t="shared" si="0"/>
        <v>33</v>
      </c>
      <c r="B65" s="48">
        <f t="shared" si="1"/>
        <v>0.05</v>
      </c>
      <c r="C65" s="22">
        <v>0.33</v>
      </c>
    </row>
    <row r="66" spans="1:3" x14ac:dyDescent="0.2">
      <c r="A66" s="21">
        <f t="shared" si="0"/>
        <v>34</v>
      </c>
      <c r="B66" s="48">
        <f t="shared" si="1"/>
        <v>0.05</v>
      </c>
      <c r="C66" s="22">
        <v>0.5</v>
      </c>
    </row>
    <row r="67" spans="1:3" x14ac:dyDescent="0.2">
      <c r="A67" s="21">
        <f t="shared" si="0"/>
        <v>35</v>
      </c>
      <c r="B67" s="22">
        <v>0</v>
      </c>
      <c r="C67" s="22">
        <v>1</v>
      </c>
    </row>
    <row r="68" spans="1:3" x14ac:dyDescent="0.2">
      <c r="C68" s="23"/>
    </row>
    <row r="69" spans="1:3" x14ac:dyDescent="0.2">
      <c r="A69" s="3" t="s">
        <v>59</v>
      </c>
      <c r="C69" s="23"/>
    </row>
    <row r="70" spans="1:3" x14ac:dyDescent="0.2">
      <c r="C70" s="23"/>
    </row>
    <row r="71" spans="1:3" x14ac:dyDescent="0.2">
      <c r="A71" s="2" t="s">
        <v>61</v>
      </c>
      <c r="B71" s="22">
        <v>0.2</v>
      </c>
    </row>
    <row r="72" spans="1:3" x14ac:dyDescent="0.2">
      <c r="A72" s="2" t="s">
        <v>62</v>
      </c>
      <c r="B72" s="22">
        <v>0.05</v>
      </c>
    </row>
    <row r="73" spans="1:3" x14ac:dyDescent="0.2">
      <c r="A73" s="2" t="s">
        <v>63</v>
      </c>
      <c r="B73" s="22">
        <v>0.05</v>
      </c>
    </row>
    <row r="74" spans="1:3" x14ac:dyDescent="0.2">
      <c r="C74" s="23"/>
    </row>
    <row r="75" spans="1:3" x14ac:dyDescent="0.2">
      <c r="C75" s="23"/>
    </row>
    <row r="76" spans="1:3" x14ac:dyDescent="0.2">
      <c r="C76" s="23"/>
    </row>
    <row r="77" spans="1:3" x14ac:dyDescent="0.2">
      <c r="C77" s="23"/>
    </row>
    <row r="78" spans="1:3" x14ac:dyDescent="0.2">
      <c r="C78" s="23"/>
    </row>
    <row r="79" spans="1:3" x14ac:dyDescent="0.2">
      <c r="C79" s="23"/>
    </row>
    <row r="80" spans="1:3" x14ac:dyDescent="0.2">
      <c r="C80" s="23"/>
    </row>
    <row r="81" spans="3:3" x14ac:dyDescent="0.2">
      <c r="C81" s="23"/>
    </row>
    <row r="82" spans="3:3" x14ac:dyDescent="0.2">
      <c r="C82" s="23"/>
    </row>
    <row r="83" spans="3:3" x14ac:dyDescent="0.2">
      <c r="C83" s="23"/>
    </row>
    <row r="84" spans="3:3" x14ac:dyDescent="0.2">
      <c r="C84" s="23"/>
    </row>
    <row r="85" spans="3:3" x14ac:dyDescent="0.2">
      <c r="C85" s="23"/>
    </row>
    <row r="86" spans="3:3" x14ac:dyDescent="0.2">
      <c r="C86" s="23"/>
    </row>
    <row r="87" spans="3:3" x14ac:dyDescent="0.2">
      <c r="C87" s="23"/>
    </row>
    <row r="88" spans="3:3" x14ac:dyDescent="0.2">
      <c r="C88" s="23"/>
    </row>
    <row r="89" spans="3:3" x14ac:dyDescent="0.2">
      <c r="C89" s="23"/>
    </row>
    <row r="90" spans="3:3" x14ac:dyDescent="0.2">
      <c r="C90" s="23"/>
    </row>
    <row r="91" spans="3:3" x14ac:dyDescent="0.2">
      <c r="C91" s="23"/>
    </row>
    <row r="92" spans="3:3" x14ac:dyDescent="0.2">
      <c r="C92" s="23"/>
    </row>
    <row r="93" spans="3:3" x14ac:dyDescent="0.2">
      <c r="C93" s="23"/>
    </row>
    <row r="94" spans="3:3" x14ac:dyDescent="0.2">
      <c r="C94" s="23"/>
    </row>
    <row r="95" spans="3:3" x14ac:dyDescent="0.2">
      <c r="C95" s="23"/>
    </row>
    <row r="96" spans="3:3" x14ac:dyDescent="0.2">
      <c r="C96" s="23"/>
    </row>
    <row r="97" spans="3:3" x14ac:dyDescent="0.2">
      <c r="C97" s="2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tabSelected="1" workbookViewId="0">
      <selection activeCell="A25" sqref="A25"/>
    </sheetView>
  </sheetViews>
  <sheetFormatPr defaultColWidth="8.85546875" defaultRowHeight="12.75" x14ac:dyDescent="0.2"/>
  <cols>
    <col min="1" max="1" width="10.5703125" style="2" customWidth="1"/>
    <col min="2" max="2" width="12.5703125" style="21" customWidth="1"/>
    <col min="3" max="7" width="13.140625" style="2" customWidth="1"/>
    <col min="8" max="18" width="14.5703125" style="2" customWidth="1"/>
    <col min="19" max="19" width="11.42578125" style="2" customWidth="1"/>
    <col min="20" max="33" width="14.5703125" style="2" customWidth="1"/>
    <col min="34" max="34" width="22.42578125" style="2" bestFit="1" customWidth="1"/>
    <col min="35" max="35" width="10.85546875" style="2" bestFit="1" customWidth="1"/>
    <col min="36" max="36" width="8.85546875" style="2"/>
    <col min="37" max="37" width="9.85546875" style="2" bestFit="1" customWidth="1"/>
    <col min="38" max="16384" width="8.85546875" style="2"/>
  </cols>
  <sheetData>
    <row r="1" spans="1:37" ht="12.6" x14ac:dyDescent="0.25">
      <c r="Z1" s="25"/>
      <c r="AK1" s="25"/>
    </row>
    <row r="2" spans="1:37" s="24" customFormat="1" ht="18" x14ac:dyDescent="0.4">
      <c r="A2" s="39" t="s">
        <v>47</v>
      </c>
      <c r="B2" s="40"/>
      <c r="Y2" s="41"/>
      <c r="AF2" s="41"/>
    </row>
    <row r="4" spans="1:37" ht="12.6" x14ac:dyDescent="0.25">
      <c r="A4" s="3" t="s">
        <v>60</v>
      </c>
    </row>
    <row r="6" spans="1:37" ht="12.6" x14ac:dyDescent="0.25">
      <c r="A6" s="2" t="s">
        <v>51</v>
      </c>
      <c r="C6" s="45" t="s">
        <v>52</v>
      </c>
    </row>
    <row r="7" spans="1:37" ht="12.6" x14ac:dyDescent="0.25">
      <c r="C7" s="45"/>
    </row>
    <row r="8" spans="1:37" ht="12.6" x14ac:dyDescent="0.25">
      <c r="A8" s="3" t="s">
        <v>66</v>
      </c>
      <c r="C8" s="45"/>
    </row>
    <row r="9" spans="1:37" ht="12.6" x14ac:dyDescent="0.25">
      <c r="C9" s="45"/>
    </row>
    <row r="10" spans="1:37" ht="12.6" x14ac:dyDescent="0.25">
      <c r="A10" s="12" t="s">
        <v>23</v>
      </c>
      <c r="C10" s="46">
        <f>risk_free_rate</f>
        <v>2.75E-2</v>
      </c>
    </row>
    <row r="11" spans="1:37" ht="12.6" x14ac:dyDescent="0.25">
      <c r="A11" s="8" t="s">
        <v>6</v>
      </c>
      <c r="C11" s="46">
        <f>risk_disc_rate</f>
        <v>0.125</v>
      </c>
    </row>
    <row r="13" spans="1:37" ht="12.6" x14ac:dyDescent="0.25">
      <c r="C13" s="21"/>
      <c r="F13" s="21"/>
      <c r="S13" s="25"/>
      <c r="U13" s="21"/>
      <c r="V13" s="21"/>
      <c r="W13" s="21"/>
      <c r="X13" s="21"/>
      <c r="Y13" s="21"/>
      <c r="Z13" s="21"/>
      <c r="AA13" s="21"/>
    </row>
    <row r="14" spans="1:37" ht="12.6" x14ac:dyDescent="0.25">
      <c r="H14" s="2" t="s">
        <v>34</v>
      </c>
      <c r="J14" s="50">
        <f>NPV($C$10,J20:J54)*(1+$C$10)</f>
        <v>2303901501.6390986</v>
      </c>
      <c r="K14" s="50">
        <f>NPV($C$10,K20:K54)*(1+$C$10)</f>
        <v>-575975375.40977466</v>
      </c>
      <c r="L14" s="50">
        <f>NPV($C$10,L20:L54)*(1+$C$10)</f>
        <v>-34558522.524586476</v>
      </c>
      <c r="M14" s="50">
        <f>NPV($C$10,M20:M54)*(1+$C$10)</f>
        <v>-151095004.66911355</v>
      </c>
      <c r="N14" s="50">
        <f>NPV($C$10,N20:N54)</f>
        <v>-1268423686.40732</v>
      </c>
      <c r="O14" s="50">
        <f>NPV($C$10,O20:O54)</f>
        <v>-19026355.296109799</v>
      </c>
      <c r="P14" s="50">
        <f>NPV($C$10,P20:P54)</f>
        <v>45029856.906149574</v>
      </c>
      <c r="Q14" s="50" t="s">
        <v>45</v>
      </c>
      <c r="R14" s="50">
        <f>NPV($C$11,R20:R54)</f>
        <v>377380325.56699848</v>
      </c>
      <c r="U14" s="6"/>
      <c r="V14" s="6"/>
      <c r="W14" s="6"/>
      <c r="X14" s="6"/>
      <c r="Y14" s="6"/>
      <c r="Z14" s="6"/>
    </row>
    <row r="15" spans="1:37" ht="12.6" x14ac:dyDescent="0.25">
      <c r="J15" s="26"/>
      <c r="K15" s="26"/>
      <c r="L15" s="26"/>
      <c r="M15" s="26"/>
      <c r="N15" s="26"/>
      <c r="O15" s="26"/>
      <c r="P15" s="26"/>
      <c r="Q15" s="26"/>
      <c r="R15" s="26"/>
      <c r="S15" s="25"/>
    </row>
    <row r="16" spans="1:37" ht="12.95" x14ac:dyDescent="0.3">
      <c r="A16" s="27"/>
      <c r="B16" s="28"/>
      <c r="C16" s="29" t="s">
        <v>32</v>
      </c>
      <c r="D16" s="29"/>
      <c r="E16" s="29"/>
      <c r="F16" s="30"/>
      <c r="G16" s="31"/>
      <c r="H16" s="51" t="s">
        <v>44</v>
      </c>
      <c r="I16" s="52"/>
      <c r="J16" s="52"/>
      <c r="K16" s="52"/>
      <c r="L16" s="52"/>
      <c r="M16" s="52"/>
      <c r="N16" s="52"/>
      <c r="O16" s="52"/>
      <c r="P16" s="52"/>
      <c r="Q16" s="52"/>
      <c r="R16" s="53"/>
      <c r="S16" s="32"/>
      <c r="U16" s="51" t="s">
        <v>37</v>
      </c>
      <c r="V16" s="52"/>
      <c r="W16" s="52"/>
      <c r="X16" s="52"/>
      <c r="Y16" s="52"/>
      <c r="Z16" s="52"/>
      <c r="AA16" s="53"/>
      <c r="AB16" s="33"/>
      <c r="AC16" s="34" t="s">
        <v>7</v>
      </c>
      <c r="AD16" s="33"/>
      <c r="AE16" s="51" t="s">
        <v>46</v>
      </c>
      <c r="AF16" s="52"/>
      <c r="AG16" s="53"/>
    </row>
    <row r="17" spans="1:35" ht="37.5" x14ac:dyDescent="0.25">
      <c r="A17" s="20" t="s">
        <v>16</v>
      </c>
      <c r="B17" s="20" t="s">
        <v>15</v>
      </c>
      <c r="C17" s="21" t="s">
        <v>9</v>
      </c>
      <c r="D17" s="21" t="s">
        <v>10</v>
      </c>
      <c r="E17" s="20" t="s">
        <v>14</v>
      </c>
      <c r="F17" s="21" t="s">
        <v>11</v>
      </c>
      <c r="G17" s="21"/>
      <c r="H17" s="19" t="s">
        <v>29</v>
      </c>
      <c r="I17" s="19" t="s">
        <v>30</v>
      </c>
      <c r="J17" s="18" t="s">
        <v>31</v>
      </c>
      <c r="K17" s="18" t="s">
        <v>0</v>
      </c>
      <c r="L17" s="19" t="s">
        <v>19</v>
      </c>
      <c r="M17" s="19" t="s">
        <v>33</v>
      </c>
      <c r="N17" s="18" t="s">
        <v>1</v>
      </c>
      <c r="O17" s="19" t="s">
        <v>28</v>
      </c>
      <c r="P17" s="18" t="s">
        <v>26</v>
      </c>
      <c r="Q17" s="19" t="s">
        <v>27</v>
      </c>
      <c r="R17" s="19" t="s">
        <v>8</v>
      </c>
      <c r="U17" s="19" t="s">
        <v>24</v>
      </c>
      <c r="V17" s="19" t="s">
        <v>38</v>
      </c>
      <c r="W17" s="19" t="s">
        <v>39</v>
      </c>
      <c r="X17" s="19" t="s">
        <v>40</v>
      </c>
      <c r="Y17" s="19" t="s">
        <v>41</v>
      </c>
      <c r="Z17" s="19" t="s">
        <v>42</v>
      </c>
      <c r="AA17" s="19" t="s">
        <v>65</v>
      </c>
      <c r="AB17" s="19"/>
      <c r="AC17" s="19" t="s">
        <v>67</v>
      </c>
      <c r="AD17" s="19"/>
      <c r="AE17" s="19" t="s">
        <v>25</v>
      </c>
      <c r="AF17" s="19" t="s">
        <v>43</v>
      </c>
      <c r="AG17" s="19" t="s">
        <v>36</v>
      </c>
    </row>
    <row r="18" spans="1:35" ht="12.6" x14ac:dyDescent="0.25">
      <c r="C18" s="21" t="s">
        <v>13</v>
      </c>
      <c r="D18" s="21" t="s">
        <v>13</v>
      </c>
      <c r="E18" s="21"/>
      <c r="F18" s="21" t="s">
        <v>13</v>
      </c>
      <c r="G18" s="21"/>
      <c r="H18" s="21"/>
      <c r="I18" s="21"/>
      <c r="J18" s="21" t="s">
        <v>12</v>
      </c>
      <c r="K18" s="21" t="s">
        <v>12</v>
      </c>
      <c r="L18" s="21" t="s">
        <v>12</v>
      </c>
      <c r="M18" s="21" t="s">
        <v>12</v>
      </c>
      <c r="N18" s="21" t="s">
        <v>13</v>
      </c>
      <c r="O18" s="21" t="s">
        <v>13</v>
      </c>
      <c r="P18" s="21" t="s">
        <v>13</v>
      </c>
      <c r="Q18" s="21" t="s">
        <v>13</v>
      </c>
      <c r="R18" s="21" t="s">
        <v>13</v>
      </c>
      <c r="AE18" s="21" t="s">
        <v>13</v>
      </c>
      <c r="AF18" s="21" t="s">
        <v>13</v>
      </c>
      <c r="AG18" s="21" t="s">
        <v>13</v>
      </c>
    </row>
    <row r="19" spans="1:35" ht="12.6" x14ac:dyDescent="0.25">
      <c r="B19" s="36">
        <v>42004</v>
      </c>
      <c r="C19" s="21"/>
      <c r="D19" s="21"/>
      <c r="E19" s="21"/>
      <c r="F19" s="49">
        <v>1</v>
      </c>
      <c r="G19" s="21"/>
      <c r="H19" s="43">
        <f>num_pol_if</f>
        <v>100000</v>
      </c>
      <c r="I19" s="43">
        <f>si_if</f>
        <v>45000000000</v>
      </c>
      <c r="J19" s="43">
        <f>prem_if</f>
        <v>222750000</v>
      </c>
      <c r="K19" s="44"/>
      <c r="L19" s="44"/>
      <c r="M19" s="44"/>
      <c r="N19" s="44"/>
      <c r="O19" s="44"/>
      <c r="P19" s="44"/>
      <c r="Q19" s="44"/>
      <c r="R19" s="44"/>
      <c r="S19" s="6"/>
      <c r="T19" s="44"/>
      <c r="Y19" s="44"/>
      <c r="Z19" s="44"/>
      <c r="AA19" s="44"/>
      <c r="AB19" s="6"/>
      <c r="AC19" s="44">
        <f t="shared" ref="AC19:AC54" si="0">MAX(0,(-(1+clm_margin)*Y20*(1+claim_exp_pc*(1+clm_exp_margin))-(1+pp_exp_margin)*X20-W20-V20-U20))*($C$6="Y")</f>
        <v>0</v>
      </c>
      <c r="AD19" s="6"/>
      <c r="AE19" s="50"/>
      <c r="AF19" s="50">
        <f>-SUM(V20:Z20)-U20+AA20</f>
        <v>-254822557.33219409</v>
      </c>
      <c r="AG19" s="50">
        <f>NPV($C$11,R20:R$55)</f>
        <v>377380325.56699848</v>
      </c>
      <c r="AH19" s="35"/>
    </row>
    <row r="20" spans="1:35" ht="15" x14ac:dyDescent="0.25">
      <c r="A20" s="21">
        <v>1</v>
      </c>
      <c r="B20" s="47">
        <f>YEAR(B19)+1</f>
        <v>2015</v>
      </c>
      <c r="C20" s="49">
        <f t="shared" ref="C20:C54" si="1">qx*(1+clm_rate_inc)^(A20-1)</f>
        <v>1E-3</v>
      </c>
      <c r="D20" s="42">
        <f t="shared" ref="D20:D54" si="2">VLOOKUP(A20,lapse_rate,2)</f>
        <v>0.05</v>
      </c>
      <c r="E20" s="42">
        <f t="shared" ref="E20:E54" si="3">VLOOKUP(A20,exp_rate,3)</f>
        <v>0</v>
      </c>
      <c r="F20" s="49">
        <f>F19*(1-C20)*(1-D20)*(1-E20)</f>
        <v>0.94904999999999995</v>
      </c>
      <c r="G20" s="37"/>
      <c r="H20" s="50">
        <f>+H$19*$F19</f>
        <v>100000</v>
      </c>
      <c r="I20" s="50">
        <f t="shared" ref="I20:I54" si="4">+I$19*F19*(1+si_index)^(A20-1)</f>
        <v>45000000000</v>
      </c>
      <c r="J20" s="50">
        <f>+J$19*$F19</f>
        <v>222750000</v>
      </c>
      <c r="K20" s="50">
        <f t="shared" ref="K20:K54" si="5">-J20*ren_comm</f>
        <v>-55687500</v>
      </c>
      <c r="L20" s="50">
        <f t="shared" ref="L20:L54" si="6">-J20*prem_exp</f>
        <v>-3341250</v>
      </c>
      <c r="M20" s="50">
        <f t="shared" ref="M20:M54" si="7">-H20*pp_expense*(1+exp_index)^(A20-1)</f>
        <v>-12000000</v>
      </c>
      <c r="N20" s="50">
        <f>-I20*C20</f>
        <v>-45000000</v>
      </c>
      <c r="O20" s="50">
        <f t="shared" ref="O20:O54" si="8">+N20*claim_exp_pc</f>
        <v>-675000</v>
      </c>
      <c r="P20" s="50">
        <f t="shared" ref="P20:P54" si="9">inv_income_pa*(AC19+J20+K20+L20+M20)</f>
        <v>4551637.5</v>
      </c>
      <c r="Q20" s="50">
        <f t="shared" ref="Q20:Q54" si="10">+AC19-AC20</f>
        <v>0</v>
      </c>
      <c r="R20" s="50">
        <f>SUM(J20:Q20)</f>
        <v>110597887.5</v>
      </c>
      <c r="S20" s="6"/>
      <c r="T20" s="44"/>
      <c r="U20" s="50">
        <f>NPV($C$10,J20:J$54)*(1+$C$10)</f>
        <v>2303901501.6390986</v>
      </c>
      <c r="V20" s="50">
        <f>NPV($C$10,K20:K$54)*(1+$C$10)</f>
        <v>-575975375.40977466</v>
      </c>
      <c r="W20" s="50">
        <f>NPV($C$10,L20:L$54)*(1+$C$10)</f>
        <v>-34558522.524586476</v>
      </c>
      <c r="X20" s="50">
        <f>NPV($C$10,M20:M$54)*(1+$C$10)</f>
        <v>-151095004.66911355</v>
      </c>
      <c r="Y20" s="50">
        <f>NPV($C$10,N20:N$54)</f>
        <v>-1268423686.40732</v>
      </c>
      <c r="Z20" s="50">
        <f>NPV($C$10,O20:O$54)</f>
        <v>-19026355.296109799</v>
      </c>
      <c r="AA20" s="50"/>
      <c r="AB20"/>
      <c r="AC20" s="44">
        <f t="shared" si="0"/>
        <v>0</v>
      </c>
      <c r="AD20" s="6"/>
      <c r="AE20" s="50"/>
      <c r="AF20" s="50">
        <f t="shared" ref="AF20:AF54" si="11">-SUM(V21:Z21)-U21+AA21</f>
        <v>-151611593.2838285</v>
      </c>
      <c r="AG20" s="50">
        <f>NPV($C$11,R21:R$55)</f>
        <v>313954978.76287329</v>
      </c>
      <c r="AH20" s="44"/>
      <c r="AI20" s="25"/>
    </row>
    <row r="21" spans="1:35" ht="14.45" x14ac:dyDescent="0.35">
      <c r="A21" s="21">
        <f>+A20+1</f>
        <v>2</v>
      </c>
      <c r="B21" s="47">
        <f>+B20+1</f>
        <v>2016</v>
      </c>
      <c r="C21" s="49">
        <f t="shared" si="1"/>
        <v>1.075E-3</v>
      </c>
      <c r="D21" s="42">
        <f t="shared" si="2"/>
        <v>0.05</v>
      </c>
      <c r="E21" s="42">
        <f t="shared" si="3"/>
        <v>0</v>
      </c>
      <c r="F21" s="49">
        <f t="shared" ref="F21:F50" si="12">F20*(1-C21)*(1-D21)*(1-E21)</f>
        <v>0.90062828268749984</v>
      </c>
      <c r="G21" s="37"/>
      <c r="H21" s="50">
        <f t="shared" ref="H21:H54" si="13">+H$19*$F20</f>
        <v>94905</v>
      </c>
      <c r="I21" s="50">
        <f t="shared" si="4"/>
        <v>43988467500</v>
      </c>
      <c r="J21" s="50">
        <f t="shared" ref="J21:J54" si="14">+$J$19*F20</f>
        <v>211400887.5</v>
      </c>
      <c r="K21" s="50">
        <f t="shared" si="5"/>
        <v>-52850221.875</v>
      </c>
      <c r="L21" s="50">
        <f t="shared" si="6"/>
        <v>-3171013.3125</v>
      </c>
      <c r="M21" s="50">
        <f t="shared" si="7"/>
        <v>-11673314.999999998</v>
      </c>
      <c r="N21" s="50">
        <f t="shared" ref="N21:N54" si="15">-I21*C21</f>
        <v>-47287602.5625</v>
      </c>
      <c r="O21" s="50">
        <f t="shared" si="8"/>
        <v>-709314.03843750001</v>
      </c>
      <c r="P21" s="50">
        <f t="shared" si="9"/>
        <v>4311190.1193749998</v>
      </c>
      <c r="Q21" s="50">
        <f t="shared" si="10"/>
        <v>0</v>
      </c>
      <c r="R21" s="50">
        <f t="shared" ref="R21:R54" si="16">SUM(J21:Q21)</f>
        <v>100020610.8309375</v>
      </c>
      <c r="S21" s="6"/>
      <c r="T21" s="44"/>
      <c r="U21" s="50">
        <f>NPV($C$10,J21:J$54)*(1+$C$10)</f>
        <v>2138383167.9341729</v>
      </c>
      <c r="V21" s="50">
        <f>NPV($C$10,K21:K$54)*(1+$C$10)</f>
        <v>-534595791.98354322</v>
      </c>
      <c r="W21" s="50">
        <f>NPV($C$10,L21:L$54)*(1+$C$10)</f>
        <v>-32075747.519012593</v>
      </c>
      <c r="X21" s="50">
        <f>NPV($C$10,M21:M$54)*(1+$C$10)</f>
        <v>-142920117.29751423</v>
      </c>
      <c r="Y21" s="50">
        <f>NPV($C$10,N21:N$54)</f>
        <v>-1258305337.7835214</v>
      </c>
      <c r="Z21" s="50">
        <f>NPV($C$10,O21:O$54)</f>
        <v>-18874580.066752821</v>
      </c>
      <c r="AA21" s="50"/>
      <c r="AB21"/>
      <c r="AC21" s="44">
        <f t="shared" si="0"/>
        <v>0</v>
      </c>
      <c r="AD21" s="6"/>
      <c r="AE21" s="50"/>
      <c r="AF21" s="50">
        <f t="shared" si="11"/>
        <v>-56119567.111476898</v>
      </c>
      <c r="AG21" s="50">
        <f>NPV($C$11,R22:R$55)</f>
        <v>253178740.27729517</v>
      </c>
      <c r="AH21" s="44"/>
      <c r="AI21" s="25"/>
    </row>
    <row r="22" spans="1:35" ht="14.45" x14ac:dyDescent="0.35">
      <c r="A22" s="21">
        <f t="shared" ref="A22:B37" si="17">+A21+1</f>
        <v>3</v>
      </c>
      <c r="B22" s="47">
        <f t="shared" si="17"/>
        <v>2017</v>
      </c>
      <c r="C22" s="49">
        <f t="shared" si="1"/>
        <v>1.155625E-3</v>
      </c>
      <c r="D22" s="42">
        <f t="shared" si="2"/>
        <v>0.05</v>
      </c>
      <c r="E22" s="42">
        <f t="shared" si="3"/>
        <v>0</v>
      </c>
      <c r="F22" s="49">
        <f t="shared" si="12"/>
        <v>0.85460811942190307</v>
      </c>
      <c r="G22" s="37"/>
      <c r="H22" s="50">
        <f t="shared" si="13"/>
        <v>90062.828268749989</v>
      </c>
      <c r="I22" s="50">
        <f t="shared" si="4"/>
        <v>42996444529.642586</v>
      </c>
      <c r="J22" s="50">
        <f t="shared" si="14"/>
        <v>200614949.9686406</v>
      </c>
      <c r="K22" s="50">
        <f t="shared" si="5"/>
        <v>-50153737.492160149</v>
      </c>
      <c r="L22" s="50">
        <f t="shared" si="6"/>
        <v>-3009224.249529609</v>
      </c>
      <c r="M22" s="50">
        <f t="shared" si="7"/>
        <v>-11354671.073982652</v>
      </c>
      <c r="N22" s="50">
        <f t="shared" si="15"/>
        <v>-49687766.20956821</v>
      </c>
      <c r="O22" s="50">
        <f t="shared" si="8"/>
        <v>-745316.49314352311</v>
      </c>
      <c r="P22" s="50">
        <f t="shared" si="9"/>
        <v>4082919.5145890457</v>
      </c>
      <c r="Q22" s="50">
        <f t="shared" si="10"/>
        <v>0</v>
      </c>
      <c r="R22" s="50">
        <f t="shared" si="16"/>
        <v>89747153.964845508</v>
      </c>
      <c r="S22" s="6"/>
      <c r="T22" s="44"/>
      <c r="U22" s="50">
        <f>NPV($C$10,J22:J$54)*(1+$C$10)</f>
        <v>1979974293.1461124</v>
      </c>
      <c r="V22" s="50">
        <f>NPV($C$10,K22:K$54)*(1+$C$10)</f>
        <v>-494993573.28652811</v>
      </c>
      <c r="W22" s="50">
        <f>NPV($C$10,L22:L$54)*(1+$C$10)</f>
        <v>-29699614.397191685</v>
      </c>
      <c r="X22" s="50">
        <f>NPV($C$10,M22:M$54)*(1+$C$10)</f>
        <v>-134856089.36069593</v>
      </c>
      <c r="Y22" s="50">
        <f>NPV($C$10,N22:N$54)</f>
        <v>-1245621132.0100689</v>
      </c>
      <c r="Z22" s="50">
        <f>NPV($C$10,O22:O$54)</f>
        <v>-18684316.980151024</v>
      </c>
      <c r="AA22" s="50"/>
      <c r="AB22"/>
      <c r="AC22" s="44">
        <f t="shared" si="0"/>
        <v>0</v>
      </c>
      <c r="AD22" s="6"/>
      <c r="AE22" s="50"/>
      <c r="AF22" s="50">
        <f t="shared" si="11"/>
        <v>31744055.464920282</v>
      </c>
      <c r="AG22" s="50">
        <f>NPV($C$11,R23:R$55)</f>
        <v>195078928.84711137</v>
      </c>
      <c r="AH22" s="44"/>
      <c r="AI22" s="25"/>
    </row>
    <row r="23" spans="1:35" ht="14.45" x14ac:dyDescent="0.35">
      <c r="A23" s="21">
        <f t="shared" si="17"/>
        <v>4</v>
      </c>
      <c r="B23" s="47">
        <f t="shared" si="17"/>
        <v>2018</v>
      </c>
      <c r="C23" s="49">
        <f t="shared" si="1"/>
        <v>1.2422968749999999E-3</v>
      </c>
      <c r="D23" s="42">
        <f t="shared" si="2"/>
        <v>0.05</v>
      </c>
      <c r="E23" s="42">
        <f t="shared" si="3"/>
        <v>0</v>
      </c>
      <c r="F23" s="49">
        <f t="shared" si="12"/>
        <v>0.81086912030450575</v>
      </c>
      <c r="G23" s="37"/>
      <c r="H23" s="50">
        <f t="shared" si="13"/>
        <v>85460.81194219031</v>
      </c>
      <c r="I23" s="50">
        <f t="shared" si="4"/>
        <v>42023401493.019211</v>
      </c>
      <c r="J23" s="50">
        <f t="shared" si="14"/>
        <v>190363958.60122892</v>
      </c>
      <c r="K23" s="50">
        <f t="shared" si="5"/>
        <v>-47590989.650307231</v>
      </c>
      <c r="L23" s="50">
        <f t="shared" si="6"/>
        <v>-2855459.3790184339</v>
      </c>
      <c r="M23" s="50">
        <f t="shared" si="7"/>
        <v>-11043833.662251933</v>
      </c>
      <c r="N23" s="50">
        <f t="shared" si="15"/>
        <v>-52205540.3516481</v>
      </c>
      <c r="O23" s="50">
        <f t="shared" si="8"/>
        <v>-783083.10527472151</v>
      </c>
      <c r="P23" s="50">
        <f t="shared" si="9"/>
        <v>3866210.2772895396</v>
      </c>
      <c r="Q23" s="50">
        <f t="shared" si="10"/>
        <v>0</v>
      </c>
      <c r="R23" s="50">
        <f t="shared" si="16"/>
        <v>79751262.730018035</v>
      </c>
      <c r="S23" s="6"/>
      <c r="T23" s="44"/>
      <c r="U23" s="50">
        <f>NPV($C$10,J23:J$54)*(1+$C$10)</f>
        <v>1828291725.1148529</v>
      </c>
      <c r="V23" s="50">
        <f>NPV($C$10,K23:K$54)*(1+$C$10)</f>
        <v>-457072931.27871323</v>
      </c>
      <c r="W23" s="50">
        <f>NPV($C$10,L23:L$54)*(1+$C$10)</f>
        <v>-27424375.876722798</v>
      </c>
      <c r="X23" s="50">
        <f>NPV($C$10,M23:M$54)*(1+$C$10)</f>
        <v>-126897707.28959787</v>
      </c>
      <c r="Y23" s="50">
        <f>NPV($C$10,N23:N$54)</f>
        <v>-1230187946.9307778</v>
      </c>
      <c r="Z23" s="50">
        <f>NPV($C$10,O23:O$54)</f>
        <v>-18452819.203961659</v>
      </c>
      <c r="AA23" s="50"/>
      <c r="AB23"/>
      <c r="AC23" s="44">
        <f t="shared" si="0"/>
        <v>0</v>
      </c>
      <c r="AD23" s="6"/>
      <c r="AE23" s="50"/>
      <c r="AF23" s="50">
        <f t="shared" si="11"/>
        <v>112046095.53044939</v>
      </c>
      <c r="AG23" s="50">
        <f>NPV($C$11,R24:R$55)</f>
        <v>139712532.22298238</v>
      </c>
      <c r="AH23" s="44"/>
      <c r="AI23" s="25"/>
    </row>
    <row r="24" spans="1:35" ht="14.45" x14ac:dyDescent="0.35">
      <c r="A24" s="21">
        <f t="shared" si="17"/>
        <v>5</v>
      </c>
      <c r="B24" s="47">
        <f t="shared" si="17"/>
        <v>2019</v>
      </c>
      <c r="C24" s="49">
        <f t="shared" si="1"/>
        <v>1.3354691406249999E-3</v>
      </c>
      <c r="D24" s="42">
        <f t="shared" si="2"/>
        <v>0.05</v>
      </c>
      <c r="E24" s="42">
        <f t="shared" si="3"/>
        <v>0</v>
      </c>
      <c r="F24" s="49">
        <f t="shared" si="12"/>
        <v>0.76929691813639067</v>
      </c>
      <c r="G24" s="37"/>
      <c r="H24" s="50">
        <f t="shared" si="13"/>
        <v>81086.912030450578</v>
      </c>
      <c r="I24" s="50">
        <f t="shared" si="4"/>
        <v>41068815239.685196</v>
      </c>
      <c r="J24" s="50">
        <f t="shared" si="14"/>
        <v>180621096.54782864</v>
      </c>
      <c r="K24" s="50">
        <f t="shared" si="5"/>
        <v>-45155274.136957161</v>
      </c>
      <c r="L24" s="50">
        <f t="shared" si="6"/>
        <v>-2709316.4482174297</v>
      </c>
      <c r="M24" s="50">
        <f t="shared" si="7"/>
        <v>-10740573.451222407</v>
      </c>
      <c r="N24" s="50">
        <f t="shared" si="15"/>
        <v>-54846135.394629285</v>
      </c>
      <c r="O24" s="50">
        <f t="shared" si="8"/>
        <v>-822692.03091943928</v>
      </c>
      <c r="P24" s="50">
        <f t="shared" si="9"/>
        <v>3660477.9753429489</v>
      </c>
      <c r="Q24" s="50">
        <f t="shared" si="10"/>
        <v>0</v>
      </c>
      <c r="R24" s="50">
        <f t="shared" si="16"/>
        <v>70007583.061225861</v>
      </c>
      <c r="S24" s="6"/>
      <c r="T24" s="44"/>
      <c r="U24" s="50">
        <f>NPV($C$10,J24:J$54)*(1+$C$10)</f>
        <v>1682970780.0927489</v>
      </c>
      <c r="V24" s="50">
        <f>NPV($C$10,K24:K$54)*(1+$C$10)</f>
        <v>-420742695.02318722</v>
      </c>
      <c r="W24" s="50">
        <f>NPV($C$10,L24:L$54)*(1+$C$10)</f>
        <v>-25244561.701391224</v>
      </c>
      <c r="X24" s="50">
        <f>NPV($C$10,M24:M$54)*(1+$C$10)</f>
        <v>-119039855.152098</v>
      </c>
      <c r="Y24" s="50">
        <f>NPV($C$10,N24:N$54)</f>
        <v>-1211812575.1197257</v>
      </c>
      <c r="Z24" s="50">
        <f>NPV($C$10,O24:O$54)</f>
        <v>-18177188.626795892</v>
      </c>
      <c r="AA24" s="50"/>
      <c r="AB24"/>
      <c r="AC24" s="44">
        <f t="shared" si="0"/>
        <v>0</v>
      </c>
      <c r="AD24" s="6"/>
      <c r="AE24" s="50"/>
      <c r="AF24" s="50">
        <f t="shared" si="11"/>
        <v>184829906.38748407</v>
      </c>
      <c r="AG24" s="50">
        <f>NPV($C$11,R25:R$55)</f>
        <v>87169015.689629406</v>
      </c>
      <c r="AH24" s="44"/>
      <c r="AI24" s="25"/>
    </row>
    <row r="25" spans="1:35" ht="14.45" x14ac:dyDescent="0.35">
      <c r="A25" s="21">
        <f t="shared" si="17"/>
        <v>6</v>
      </c>
      <c r="B25" s="47">
        <f t="shared" si="17"/>
        <v>2020</v>
      </c>
      <c r="C25" s="49">
        <f t="shared" si="1"/>
        <v>1.435629326171875E-3</v>
      </c>
      <c r="D25" s="42">
        <f t="shared" si="2"/>
        <v>0.05</v>
      </c>
      <c r="E25" s="42">
        <f t="shared" si="3"/>
        <v>0</v>
      </c>
      <c r="F25" s="49">
        <f t="shared" si="12"/>
        <v>0.72978286827417138</v>
      </c>
      <c r="G25" s="37"/>
      <c r="H25" s="50">
        <f t="shared" si="13"/>
        <v>76929.691813639074</v>
      </c>
      <c r="I25" s="50">
        <f t="shared" si="4"/>
        <v>40132168768.548317</v>
      </c>
      <c r="J25" s="50">
        <f t="shared" si="14"/>
        <v>171360888.51488101</v>
      </c>
      <c r="K25" s="50">
        <f t="shared" si="5"/>
        <v>-42840222.128720254</v>
      </c>
      <c r="L25" s="50">
        <f t="shared" si="6"/>
        <v>-2570413.3277232153</v>
      </c>
      <c r="M25" s="50">
        <f t="shared" si="7"/>
        <v>-10444666.215971507</v>
      </c>
      <c r="N25" s="50">
        <f t="shared" si="15"/>
        <v>-57614918.407006986</v>
      </c>
      <c r="O25" s="50">
        <f t="shared" si="8"/>
        <v>-864223.77610510471</v>
      </c>
      <c r="P25" s="50">
        <f t="shared" si="9"/>
        <v>3465167.6052739806</v>
      </c>
      <c r="Q25" s="50">
        <f t="shared" si="10"/>
        <v>0</v>
      </c>
      <c r="R25" s="50">
        <f t="shared" si="16"/>
        <v>60491612.264627919</v>
      </c>
      <c r="S25" s="6"/>
      <c r="T25" s="44"/>
      <c r="U25" s="50">
        <f>NPV($C$10,J25:J$54)*(1+$C$10)</f>
        <v>1543664299.8424048</v>
      </c>
      <c r="V25" s="50">
        <f>NPV($C$10,K25:K$54)*(1+$C$10)</f>
        <v>-385916074.96060121</v>
      </c>
      <c r="W25" s="50">
        <f>NPV($C$10,L25:L$54)*(1+$C$10)</f>
        <v>-23154964.497636084</v>
      </c>
      <c r="X25" s="50">
        <f>NPV($C$10,M25:M$54)*(1+$C$10)</f>
        <v>-111277511.94764966</v>
      </c>
      <c r="Y25" s="50">
        <f>NPV($C$10,N25:N$54)</f>
        <v>-1190291285.5408888</v>
      </c>
      <c r="Z25" s="50">
        <f>NPV($C$10,O25:O$54)</f>
        <v>-17854369.283113331</v>
      </c>
      <c r="AA25" s="50"/>
      <c r="AB25"/>
      <c r="AC25" s="44">
        <f t="shared" si="0"/>
        <v>0</v>
      </c>
      <c r="AD25" s="6"/>
      <c r="AE25" s="50"/>
      <c r="AF25" s="50">
        <f t="shared" si="11"/>
        <v>250115577.11066151</v>
      </c>
      <c r="AG25" s="50">
        <f>NPV($C$11,R26:R$55)</f>
        <v>37573530.38620507</v>
      </c>
      <c r="AH25" s="44"/>
      <c r="AI25" s="25"/>
    </row>
    <row r="26" spans="1:35" ht="14.45" x14ac:dyDescent="0.35">
      <c r="A26" s="21">
        <f t="shared" si="17"/>
        <v>7</v>
      </c>
      <c r="B26" s="47">
        <f t="shared" si="17"/>
        <v>2021</v>
      </c>
      <c r="C26" s="49">
        <f t="shared" si="1"/>
        <v>1.5433015256347653E-3</v>
      </c>
      <c r="D26" s="42">
        <f t="shared" si="2"/>
        <v>0.05</v>
      </c>
      <c r="E26" s="42">
        <f t="shared" si="3"/>
        <v>0</v>
      </c>
      <c r="F26" s="49">
        <f t="shared" si="12"/>
        <v>0.69222376359717264</v>
      </c>
      <c r="G26" s="37"/>
      <c r="H26" s="50">
        <f t="shared" si="13"/>
        <v>72978.286827417134</v>
      </c>
      <c r="I26" s="50">
        <f t="shared" si="4"/>
        <v>39212950942.363274</v>
      </c>
      <c r="J26" s="50">
        <f t="shared" si="14"/>
        <v>162559133.90807167</v>
      </c>
      <c r="K26" s="50">
        <f t="shared" si="5"/>
        <v>-40639783.477017917</v>
      </c>
      <c r="L26" s="50">
        <f t="shared" si="6"/>
        <v>-2438387.0086210747</v>
      </c>
      <c r="M26" s="50">
        <f t="shared" si="7"/>
        <v>-10155892.668744974</v>
      </c>
      <c r="N26" s="50">
        <f t="shared" si="15"/>
        <v>-60517407.013990447</v>
      </c>
      <c r="O26" s="50">
        <f t="shared" si="8"/>
        <v>-907761.10520985664</v>
      </c>
      <c r="P26" s="50">
        <f t="shared" si="9"/>
        <v>3279752.1226106309</v>
      </c>
      <c r="Q26" s="50">
        <f t="shared" si="10"/>
        <v>0</v>
      </c>
      <c r="R26" s="50">
        <f t="shared" si="16"/>
        <v>51179654.757098034</v>
      </c>
      <c r="S26" s="6"/>
      <c r="T26" s="44"/>
      <c r="U26" s="50">
        <f>NPV($C$10,J26:J$54)*(1+$C$10)</f>
        <v>1410041755.1390309</v>
      </c>
      <c r="V26" s="50">
        <f>NPV($C$10,K26:K$54)*(1+$C$10)</f>
        <v>-352510438.78475773</v>
      </c>
      <c r="W26" s="50">
        <f>NPV($C$10,L26:L$54)*(1+$C$10)</f>
        <v>-21150626.327085476</v>
      </c>
      <c r="X26" s="50">
        <f>NPV($C$10,M26:M$54)*(1+$C$10)</f>
        <v>-103605748.9892993</v>
      </c>
      <c r="Y26" s="50">
        <f>NPV($C$10,N26:N$54)</f>
        <v>-1165409377.4862561</v>
      </c>
      <c r="Z26" s="50">
        <f>NPV($C$10,O26:O$54)</f>
        <v>-17481140.66229384</v>
      </c>
      <c r="AA26" s="50"/>
      <c r="AB26"/>
      <c r="AC26" s="44">
        <f t="shared" si="0"/>
        <v>0</v>
      </c>
      <c r="AD26" s="6"/>
      <c r="AE26" s="50"/>
      <c r="AF26" s="50">
        <f t="shared" si="11"/>
        <v>307900097.56141829</v>
      </c>
      <c r="AG26" s="50">
        <f>NPV($C$11,R27:R$55)</f>
        <v>-8909433.0726172943</v>
      </c>
      <c r="AH26" s="44"/>
      <c r="AI26" s="25"/>
    </row>
    <row r="27" spans="1:35" ht="14.45" x14ac:dyDescent="0.35">
      <c r="A27" s="21">
        <f t="shared" si="17"/>
        <v>8</v>
      </c>
      <c r="B27" s="47">
        <f t="shared" si="17"/>
        <v>2022</v>
      </c>
      <c r="C27" s="49">
        <f t="shared" si="1"/>
        <v>1.6590491400573729E-3</v>
      </c>
      <c r="D27" s="42">
        <f t="shared" si="2"/>
        <v>0.05</v>
      </c>
      <c r="E27" s="42">
        <f t="shared" si="3"/>
        <v>0</v>
      </c>
      <c r="F27" s="49">
        <f t="shared" si="12"/>
        <v>0.65652156383957705</v>
      </c>
      <c r="G27" s="37"/>
      <c r="H27" s="50">
        <f t="shared" si="13"/>
        <v>69222.376359717266</v>
      </c>
      <c r="I27" s="50">
        <f t="shared" si="4"/>
        <v>38310656214.339272</v>
      </c>
      <c r="J27" s="50">
        <f t="shared" si="14"/>
        <v>154192843.34127021</v>
      </c>
      <c r="K27" s="50">
        <f t="shared" si="5"/>
        <v>-38548210.835317552</v>
      </c>
      <c r="L27" s="50">
        <f t="shared" si="6"/>
        <v>-2312892.6501190532</v>
      </c>
      <c r="M27" s="50">
        <f t="shared" si="7"/>
        <v>-9874038.3136626221</v>
      </c>
      <c r="N27" s="50">
        <f t="shared" si="15"/>
        <v>-63559261.247433215</v>
      </c>
      <c r="O27" s="50">
        <f t="shared" si="8"/>
        <v>-953388.91871149815</v>
      </c>
      <c r="P27" s="50">
        <f t="shared" si="9"/>
        <v>3103731.0462651295</v>
      </c>
      <c r="Q27" s="50">
        <f t="shared" si="10"/>
        <v>0</v>
      </c>
      <c r="R27" s="50">
        <f t="shared" si="16"/>
        <v>42048782.422291405</v>
      </c>
      <c r="S27" s="6"/>
      <c r="T27" s="44"/>
      <c r="U27" s="50">
        <f>NPV($C$10,J27:J$54)*(1+$C$10)</f>
        <v>1281788393.3148112</v>
      </c>
      <c r="V27" s="50">
        <f>NPV($C$10,K27:K$54)*(1+$C$10)</f>
        <v>-320447098.32870281</v>
      </c>
      <c r="W27" s="50">
        <f>NPV($C$10,L27:L$54)*(1+$C$10)</f>
        <v>-19226825.899722163</v>
      </c>
      <c r="X27" s="50">
        <f>NPV($C$10,M27:M$54)*(1+$C$10)</f>
        <v>-96019727.369369611</v>
      </c>
      <c r="Y27" s="50">
        <f>NPV($C$10,N27:N$54)</f>
        <v>-1136940728.353138</v>
      </c>
      <c r="Z27" s="50">
        <f>NPV($C$10,O27:O$54)</f>
        <v>-17054110.92529707</v>
      </c>
      <c r="AA27" s="50"/>
      <c r="AB27"/>
      <c r="AC27" s="44">
        <f t="shared" si="0"/>
        <v>0</v>
      </c>
      <c r="AD27" s="6"/>
      <c r="AE27" s="50"/>
      <c r="AF27" s="50">
        <f t="shared" si="11"/>
        <v>358157488.4127934</v>
      </c>
      <c r="AG27" s="50">
        <f>NPV($C$11,R28:R$55)</f>
        <v>-52071894.628985852</v>
      </c>
      <c r="AH27" s="44"/>
      <c r="AI27" s="25"/>
    </row>
    <row r="28" spans="1:35" ht="15" x14ac:dyDescent="0.25">
      <c r="A28" s="21">
        <f t="shared" si="17"/>
        <v>9</v>
      </c>
      <c r="B28" s="47">
        <f t="shared" si="17"/>
        <v>2023</v>
      </c>
      <c r="C28" s="49">
        <f t="shared" si="1"/>
        <v>1.7834778255616758E-3</v>
      </c>
      <c r="D28" s="42">
        <f t="shared" si="2"/>
        <v>0.05</v>
      </c>
      <c r="E28" s="42">
        <f t="shared" si="3"/>
        <v>0</v>
      </c>
      <c r="F28" s="49">
        <f t="shared" si="12"/>
        <v>0.62258313857904279</v>
      </c>
      <c r="G28" s="37"/>
      <c r="H28" s="50">
        <f t="shared" si="13"/>
        <v>65652.156383957699</v>
      </c>
      <c r="I28" s="50">
        <f t="shared" si="4"/>
        <v>37424784368.600365</v>
      </c>
      <c r="J28" s="50">
        <f t="shared" si="14"/>
        <v>146240178.34526578</v>
      </c>
      <c r="K28" s="50">
        <f t="shared" si="5"/>
        <v>-36560044.586316444</v>
      </c>
      <c r="L28" s="50">
        <f t="shared" si="6"/>
        <v>-2193602.6751789865</v>
      </c>
      <c r="M28" s="50">
        <f t="shared" si="7"/>
        <v>-9598893.307918597</v>
      </c>
      <c r="N28" s="50">
        <f t="shared" si="15"/>
        <v>-66746273.04782597</v>
      </c>
      <c r="O28" s="50">
        <f t="shared" si="8"/>
        <v>-1001194.0957173895</v>
      </c>
      <c r="P28" s="50">
        <f t="shared" si="9"/>
        <v>2936629.1332755527</v>
      </c>
      <c r="Q28" s="50">
        <f t="shared" si="10"/>
        <v>0</v>
      </c>
      <c r="R28" s="50">
        <f t="shared" si="16"/>
        <v>33076799.765583951</v>
      </c>
      <c r="S28" s="6"/>
      <c r="T28" s="44"/>
      <c r="U28" s="50">
        <f>NPV($C$10,J28:J$54)*(1+$C$10)</f>
        <v>1158604427.5978136</v>
      </c>
      <c r="V28" s="50">
        <f>NPV($C$10,K28:K$54)*(1+$C$10)</f>
        <v>-289651106.8994534</v>
      </c>
      <c r="W28" s="50">
        <f>NPV($C$10,L28:L$54)*(1+$C$10)</f>
        <v>-17379066.4139672</v>
      </c>
      <c r="X28" s="50">
        <f>NPV($C$10,M28:M$54)*(1+$C$10)</f>
        <v>-88514695.504738942</v>
      </c>
      <c r="Y28" s="50">
        <f>NPV($C$10,N28:N$54)</f>
        <v>-1104647337.1354163</v>
      </c>
      <c r="Z28" s="50">
        <f>NPV($C$10,O28:O$54)</f>
        <v>-16569710.05703124</v>
      </c>
      <c r="AA28" s="50"/>
      <c r="AB28"/>
      <c r="AC28" s="44">
        <f t="shared" si="0"/>
        <v>0</v>
      </c>
      <c r="AD28" s="6"/>
      <c r="AE28" s="50"/>
      <c r="AF28" s="50">
        <f t="shared" si="11"/>
        <v>400838900.01528943</v>
      </c>
      <c r="AG28" s="50">
        <f>NPV($C$11,R29:R$55)</f>
        <v>-91657681.223193035</v>
      </c>
      <c r="AH28" s="44"/>
      <c r="AI28" s="25"/>
    </row>
    <row r="29" spans="1:35" ht="15" x14ac:dyDescent="0.25">
      <c r="A29" s="21">
        <f t="shared" si="17"/>
        <v>10</v>
      </c>
      <c r="B29" s="47">
        <f t="shared" si="17"/>
        <v>2024</v>
      </c>
      <c r="C29" s="49">
        <f t="shared" si="1"/>
        <v>1.9172386624788013E-3</v>
      </c>
      <c r="D29" s="42">
        <f t="shared" si="2"/>
        <v>0.05</v>
      </c>
      <c r="E29" s="42">
        <f t="shared" si="3"/>
        <v>0.05</v>
      </c>
      <c r="F29" s="49">
        <f t="shared" si="12"/>
        <v>0.56080402204892432</v>
      </c>
      <c r="G29" s="37"/>
      <c r="H29" s="50">
        <f t="shared" si="13"/>
        <v>62258.313857904279</v>
      </c>
      <c r="I29" s="50">
        <f t="shared" si="4"/>
        <v>36554840276.498161</v>
      </c>
      <c r="J29" s="50">
        <f t="shared" si="14"/>
        <v>138680394.11848179</v>
      </c>
      <c r="K29" s="50">
        <f t="shared" si="5"/>
        <v>-34670098.529620446</v>
      </c>
      <c r="L29" s="50">
        <f t="shared" si="6"/>
        <v>-2080205.9117772267</v>
      </c>
      <c r="M29" s="50">
        <f t="shared" si="7"/>
        <v>-9330252.329821948</v>
      </c>
      <c r="N29" s="50">
        <f t="shared" si="15"/>
        <v>-70084353.078839555</v>
      </c>
      <c r="O29" s="50">
        <f t="shared" si="8"/>
        <v>-1051265.2961825933</v>
      </c>
      <c r="P29" s="50">
        <f t="shared" si="9"/>
        <v>2777995.120417865</v>
      </c>
      <c r="Q29" s="50">
        <f t="shared" si="10"/>
        <v>0</v>
      </c>
      <c r="R29" s="50">
        <f t="shared" si="16"/>
        <v>24242214.092657886</v>
      </c>
      <c r="S29" s="6"/>
      <c r="T29" s="44"/>
      <c r="U29" s="50">
        <f>NPV($C$10,J29:J$54)*(1+$C$10)</f>
        <v>1040204266.1069928</v>
      </c>
      <c r="V29" s="50">
        <f>NPV($C$10,K29:K$54)*(1+$C$10)</f>
        <v>-260051066.52674821</v>
      </c>
      <c r="W29" s="50">
        <f>NPV($C$10,L29:L$54)*(1+$C$10)</f>
        <v>-15603063.991604893</v>
      </c>
      <c r="X29" s="50">
        <f>NPV($C$10,M29:M$54)*(1+$C$10)</f>
        <v>-81085986.757232875</v>
      </c>
      <c r="Y29" s="50">
        <f>NPV($C$10,N29:N$54)</f>
        <v>-1068278865.8588141</v>
      </c>
      <c r="Z29" s="50">
        <f>NPV($C$10,O29:O$54)</f>
        <v>-16024182.987882212</v>
      </c>
      <c r="AA29" s="50"/>
      <c r="AB29"/>
      <c r="AC29" s="44">
        <f t="shared" si="0"/>
        <v>0</v>
      </c>
      <c r="AD29" s="6"/>
      <c r="AE29" s="50"/>
      <c r="AF29" s="50">
        <f t="shared" si="11"/>
        <v>435872684.26499999</v>
      </c>
      <c r="AG29" s="50">
        <f>NPV($C$11,R30:R$55)</f>
        <v>-127357105.46875003</v>
      </c>
      <c r="AH29" s="44"/>
      <c r="AI29" s="25"/>
    </row>
    <row r="30" spans="1:35" ht="15" x14ac:dyDescent="0.25">
      <c r="A30" s="21">
        <f t="shared" si="17"/>
        <v>11</v>
      </c>
      <c r="B30" s="47">
        <f t="shared" si="17"/>
        <v>2025</v>
      </c>
      <c r="C30" s="49">
        <f t="shared" si="1"/>
        <v>2.0610315621647111E-3</v>
      </c>
      <c r="D30" s="42">
        <f t="shared" si="2"/>
        <v>0.05</v>
      </c>
      <c r="E30" s="42">
        <f t="shared" si="3"/>
        <v>0.05</v>
      </c>
      <c r="F30" s="49">
        <f t="shared" si="12"/>
        <v>0.50508248900151143</v>
      </c>
      <c r="G30" s="37"/>
      <c r="H30" s="50">
        <f t="shared" si="13"/>
        <v>56080.402204892431</v>
      </c>
      <c r="I30" s="50">
        <f t="shared" si="4"/>
        <v>33915316987.512516</v>
      </c>
      <c r="J30" s="50">
        <f t="shared" si="14"/>
        <v>124919095.91139789</v>
      </c>
      <c r="K30" s="50">
        <f t="shared" si="5"/>
        <v>-31229773.977849472</v>
      </c>
      <c r="L30" s="50">
        <f t="shared" si="6"/>
        <v>-1873786.4386709682</v>
      </c>
      <c r="M30" s="50">
        <f t="shared" si="7"/>
        <v>-8614518.7313757725</v>
      </c>
      <c r="N30" s="50">
        <f t="shared" si="15"/>
        <v>-69900538.752084285</v>
      </c>
      <c r="O30" s="50">
        <f t="shared" si="8"/>
        <v>-1048508.0812812642</v>
      </c>
      <c r="P30" s="50">
        <f t="shared" si="9"/>
        <v>2496030.5029050508</v>
      </c>
      <c r="Q30" s="50">
        <f t="shared" si="10"/>
        <v>0</v>
      </c>
      <c r="R30" s="50">
        <f t="shared" si="16"/>
        <v>14748000.433041191</v>
      </c>
      <c r="S30" s="6"/>
      <c r="T30" s="44"/>
      <c r="U30" s="50">
        <f>NPV($C$10,J30:J$54)*(1+$C$10)</f>
        <v>926315778.46819508</v>
      </c>
      <c r="V30" s="50">
        <f>NPV($C$10,K30:K$54)*(1+$C$10)</f>
        <v>-231578944.61704877</v>
      </c>
      <c r="W30" s="50">
        <f>NPV($C$10,L30:L$54)*(1+$C$10)</f>
        <v>-13894736.677022923</v>
      </c>
      <c r="X30" s="50">
        <f>NPV($C$10,M30:M$54)*(1+$C$10)</f>
        <v>-73729017.12416473</v>
      </c>
      <c r="Y30" s="50">
        <f>NPV($C$10,N30:N$54)</f>
        <v>-1027572181.5910922</v>
      </c>
      <c r="Z30" s="50">
        <f>NPV($C$10,O30:O$54)</f>
        <v>-15413582.723866384</v>
      </c>
      <c r="AA30" s="50"/>
      <c r="AB30"/>
      <c r="AC30" s="44">
        <f t="shared" si="0"/>
        <v>0</v>
      </c>
      <c r="AD30" s="6"/>
      <c r="AE30" s="50"/>
      <c r="AF30" s="50">
        <f t="shared" si="11"/>
        <v>462399180.97342014</v>
      </c>
      <c r="AG30" s="50">
        <f>NPV($C$11,R31:R$55)</f>
        <v>-158024744.08538499</v>
      </c>
      <c r="AH30" s="44"/>
      <c r="AI30" s="25"/>
    </row>
    <row r="31" spans="1:35" ht="15" x14ac:dyDescent="0.25">
      <c r="A31" s="21">
        <f t="shared" si="17"/>
        <v>12</v>
      </c>
      <c r="B31" s="47">
        <f t="shared" si="17"/>
        <v>2026</v>
      </c>
      <c r="C31" s="49">
        <f t="shared" si="1"/>
        <v>2.2156089293270645E-3</v>
      </c>
      <c r="D31" s="42">
        <f t="shared" si="2"/>
        <v>0.05</v>
      </c>
      <c r="E31" s="42">
        <f t="shared" si="3"/>
        <v>0.05</v>
      </c>
      <c r="F31" s="49">
        <f t="shared" si="12"/>
        <v>0.45482698991527171</v>
      </c>
      <c r="G31" s="37"/>
      <c r="H31" s="50">
        <f t="shared" si="13"/>
        <v>50508.248900151142</v>
      </c>
      <c r="I31" s="50">
        <f t="shared" si="4"/>
        <v>31461852995.356472</v>
      </c>
      <c r="J31" s="50">
        <f t="shared" si="14"/>
        <v>112507124.42508668</v>
      </c>
      <c r="K31" s="50">
        <f t="shared" si="5"/>
        <v>-28126781.106271669</v>
      </c>
      <c r="L31" s="50">
        <f t="shared" si="6"/>
        <v>-1687606.8663763001</v>
      </c>
      <c r="M31" s="50">
        <f t="shared" si="7"/>
        <v>-7952543.9388952544</v>
      </c>
      <c r="N31" s="50">
        <f t="shared" si="15"/>
        <v>-69707162.429687247</v>
      </c>
      <c r="O31" s="50">
        <f t="shared" si="8"/>
        <v>-1045607.4364453086</v>
      </c>
      <c r="P31" s="50">
        <f t="shared" si="9"/>
        <v>2242205.7754063038</v>
      </c>
      <c r="Q31" s="50">
        <f t="shared" si="10"/>
        <v>0</v>
      </c>
      <c r="R31" s="50">
        <f t="shared" si="16"/>
        <v>6229628.4228172051</v>
      </c>
      <c r="S31" s="6"/>
      <c r="T31" s="44"/>
      <c r="U31" s="50">
        <f>NPV($C$10,J31:J$54)*(1+$C$10)</f>
        <v>823435091.3271091</v>
      </c>
      <c r="V31" s="50">
        <f>NPV($C$10,K31:K$54)*(1+$C$10)</f>
        <v>-205858772.83177727</v>
      </c>
      <c r="W31" s="50">
        <f>NPV($C$10,L31:L$54)*(1+$C$10)</f>
        <v>-12351526.369906636</v>
      </c>
      <c r="X31" s="50">
        <f>NPV($C$10,M31:M$54)*(1+$C$10)</f>
        <v>-66905147.098590665</v>
      </c>
      <c r="Y31" s="50">
        <f>NPV($C$10,N31:N$54)</f>
        <v>-985929877.8327632</v>
      </c>
      <c r="Z31" s="50">
        <f>NPV($C$10,O31:O$54)</f>
        <v>-14788948.167491445</v>
      </c>
      <c r="AA31" s="50"/>
      <c r="AB31"/>
      <c r="AC31" s="44">
        <f t="shared" si="0"/>
        <v>0</v>
      </c>
      <c r="AD31" s="6"/>
      <c r="AE31" s="50"/>
      <c r="AF31" s="50">
        <f t="shared" si="11"/>
        <v>481157936.3917222</v>
      </c>
      <c r="AG31" s="50">
        <f>NPV($C$11,R32:R$55)</f>
        <v>-184007465.51887533</v>
      </c>
      <c r="AH31" s="44"/>
      <c r="AI31" s="25"/>
    </row>
    <row r="32" spans="1:35" ht="15" x14ac:dyDescent="0.25">
      <c r="A32" s="21">
        <f t="shared" si="17"/>
        <v>13</v>
      </c>
      <c r="B32" s="47">
        <f t="shared" si="17"/>
        <v>2027</v>
      </c>
      <c r="C32" s="49">
        <f t="shared" si="1"/>
        <v>2.3817795990265945E-3</v>
      </c>
      <c r="D32" s="42">
        <f t="shared" si="2"/>
        <v>0.05</v>
      </c>
      <c r="E32" s="42">
        <f t="shared" si="3"/>
        <v>0.05</v>
      </c>
      <c r="F32" s="49">
        <f t="shared" si="12"/>
        <v>0.40950368227331835</v>
      </c>
      <c r="G32" s="37"/>
      <c r="H32" s="50">
        <f t="shared" si="13"/>
        <v>45482.69899152717</v>
      </c>
      <c r="I32" s="50">
        <f t="shared" si="4"/>
        <v>29181353962.642906</v>
      </c>
      <c r="J32" s="50">
        <f t="shared" si="14"/>
        <v>101312712.00362678</v>
      </c>
      <c r="K32" s="50">
        <f t="shared" si="5"/>
        <v>-25328178.000906695</v>
      </c>
      <c r="L32" s="50">
        <f t="shared" si="6"/>
        <v>-1519690.6800544015</v>
      </c>
      <c r="M32" s="50">
        <f t="shared" si="7"/>
        <v>-7340300.8284315886</v>
      </c>
      <c r="N32" s="50">
        <f t="shared" si="15"/>
        <v>-69503553.540196747</v>
      </c>
      <c r="O32" s="50">
        <f t="shared" si="8"/>
        <v>-1042553.3031029511</v>
      </c>
      <c r="P32" s="50">
        <f t="shared" si="9"/>
        <v>2013736.274827023</v>
      </c>
      <c r="Q32" s="50">
        <f t="shared" si="10"/>
        <v>0</v>
      </c>
      <c r="R32" s="50">
        <f t="shared" si="16"/>
        <v>-1407828.0742385746</v>
      </c>
      <c r="S32" s="6"/>
      <c r="T32" s="44"/>
      <c r="U32" s="50">
        <f>NPV($C$10,J32:J$54)*(1+$C$10)</f>
        <v>730478485.9918282</v>
      </c>
      <c r="V32" s="50">
        <f>NPV($C$10,K32:K$54)*(1+$C$10)</f>
        <v>-182619621.49795705</v>
      </c>
      <c r="W32" s="50">
        <f>NPV($C$10,L32:L$54)*(1+$C$10)</f>
        <v>-10957177.28987742</v>
      </c>
      <c r="X32" s="50">
        <f>NPV($C$10,M32:M$54)*(1+$C$10)</f>
        <v>-60573799.746587053</v>
      </c>
      <c r="Y32" s="50">
        <f>NPV($C$10,N32:N$54)</f>
        <v>-943335787.0434767</v>
      </c>
      <c r="Z32" s="50">
        <f>NPV($C$10,O32:O$54)</f>
        <v>-14150036.805652149</v>
      </c>
      <c r="AA32" s="50"/>
      <c r="AB32"/>
      <c r="AC32" s="44">
        <f t="shared" si="0"/>
        <v>0</v>
      </c>
      <c r="AD32" s="6"/>
      <c r="AE32" s="50"/>
      <c r="AF32" s="50">
        <f t="shared" si="11"/>
        <v>492814140.21202052</v>
      </c>
      <c r="AG32" s="50">
        <f>NPV($C$11,R33:R$55)</f>
        <v>-205600570.63449618</v>
      </c>
      <c r="AH32" s="44"/>
      <c r="AI32" s="25"/>
    </row>
    <row r="33" spans="1:35" ht="15" x14ac:dyDescent="0.25">
      <c r="A33" s="21">
        <f t="shared" si="17"/>
        <v>14</v>
      </c>
      <c r="B33" s="47">
        <f t="shared" si="17"/>
        <v>2028</v>
      </c>
      <c r="C33" s="49">
        <f t="shared" si="1"/>
        <v>2.560413068953589E-3</v>
      </c>
      <c r="D33" s="42">
        <f t="shared" si="2"/>
        <v>0.05</v>
      </c>
      <c r="E33" s="42">
        <f t="shared" si="3"/>
        <v>0.05</v>
      </c>
      <c r="F33" s="49">
        <f t="shared" si="12"/>
        <v>0.36863080328333059</v>
      </c>
      <c r="G33" s="37"/>
      <c r="H33" s="50">
        <f t="shared" si="13"/>
        <v>40950.368227331834</v>
      </c>
      <c r="I33" s="50">
        <f t="shared" si="4"/>
        <v>27061648344.041649</v>
      </c>
      <c r="J33" s="50">
        <f t="shared" si="14"/>
        <v>91216945.22638166</v>
      </c>
      <c r="K33" s="50">
        <f t="shared" si="5"/>
        <v>-22804236.306595415</v>
      </c>
      <c r="L33" s="50">
        <f t="shared" si="6"/>
        <v>-1368254.1783957249</v>
      </c>
      <c r="M33" s="50">
        <f t="shared" si="7"/>
        <v>-6774064.1870582383</v>
      </c>
      <c r="N33" s="50">
        <f t="shared" si="15"/>
        <v>-69288998.087510481</v>
      </c>
      <c r="O33" s="50">
        <f t="shared" si="8"/>
        <v>-1039334.9713126572</v>
      </c>
      <c r="P33" s="50">
        <f t="shared" si="9"/>
        <v>1808111.7166299683</v>
      </c>
      <c r="Q33" s="50">
        <f t="shared" si="10"/>
        <v>0</v>
      </c>
      <c r="R33" s="50">
        <f t="shared" si="16"/>
        <v>-8249830.7878608918</v>
      </c>
      <c r="S33" s="6"/>
      <c r="T33" s="44"/>
      <c r="U33" s="50">
        <f>NPV($C$10,J33:J$54)*(1+$C$10)</f>
        <v>646467832.7728771</v>
      </c>
      <c r="V33" s="50">
        <f>NPV($C$10,K33:K$54)*(1+$C$10)</f>
        <v>-161616958.19321927</v>
      </c>
      <c r="W33" s="50">
        <f>NPV($C$10,L33:L$54)*(1+$C$10)</f>
        <v>-9697017.4915931523</v>
      </c>
      <c r="X33" s="50">
        <f>NPV($C$10,M33:M$54)*(1+$C$10)</f>
        <v>-54697420.138404734</v>
      </c>
      <c r="Y33" s="50">
        <f>NPV($C$10,N33:N$54)</f>
        <v>-899773967.64697587</v>
      </c>
      <c r="Z33" s="50">
        <f>NPV($C$10,O33:O$54)</f>
        <v>-13496609.514704635</v>
      </c>
      <c r="AA33" s="50"/>
      <c r="AB33"/>
      <c r="AC33" s="44">
        <f t="shared" si="0"/>
        <v>0</v>
      </c>
      <c r="AD33" s="6"/>
      <c r="AE33" s="50"/>
      <c r="AF33" s="50">
        <f t="shared" si="11"/>
        <v>497966022.3036046</v>
      </c>
      <c r="AG33" s="50">
        <f>NPV($C$11,R34:R$55)</f>
        <v>-223050811.17594728</v>
      </c>
      <c r="AH33" s="44"/>
      <c r="AI33" s="25"/>
    </row>
    <row r="34" spans="1:35" ht="15" x14ac:dyDescent="0.25">
      <c r="A34" s="21">
        <f t="shared" si="17"/>
        <v>15</v>
      </c>
      <c r="B34" s="47">
        <f t="shared" si="17"/>
        <v>2029</v>
      </c>
      <c r="C34" s="49">
        <f t="shared" si="1"/>
        <v>2.7524440491251082E-3</v>
      </c>
      <c r="D34" s="42">
        <f t="shared" si="2"/>
        <v>0.05</v>
      </c>
      <c r="E34" s="42">
        <f t="shared" si="3"/>
        <v>0.05</v>
      </c>
      <c r="F34" s="49">
        <f t="shared" si="12"/>
        <v>0.33177359127931444</v>
      </c>
      <c r="G34" s="37"/>
      <c r="H34" s="50">
        <f t="shared" si="13"/>
        <v>36863.080328333061</v>
      </c>
      <c r="I34" s="50">
        <f t="shared" si="4"/>
        <v>25091422439.01532</v>
      </c>
      <c r="J34" s="50">
        <f t="shared" si="14"/>
        <v>82112511.431361884</v>
      </c>
      <c r="K34" s="50">
        <f t="shared" si="5"/>
        <v>-20528127.857840471</v>
      </c>
      <c r="L34" s="50">
        <f t="shared" si="6"/>
        <v>-1231687.6714704281</v>
      </c>
      <c r="M34" s="50">
        <f t="shared" si="7"/>
        <v>-6250388.0957265161</v>
      </c>
      <c r="N34" s="50">
        <f t="shared" si="15"/>
        <v>-69062736.376351923</v>
      </c>
      <c r="O34" s="50">
        <f t="shared" si="8"/>
        <v>-1035941.0456452788</v>
      </c>
      <c r="P34" s="50">
        <f t="shared" si="9"/>
        <v>1623069.2341897339</v>
      </c>
      <c r="Q34" s="50">
        <f t="shared" si="10"/>
        <v>0</v>
      </c>
      <c r="R34" s="50">
        <f t="shared" si="16"/>
        <v>-14373300.381483</v>
      </c>
      <c r="S34" s="6"/>
      <c r="T34" s="44"/>
      <c r="U34" s="50">
        <f>NPV($C$10,J34:J$54)*(1+$C$10)</f>
        <v>570520286.95402384</v>
      </c>
      <c r="V34" s="50">
        <f>NPV($C$10,K34:K$54)*(1+$C$10)</f>
        <v>-142630071.73850596</v>
      </c>
      <c r="W34" s="50">
        <f>NPV($C$10,L34:L$54)*(1+$C$10)</f>
        <v>-8557804.3043103572</v>
      </c>
      <c r="X34" s="50">
        <f>NPV($C$10,M34:M$54)*(1+$C$10)</f>
        <v>-49241248.240008518</v>
      </c>
      <c r="Y34" s="50">
        <f>NPV($C$10,N34:N$54)</f>
        <v>-855228753.66975737</v>
      </c>
      <c r="Z34" s="50">
        <f>NPV($C$10,O34:O$54)</f>
        <v>-12828431.305046357</v>
      </c>
      <c r="AA34" s="50"/>
      <c r="AB34"/>
      <c r="AC34" s="44">
        <f t="shared" si="0"/>
        <v>0</v>
      </c>
      <c r="AD34" s="6"/>
      <c r="AE34" s="50"/>
      <c r="AF34" s="50">
        <f t="shared" si="11"/>
        <v>497151531.76595467</v>
      </c>
      <c r="AG34" s="50">
        <f>NPV($C$11,R35:R$55)</f>
        <v>-236558862.19145775</v>
      </c>
      <c r="AH34" s="44"/>
      <c r="AI34" s="25"/>
    </row>
    <row r="35" spans="1:35" ht="15" x14ac:dyDescent="0.25">
      <c r="A35" s="21">
        <f t="shared" si="17"/>
        <v>16</v>
      </c>
      <c r="B35" s="47">
        <f t="shared" si="17"/>
        <v>2030</v>
      </c>
      <c r="C35" s="49">
        <f t="shared" si="1"/>
        <v>2.9588773528094912E-3</v>
      </c>
      <c r="D35" s="42">
        <f t="shared" si="2"/>
        <v>0.05</v>
      </c>
      <c r="E35" s="42">
        <f t="shared" si="3"/>
        <v>0.05</v>
      </c>
      <c r="F35" s="49">
        <f t="shared" si="12"/>
        <v>0.29853970230722054</v>
      </c>
      <c r="G35" s="37"/>
      <c r="H35" s="50">
        <f t="shared" si="13"/>
        <v>33177.359127931442</v>
      </c>
      <c r="I35" s="50">
        <f t="shared" si="4"/>
        <v>23260160020.580612</v>
      </c>
      <c r="J35" s="50">
        <f t="shared" si="14"/>
        <v>73902567.457467288</v>
      </c>
      <c r="K35" s="50">
        <f t="shared" si="5"/>
        <v>-18475641.864366822</v>
      </c>
      <c r="L35" s="50">
        <f t="shared" si="6"/>
        <v>-1108538.5118620093</v>
      </c>
      <c r="M35" s="50">
        <f t="shared" si="7"/>
        <v>-5766085.0073078955</v>
      </c>
      <c r="N35" s="50">
        <f t="shared" si="15"/>
        <v>-68823960.707620725</v>
      </c>
      <c r="O35" s="50">
        <f t="shared" si="8"/>
        <v>-1032359.4106143109</v>
      </c>
      <c r="P35" s="50">
        <f t="shared" si="9"/>
        <v>1456569.0622179168</v>
      </c>
      <c r="Q35" s="50">
        <f t="shared" si="10"/>
        <v>0</v>
      </c>
      <c r="R35" s="50">
        <f t="shared" si="16"/>
        <v>-19847448.982086558</v>
      </c>
      <c r="S35" s="6"/>
      <c r="T35" s="44"/>
      <c r="U35" s="50">
        <f>NPV($C$10,J35:J$54)*(1+$C$10)</f>
        <v>501838989.34953529</v>
      </c>
      <c r="V35" s="50">
        <f>NPV($C$10,K35:K$54)*(1+$C$10)</f>
        <v>-125459747.33738382</v>
      </c>
      <c r="W35" s="50">
        <f>NPV($C$10,L35:L$54)*(1+$C$10)</f>
        <v>-7527584.8402430275</v>
      </c>
      <c r="X35" s="50">
        <f>NPV($C$10,M35:M$54)*(1+$C$10)</f>
        <v>-44173108.798249759</v>
      </c>
      <c r="Y35" s="50">
        <f>NPV($C$10,N35:N$54)</f>
        <v>-809684808.01932359</v>
      </c>
      <c r="Z35" s="50">
        <f>NPV($C$10,O35:O$54)</f>
        <v>-12145272.120289851</v>
      </c>
      <c r="AA35" s="50"/>
      <c r="AB35"/>
      <c r="AC35" s="44">
        <f t="shared" si="0"/>
        <v>0</v>
      </c>
      <c r="AD35" s="6"/>
      <c r="AE35" s="50"/>
      <c r="AF35" s="50">
        <f t="shared" si="11"/>
        <v>490854369.15224707</v>
      </c>
      <c r="AG35" s="50">
        <f>NPV($C$11,R36:R$55)</f>
        <v>-246281270.9833034</v>
      </c>
      <c r="AH35" s="44"/>
      <c r="AI35" s="25"/>
    </row>
    <row r="36" spans="1:35" ht="15" x14ac:dyDescent="0.25">
      <c r="A36" s="21">
        <f t="shared" si="17"/>
        <v>17</v>
      </c>
      <c r="B36" s="47">
        <f t="shared" si="17"/>
        <v>2031</v>
      </c>
      <c r="C36" s="49">
        <f t="shared" si="1"/>
        <v>3.1807931542702029E-3</v>
      </c>
      <c r="D36" s="42">
        <f t="shared" si="2"/>
        <v>0.05</v>
      </c>
      <c r="E36" s="42">
        <f t="shared" si="3"/>
        <v>0.05</v>
      </c>
      <c r="F36" s="49">
        <f t="shared" si="12"/>
        <v>0.26857507361242411</v>
      </c>
      <c r="G36" s="37"/>
      <c r="H36" s="50">
        <f t="shared" si="13"/>
        <v>29853.970230722054</v>
      </c>
      <c r="I36" s="50">
        <f t="shared" si="4"/>
        <v>21558086217.856434</v>
      </c>
      <c r="J36" s="50">
        <f t="shared" si="14"/>
        <v>66499718.68893338</v>
      </c>
      <c r="K36" s="50">
        <f t="shared" si="5"/>
        <v>-16624929.672233345</v>
      </c>
      <c r="L36" s="50">
        <f t="shared" si="6"/>
        <v>-997495.78033400071</v>
      </c>
      <c r="M36" s="50">
        <f t="shared" si="7"/>
        <v>-5318206.3927848022</v>
      </c>
      <c r="N36" s="50">
        <f t="shared" si="15"/>
        <v>-68571813.06092456</v>
      </c>
      <c r="O36" s="50">
        <f t="shared" si="8"/>
        <v>-1028577.1959138684</v>
      </c>
      <c r="P36" s="50">
        <f t="shared" si="9"/>
        <v>1306772.6053074368</v>
      </c>
      <c r="Q36" s="50">
        <f t="shared" si="10"/>
        <v>0</v>
      </c>
      <c r="R36" s="50">
        <f t="shared" si="16"/>
        <v>-24734530.807949763</v>
      </c>
      <c r="S36" s="6"/>
      <c r="T36" s="44"/>
      <c r="U36" s="50">
        <f>NPV($C$10,J36:J$54)*(1+$C$10)</f>
        <v>439704673.49409986</v>
      </c>
      <c r="V36" s="50">
        <f>NPV($C$10,K36:K$54)*(1+$C$10)</f>
        <v>-109926168.37352496</v>
      </c>
      <c r="W36" s="50">
        <f>NPV($C$10,L36:L$54)*(1+$C$10)</f>
        <v>-6595570.1024114955</v>
      </c>
      <c r="X36" s="50">
        <f>NPV($C$10,M36:M$54)*(1+$C$10)</f>
        <v>-39463216.945192769</v>
      </c>
      <c r="Y36" s="50">
        <f>NPV($C$10,N36:N$54)</f>
        <v>-763127179.53223419</v>
      </c>
      <c r="Z36" s="50">
        <f>NPV($C$10,O36:O$54)</f>
        <v>-11446907.692983514</v>
      </c>
      <c r="AA36" s="50"/>
      <c r="AB36"/>
      <c r="AC36" s="44">
        <f t="shared" si="0"/>
        <v>0</v>
      </c>
      <c r="AD36" s="6"/>
      <c r="AE36" s="50"/>
      <c r="AF36" s="50">
        <f t="shared" si="11"/>
        <v>479509435.77887553</v>
      </c>
      <c r="AG36" s="50">
        <f>NPV($C$11,R37:R$55)</f>
        <v>-252331899.04826647</v>
      </c>
      <c r="AH36" s="44"/>
      <c r="AI36" s="25"/>
    </row>
    <row r="37" spans="1:35" ht="15" x14ac:dyDescent="0.25">
      <c r="A37" s="21">
        <f t="shared" si="17"/>
        <v>18</v>
      </c>
      <c r="B37" s="47">
        <f t="shared" si="17"/>
        <v>2032</v>
      </c>
      <c r="C37" s="49">
        <f t="shared" si="1"/>
        <v>3.419352640840468E-3</v>
      </c>
      <c r="D37" s="42">
        <f t="shared" si="2"/>
        <v>0.05</v>
      </c>
      <c r="E37" s="42">
        <f t="shared" si="3"/>
        <v>0.05</v>
      </c>
      <c r="F37" s="49">
        <f t="shared" si="12"/>
        <v>0.24156019045449617</v>
      </c>
      <c r="G37" s="37"/>
      <c r="H37" s="50">
        <f t="shared" si="13"/>
        <v>26857.507361242409</v>
      </c>
      <c r="I37" s="50">
        <f t="shared" si="4"/>
        <v>19976115352.837788</v>
      </c>
      <c r="J37" s="50">
        <f t="shared" si="14"/>
        <v>59825097.647167467</v>
      </c>
      <c r="K37" s="50">
        <f t="shared" si="5"/>
        <v>-14956274.411791867</v>
      </c>
      <c r="L37" s="50">
        <f t="shared" si="6"/>
        <v>-897376.46470751194</v>
      </c>
      <c r="M37" s="50">
        <f t="shared" si="7"/>
        <v>-4904024.8380677057</v>
      </c>
      <c r="N37" s="50">
        <f t="shared" si="15"/>
        <v>-68305382.785459712</v>
      </c>
      <c r="O37" s="50">
        <f t="shared" si="8"/>
        <v>-1024580.7417818956</v>
      </c>
      <c r="P37" s="50">
        <f t="shared" si="9"/>
        <v>1172022.6579780115</v>
      </c>
      <c r="Q37" s="50">
        <f t="shared" si="10"/>
        <v>0</v>
      </c>
      <c r="R37" s="50">
        <f t="shared" si="16"/>
        <v>-29090518.936663207</v>
      </c>
      <c r="S37" s="6"/>
      <c r="T37" s="44"/>
      <c r="U37" s="50">
        <f>NPV($C$10,J37:J$54)*(1+$C$10)</f>
        <v>383468091.06230849</v>
      </c>
      <c r="V37" s="50">
        <f>NPV($C$10,K37:K$54)*(1+$C$10)</f>
        <v>-95867022.765577123</v>
      </c>
      <c r="W37" s="50">
        <f>NPV($C$10,L37:L$54)*(1+$C$10)</f>
        <v>-5752021.3659346271</v>
      </c>
      <c r="X37" s="50">
        <f>NPV($C$10,M37:M$54)*(1+$C$10)</f>
        <v>-35083998.342599191</v>
      </c>
      <c r="Y37" s="50">
        <f>NPV($C$10,N37:N$54)</f>
        <v>-715541363.90844631</v>
      </c>
      <c r="Z37" s="50">
        <f>NPV($C$10,O37:O$54)</f>
        <v>-10733120.458626693</v>
      </c>
      <c r="AA37" s="50"/>
      <c r="AB37"/>
      <c r="AC37" s="44">
        <f t="shared" si="0"/>
        <v>0</v>
      </c>
      <c r="AD37" s="6"/>
      <c r="AE37" s="50"/>
      <c r="AF37" s="50">
        <f t="shared" si="11"/>
        <v>463507757.77129996</v>
      </c>
      <c r="AG37" s="50">
        <f>NPV($C$11,R38:R$55)</f>
        <v>-254782867.49263668</v>
      </c>
      <c r="AH37" s="44"/>
      <c r="AI37" s="25"/>
    </row>
    <row r="38" spans="1:35" ht="15" x14ac:dyDescent="0.25">
      <c r="A38" s="21">
        <f t="shared" ref="A38:B50" si="18">+A37+1</f>
        <v>19</v>
      </c>
      <c r="B38" s="47">
        <f t="shared" si="18"/>
        <v>2033</v>
      </c>
      <c r="C38" s="49">
        <f t="shared" si="1"/>
        <v>3.6758040889035026E-3</v>
      </c>
      <c r="D38" s="42">
        <f t="shared" si="2"/>
        <v>0.05</v>
      </c>
      <c r="E38" s="42">
        <f t="shared" si="3"/>
        <v>0.05</v>
      </c>
      <c r="F38" s="49">
        <f t="shared" si="12"/>
        <v>0.21720671692313323</v>
      </c>
      <c r="G38" s="37"/>
      <c r="H38" s="50">
        <f t="shared" si="13"/>
        <v>24156.019045449619</v>
      </c>
      <c r="I38" s="50">
        <f t="shared" si="4"/>
        <v>18505802452.911388</v>
      </c>
      <c r="J38" s="50">
        <f t="shared" si="14"/>
        <v>53807532.423739024</v>
      </c>
      <c r="K38" s="50">
        <f t="shared" si="5"/>
        <v>-13451883.105934756</v>
      </c>
      <c r="L38" s="50">
        <f t="shared" si="6"/>
        <v>-807112.98635608528</v>
      </c>
      <c r="M38" s="50">
        <f t="shared" si="7"/>
        <v>-4521017.4827183811</v>
      </c>
      <c r="N38" s="50">
        <f t="shared" si="15"/>
        <v>-68023704.324852154</v>
      </c>
      <c r="O38" s="50">
        <f t="shared" si="8"/>
        <v>-1020355.5648727822</v>
      </c>
      <c r="P38" s="50">
        <f t="shared" si="9"/>
        <v>1050825.565461894</v>
      </c>
      <c r="Q38" s="50">
        <f t="shared" si="10"/>
        <v>0</v>
      </c>
      <c r="R38" s="50">
        <f t="shared" si="16"/>
        <v>-32965715.475533236</v>
      </c>
      <c r="S38" s="6"/>
      <c r="T38" s="44"/>
      <c r="U38" s="50">
        <f>NPV($C$10,J38:J$54)*(1+$C$10)</f>
        <v>332543175.73405731</v>
      </c>
      <c r="V38" s="50">
        <f>NPV($C$10,K38:K$54)*(1+$C$10)</f>
        <v>-83135793.933514327</v>
      </c>
      <c r="W38" s="50">
        <f>NPV($C$10,L38:L$54)*(1+$C$10)</f>
        <v>-4988147.636010861</v>
      </c>
      <c r="X38" s="50">
        <f>NPV($C$10,M38:M$54)*(1+$C$10)</f>
        <v>-31009922.775906105</v>
      </c>
      <c r="Y38" s="50">
        <f>NPV($C$10,N38:N$54)</f>
        <v>-666913368.63046896</v>
      </c>
      <c r="Z38" s="50">
        <f>NPV($C$10,O38:O$54)</f>
        <v>-10003700.529457033</v>
      </c>
      <c r="AA38" s="50"/>
      <c r="AB38"/>
      <c r="AC38" s="44">
        <f t="shared" si="0"/>
        <v>0</v>
      </c>
      <c r="AD38" s="6"/>
      <c r="AE38" s="50"/>
      <c r="AF38" s="50">
        <f t="shared" si="11"/>
        <v>443200936.83735543</v>
      </c>
      <c r="AG38" s="50">
        <f>NPV($C$11,R39:R$55)</f>
        <v>-253665010.45368302</v>
      </c>
      <c r="AH38" s="44"/>
      <c r="AI38" s="25"/>
    </row>
    <row r="39" spans="1:35" ht="15" x14ac:dyDescent="0.25">
      <c r="A39" s="21">
        <f t="shared" si="18"/>
        <v>20</v>
      </c>
      <c r="B39" s="47">
        <f t="shared" si="18"/>
        <v>2034</v>
      </c>
      <c r="C39" s="49">
        <f t="shared" si="1"/>
        <v>3.9514893955712657E-3</v>
      </c>
      <c r="D39" s="42">
        <f t="shared" si="2"/>
        <v>0.05</v>
      </c>
      <c r="E39" s="42">
        <f t="shared" si="3"/>
        <v>0.05</v>
      </c>
      <c r="F39" s="49">
        <f t="shared" si="12"/>
        <v>0.19525445526331955</v>
      </c>
      <c r="G39" s="37"/>
      <c r="H39" s="50">
        <f t="shared" si="13"/>
        <v>21720.671692313324</v>
      </c>
      <c r="I39" s="50">
        <f t="shared" si="4"/>
        <v>17139298180.217325</v>
      </c>
      <c r="J39" s="50">
        <f t="shared" si="14"/>
        <v>48382796.194627926</v>
      </c>
      <c r="K39" s="50">
        <f t="shared" si="5"/>
        <v>-12095699.048656981</v>
      </c>
      <c r="L39" s="50">
        <f t="shared" si="6"/>
        <v>-725741.94291941891</v>
      </c>
      <c r="M39" s="50">
        <f t="shared" si="7"/>
        <v>-4166850.7000009553</v>
      </c>
      <c r="N39" s="50">
        <f t="shared" si="15"/>
        <v>-67725755.006662652</v>
      </c>
      <c r="O39" s="50">
        <f t="shared" si="8"/>
        <v>-1015886.3250999397</v>
      </c>
      <c r="P39" s="50">
        <f t="shared" si="9"/>
        <v>941835.13509151689</v>
      </c>
      <c r="Q39" s="50">
        <f t="shared" si="10"/>
        <v>0</v>
      </c>
      <c r="R39" s="50">
        <f t="shared" si="16"/>
        <v>-36405301.69362051</v>
      </c>
      <c r="S39" s="6"/>
      <c r="T39" s="44"/>
      <c r="U39" s="50">
        <f>NPV($C$10,J39:J$54)*(1+$C$10)</f>
        <v>286400873.50135213</v>
      </c>
      <c r="V39" s="50">
        <f>NPV($C$10,K39:K$54)*(1+$C$10)</f>
        <v>-71600218.375338033</v>
      </c>
      <c r="W39" s="50">
        <f>NPV($C$10,L39:L$54)*(1+$C$10)</f>
        <v>-4296013.1025202824</v>
      </c>
      <c r="X39" s="50">
        <f>NPV($C$10,M39:M$54)*(1+$C$10)</f>
        <v>-27217350.188750394</v>
      </c>
      <c r="Y39" s="50">
        <f>NPV($C$10,N39:N$54)</f>
        <v>-617229781.94295454</v>
      </c>
      <c r="Z39" s="50">
        <f>NPV($C$10,O39:O$54)</f>
        <v>-9258446.7291443218</v>
      </c>
      <c r="AA39" s="50"/>
      <c r="AB39"/>
      <c r="AC39" s="44">
        <f t="shared" si="0"/>
        <v>0</v>
      </c>
      <c r="AD39" s="6"/>
      <c r="AE39" s="50"/>
      <c r="AF39" s="50">
        <f t="shared" si="11"/>
        <v>418905174.64550465</v>
      </c>
      <c r="AG39" s="50">
        <f>NPV($C$11,R40:R$55)</f>
        <v>-248967835.06677279</v>
      </c>
      <c r="AH39" s="44"/>
      <c r="AI39" s="25"/>
    </row>
    <row r="40" spans="1:35" ht="15" x14ac:dyDescent="0.25">
      <c r="A40" s="21">
        <f t="shared" si="18"/>
        <v>21</v>
      </c>
      <c r="B40" s="47">
        <f t="shared" si="18"/>
        <v>2035</v>
      </c>
      <c r="C40" s="49">
        <f t="shared" si="1"/>
        <v>4.24785110023911E-3</v>
      </c>
      <c r="D40" s="42">
        <f t="shared" si="2"/>
        <v>0.05</v>
      </c>
      <c r="E40" s="42">
        <f t="shared" si="3"/>
        <v>0.06</v>
      </c>
      <c r="F40" s="49">
        <f t="shared" si="12"/>
        <v>0.17362156376575746</v>
      </c>
      <c r="G40" s="37"/>
      <c r="H40" s="50">
        <f t="shared" si="13"/>
        <v>19525.445526331954</v>
      </c>
      <c r="I40" s="50">
        <f t="shared" si="4"/>
        <v>15869306937.165201</v>
      </c>
      <c r="J40" s="50">
        <f t="shared" si="14"/>
        <v>43492929.909904428</v>
      </c>
      <c r="K40" s="50">
        <f t="shared" si="5"/>
        <v>-10873232.477476107</v>
      </c>
      <c r="L40" s="50">
        <f t="shared" si="6"/>
        <v>-652393.94864856638</v>
      </c>
      <c r="M40" s="50">
        <f t="shared" si="7"/>
        <v>-3839365.9252130515</v>
      </c>
      <c r="N40" s="50">
        <f t="shared" si="15"/>
        <v>-67410452.933069333</v>
      </c>
      <c r="O40" s="50">
        <f t="shared" si="8"/>
        <v>-1011156.79399604</v>
      </c>
      <c r="P40" s="50">
        <f t="shared" si="9"/>
        <v>843838.12675700116</v>
      </c>
      <c r="Q40" s="50">
        <f t="shared" si="10"/>
        <v>0</v>
      </c>
      <c r="R40" s="50">
        <f t="shared" si="16"/>
        <v>-39449834.041741669</v>
      </c>
      <c r="S40" s="6"/>
      <c r="T40" s="44"/>
      <c r="U40" s="50">
        <f>NPV($C$10,J40:J$54)*(1+$C$10)</f>
        <v>244563574.43265921</v>
      </c>
      <c r="V40" s="50">
        <f>NPV($C$10,K40:K$54)*(1+$C$10)</f>
        <v>-61140893.608164802</v>
      </c>
      <c r="W40" s="50">
        <f>NPV($C$10,L40:L$54)*(1+$C$10)</f>
        <v>-3668453.6164898872</v>
      </c>
      <c r="X40" s="50">
        <f>NPV($C$10,M40:M$54)*(1+$C$10)</f>
        <v>-23684388.224690042</v>
      </c>
      <c r="Y40" s="50">
        <f>NPV($C$10,N40:N$54)</f>
        <v>-566477845.93972325</v>
      </c>
      <c r="Z40" s="50">
        <f>NPV($C$10,O40:O$54)</f>
        <v>-8497167.6890958492</v>
      </c>
      <c r="AA40" s="50"/>
      <c r="AB40"/>
      <c r="AC40" s="44">
        <f t="shared" si="0"/>
        <v>0</v>
      </c>
      <c r="AD40" s="6"/>
      <c r="AE40" s="50"/>
      <c r="AF40" s="50">
        <f t="shared" si="11"/>
        <v>390904913.06261802</v>
      </c>
      <c r="AG40" s="50">
        <f>NPV($C$11,R41:R$55)</f>
        <v>-240638980.40837777</v>
      </c>
      <c r="AH40" s="44"/>
      <c r="AI40" s="25"/>
    </row>
    <row r="41" spans="1:35" ht="15" x14ac:dyDescent="0.25">
      <c r="A41" s="21">
        <f t="shared" si="18"/>
        <v>22</v>
      </c>
      <c r="B41" s="47">
        <f t="shared" si="18"/>
        <v>2036</v>
      </c>
      <c r="C41" s="49">
        <f t="shared" si="1"/>
        <v>4.5664399327570437E-3</v>
      </c>
      <c r="D41" s="42">
        <f t="shared" si="2"/>
        <v>0.05</v>
      </c>
      <c r="E41" s="42">
        <f t="shared" si="3"/>
        <v>7.0000000000000007E-2</v>
      </c>
      <c r="F41" s="49">
        <f t="shared" si="12"/>
        <v>0.15269418412456826</v>
      </c>
      <c r="G41" s="37"/>
      <c r="H41" s="50">
        <f t="shared" si="13"/>
        <v>17362.156376575746</v>
      </c>
      <c r="I41" s="50">
        <f t="shared" si="4"/>
        <v>14534426367.231867</v>
      </c>
      <c r="J41" s="50">
        <f t="shared" si="14"/>
        <v>38674203.328822479</v>
      </c>
      <c r="K41" s="50">
        <f t="shared" si="5"/>
        <v>-9668550.8322056197</v>
      </c>
      <c r="L41" s="50">
        <f t="shared" si="6"/>
        <v>-580113.04993233713</v>
      </c>
      <c r="M41" s="50">
        <f t="shared" si="7"/>
        <v>-3499339.5299386173</v>
      </c>
      <c r="N41" s="50">
        <f t="shared" si="15"/>
        <v>-66370584.963044487</v>
      </c>
      <c r="O41" s="50">
        <f t="shared" si="8"/>
        <v>-995558.77444566728</v>
      </c>
      <c r="P41" s="50">
        <f t="shared" si="9"/>
        <v>747785.99750237714</v>
      </c>
      <c r="Q41" s="50">
        <f t="shared" si="10"/>
        <v>0</v>
      </c>
      <c r="R41" s="50">
        <f t="shared" si="16"/>
        <v>-41692157.823241867</v>
      </c>
      <c r="S41" s="6"/>
      <c r="T41" s="44"/>
      <c r="U41" s="50">
        <f>NPV($C$10,J41:J$54)*(1+$C$10)</f>
        <v>206600087.24713051</v>
      </c>
      <c r="V41" s="50">
        <f>NPV($C$10,K41:K$54)*(1+$C$10)</f>
        <v>-51650021.811782628</v>
      </c>
      <c r="W41" s="50">
        <f>NPV($C$10,L41:L$54)*(1+$C$10)</f>
        <v>-3099001.3087069578</v>
      </c>
      <c r="X41" s="50">
        <f>NPV($C$10,M41:M$54)*(1+$C$10)</f>
        <v>-20390760.412712608</v>
      </c>
      <c r="Y41" s="50">
        <f>NPV($C$10,N41:N$54)</f>
        <v>-514645533.7699964</v>
      </c>
      <c r="Z41" s="50">
        <f>NPV($C$10,O41:O$54)</f>
        <v>-7719683.0065499451</v>
      </c>
      <c r="AA41" s="50"/>
      <c r="AB41"/>
      <c r="AC41" s="44">
        <f t="shared" si="0"/>
        <v>0</v>
      </c>
      <c r="AD41" s="6"/>
      <c r="AE41" s="50"/>
      <c r="AF41" s="50">
        <f t="shared" si="11"/>
        <v>359900324.84880626</v>
      </c>
      <c r="AG41" s="50">
        <f>NPV($C$11,R42:R$55)</f>
        <v>-229026695.13618314</v>
      </c>
      <c r="AH41" s="44"/>
      <c r="AI41" s="25"/>
    </row>
    <row r="42" spans="1:35" ht="15" x14ac:dyDescent="0.25">
      <c r="A42" s="21">
        <f t="shared" si="18"/>
        <v>23</v>
      </c>
      <c r="B42" s="47">
        <f t="shared" si="18"/>
        <v>2037</v>
      </c>
      <c r="C42" s="49">
        <f t="shared" si="1"/>
        <v>4.908922927713822E-3</v>
      </c>
      <c r="D42" s="42">
        <f t="shared" si="2"/>
        <v>0.05</v>
      </c>
      <c r="E42" s="42">
        <f t="shared" si="3"/>
        <v>0.08</v>
      </c>
      <c r="F42" s="49">
        <f t="shared" si="12"/>
        <v>0.13279959800514859</v>
      </c>
      <c r="G42" s="37"/>
      <c r="H42" s="50">
        <f t="shared" si="13"/>
        <v>15269.418412456826</v>
      </c>
      <c r="I42" s="50">
        <f t="shared" si="4"/>
        <v>13166003102.143541</v>
      </c>
      <c r="J42" s="50">
        <f t="shared" si="14"/>
        <v>34012629.51374758</v>
      </c>
      <c r="K42" s="50">
        <f t="shared" si="5"/>
        <v>-8503157.3784368951</v>
      </c>
      <c r="L42" s="50">
        <f t="shared" si="6"/>
        <v>-510189.44270621368</v>
      </c>
      <c r="M42" s="50">
        <f t="shared" si="7"/>
        <v>-3154487.2795882272</v>
      </c>
      <c r="N42" s="50">
        <f t="shared" si="15"/>
        <v>-64630894.494463734</v>
      </c>
      <c r="O42" s="50">
        <f t="shared" si="8"/>
        <v>-969463.41741695593</v>
      </c>
      <c r="P42" s="50">
        <f t="shared" si="9"/>
        <v>655343.86239048745</v>
      </c>
      <c r="Q42" s="50">
        <f t="shared" si="10"/>
        <v>0</v>
      </c>
      <c r="R42" s="50">
        <f t="shared" si="16"/>
        <v>-43100218.636473946</v>
      </c>
      <c r="S42" s="6"/>
      <c r="T42" s="44"/>
      <c r="U42" s="50">
        <f>NPV($C$10,J42:J$54)*(1+$C$10)</f>
        <v>172543845.72606149</v>
      </c>
      <c r="V42" s="50">
        <f>NPV($C$10,K42:K$54)*(1+$C$10)</f>
        <v>-43135961.431515373</v>
      </c>
      <c r="W42" s="50">
        <f>NPV($C$10,L42:L$54)*(1+$C$10)</f>
        <v>-2588157.6858909228</v>
      </c>
      <c r="X42" s="50">
        <f>NPV($C$10,M42:M$54)*(1+$C$10)</f>
        <v>-17355934.957050279</v>
      </c>
      <c r="Y42" s="50">
        <f>NPV($C$10,N42:N$54)</f>
        <v>-462427700.98562676</v>
      </c>
      <c r="Z42" s="50">
        <f>NPV($C$10,O42:O$54)</f>
        <v>-6936415.5147844031</v>
      </c>
      <c r="AA42" s="50"/>
      <c r="AB42"/>
      <c r="AC42" s="44">
        <f t="shared" si="0"/>
        <v>0</v>
      </c>
      <c r="AD42" s="6"/>
      <c r="AE42" s="50"/>
      <c r="AF42" s="50">
        <f t="shared" si="11"/>
        <v>326642753.15714192</v>
      </c>
      <c r="AG42" s="50">
        <f>NPV($C$11,R43:R$55)</f>
        <v>-214554813.3917321</v>
      </c>
      <c r="AH42" s="44"/>
      <c r="AI42" s="25"/>
    </row>
    <row r="43" spans="1:35" ht="15" x14ac:dyDescent="0.25">
      <c r="A43" s="21">
        <f t="shared" si="18"/>
        <v>24</v>
      </c>
      <c r="B43" s="47">
        <f t="shared" si="18"/>
        <v>2038</v>
      </c>
      <c r="C43" s="49">
        <f t="shared" si="1"/>
        <v>5.2770921472923586E-3</v>
      </c>
      <c r="D43" s="42">
        <f t="shared" si="2"/>
        <v>0.05</v>
      </c>
      <c r="E43" s="42">
        <f t="shared" si="3"/>
        <v>0.09</v>
      </c>
      <c r="F43" s="49">
        <f t="shared" si="12"/>
        <v>0.11419941457914486</v>
      </c>
      <c r="G43" s="37"/>
      <c r="H43" s="50">
        <f t="shared" si="13"/>
        <v>13279.95980051486</v>
      </c>
      <c r="I43" s="50">
        <f t="shared" si="4"/>
        <v>11794117288.769854</v>
      </c>
      <c r="J43" s="50">
        <f t="shared" si="14"/>
        <v>29581110.45564685</v>
      </c>
      <c r="K43" s="50">
        <f t="shared" si="5"/>
        <v>-7395277.6139117125</v>
      </c>
      <c r="L43" s="50">
        <f t="shared" si="6"/>
        <v>-443716.65683470276</v>
      </c>
      <c r="M43" s="50">
        <f t="shared" si="7"/>
        <v>-2812075.071290324</v>
      </c>
      <c r="N43" s="50">
        <f t="shared" si="15"/>
        <v>-62238643.728812434</v>
      </c>
      <c r="O43" s="50">
        <f t="shared" si="8"/>
        <v>-933579.65593218652</v>
      </c>
      <c r="P43" s="50">
        <f t="shared" si="9"/>
        <v>567901.23340830335</v>
      </c>
      <c r="Q43" s="50">
        <f t="shared" si="10"/>
        <v>0</v>
      </c>
      <c r="R43" s="50">
        <f t="shared" si="16"/>
        <v>-43674281.037726209</v>
      </c>
      <c r="S43" s="6"/>
      <c r="T43" s="44"/>
      <c r="U43" s="50">
        <f>NPV($C$10,J43:J$54)*(1+$C$10)</f>
        <v>142340824.65815258</v>
      </c>
      <c r="V43" s="50">
        <f>NPV($C$10,K43:K$54)*(1+$C$10)</f>
        <v>-35585206.164538145</v>
      </c>
      <c r="W43" s="50">
        <f>NPV($C$10,L43:L$54)*(1+$C$10)</f>
        <v>-2135112.3698722888</v>
      </c>
      <c r="X43" s="50">
        <f>NPV($C$10,M43:M$54)*(1+$C$10)</f>
        <v>-14591987.488592258</v>
      </c>
      <c r="Y43" s="50">
        <f>NPV($C$10,N43:N$54)</f>
        <v>-410513568.26826781</v>
      </c>
      <c r="Z43" s="50">
        <f>NPV($C$10,O43:O$54)</f>
        <v>-6157703.5240240162</v>
      </c>
      <c r="AA43" s="50"/>
      <c r="AB43"/>
      <c r="AC43" s="44">
        <f t="shared" si="0"/>
        <v>0</v>
      </c>
      <c r="AD43" s="6"/>
      <c r="AE43" s="50"/>
      <c r="AF43" s="50">
        <f t="shared" si="11"/>
        <v>291903822.7284531</v>
      </c>
      <c r="AG43" s="50">
        <f>NPV($C$11,R44:R$55)</f>
        <v>-197699884.02797243</v>
      </c>
      <c r="AH43" s="44"/>
      <c r="AI43" s="25"/>
    </row>
    <row r="44" spans="1:35" ht="15" x14ac:dyDescent="0.25">
      <c r="A44" s="21">
        <f t="shared" si="18"/>
        <v>25</v>
      </c>
      <c r="B44" s="47">
        <f t="shared" si="18"/>
        <v>2039</v>
      </c>
      <c r="C44" s="49">
        <f t="shared" si="1"/>
        <v>5.6728740583392844E-3</v>
      </c>
      <c r="D44" s="42">
        <f t="shared" si="2"/>
        <v>0.05</v>
      </c>
      <c r="E44" s="42">
        <f t="shared" si="3"/>
        <v>0.1</v>
      </c>
      <c r="F44" s="49">
        <f t="shared" si="12"/>
        <v>9.7086597208709616E-2</v>
      </c>
      <c r="G44" s="37"/>
      <c r="H44" s="50">
        <f t="shared" si="13"/>
        <v>11419.941457914485</v>
      </c>
      <c r="I44" s="50">
        <f t="shared" si="4"/>
        <v>10446475361.297119</v>
      </c>
      <c r="J44" s="50">
        <f t="shared" si="14"/>
        <v>25437919.597504515</v>
      </c>
      <c r="K44" s="50">
        <f t="shared" si="5"/>
        <v>-6359479.8993761288</v>
      </c>
      <c r="L44" s="50">
        <f t="shared" si="6"/>
        <v>-381568.7939625677</v>
      </c>
      <c r="M44" s="50">
        <f t="shared" si="7"/>
        <v>-2478665.3349172743</v>
      </c>
      <c r="N44" s="50">
        <f t="shared" si="15"/>
        <v>-59261539.078182928</v>
      </c>
      <c r="O44" s="50">
        <f t="shared" si="8"/>
        <v>-888923.08617274393</v>
      </c>
      <c r="P44" s="50">
        <f t="shared" si="9"/>
        <v>486546.16707745637</v>
      </c>
      <c r="Q44" s="50">
        <f t="shared" si="10"/>
        <v>0</v>
      </c>
      <c r="R44" s="50">
        <f t="shared" si="16"/>
        <v>-43445710.428029664</v>
      </c>
      <c r="S44" s="6"/>
      <c r="T44" s="44"/>
      <c r="U44" s="50">
        <f>NPV($C$10,J44:J$54)*(1+$C$10)</f>
        <v>115860606.34307466</v>
      </c>
      <c r="V44" s="50">
        <f>NPV($C$10,K44:K$54)*(1+$C$10)</f>
        <v>-28965151.585768666</v>
      </c>
      <c r="W44" s="50">
        <f>NPV($C$10,L44:L$54)*(1+$C$10)</f>
        <v>-1737909.0951461198</v>
      </c>
      <c r="X44" s="50">
        <f>NPV($C$10,M44:M$54)*(1+$C$10)</f>
        <v>-12103860.008777739</v>
      </c>
      <c r="Y44" s="50">
        <f>NPV($C$10,N44:N$54)</f>
        <v>-359564047.6668328</v>
      </c>
      <c r="Z44" s="50">
        <f>NPV($C$10,O44:O$54)</f>
        <v>-5393460.7150024921</v>
      </c>
      <c r="AA44" s="50"/>
      <c r="AB44"/>
      <c r="AC44" s="44">
        <f t="shared" si="0"/>
        <v>0</v>
      </c>
      <c r="AD44" s="6"/>
      <c r="AE44" s="50"/>
      <c r="AF44" s="50">
        <f t="shared" si="11"/>
        <v>256444921.91153276</v>
      </c>
      <c r="AG44" s="50">
        <f>NPV($C$11,R45:R$55)</f>
        <v>-178966659.10343939</v>
      </c>
      <c r="AH44" s="44"/>
      <c r="AI44" s="25"/>
    </row>
    <row r="45" spans="1:35" ht="15" x14ac:dyDescent="0.25">
      <c r="A45" s="21">
        <f t="shared" si="18"/>
        <v>26</v>
      </c>
      <c r="B45" s="47">
        <f t="shared" si="18"/>
        <v>2040</v>
      </c>
      <c r="C45" s="49">
        <f t="shared" si="1"/>
        <v>6.0983396127147317E-3</v>
      </c>
      <c r="D45" s="42">
        <f t="shared" si="2"/>
        <v>0.05</v>
      </c>
      <c r="E45" s="42">
        <f t="shared" si="3"/>
        <v>0.11</v>
      </c>
      <c r="F45" s="49">
        <f t="shared" si="12"/>
        <v>8.1586125256272957E-2</v>
      </c>
      <c r="G45" s="37"/>
      <c r="H45" s="50">
        <f t="shared" si="13"/>
        <v>9708.6597208709609</v>
      </c>
      <c r="I45" s="50">
        <f t="shared" si="4"/>
        <v>9147499852.5371056</v>
      </c>
      <c r="J45" s="50">
        <f t="shared" si="14"/>
        <v>21626039.528240066</v>
      </c>
      <c r="K45" s="50">
        <f t="shared" si="5"/>
        <v>-5406509.8820600165</v>
      </c>
      <c r="L45" s="50">
        <f t="shared" si="6"/>
        <v>-324390.59292360098</v>
      </c>
      <c r="M45" s="50">
        <f t="shared" si="7"/>
        <v>-2159917.4870552067</v>
      </c>
      <c r="N45" s="50">
        <f t="shared" si="15"/>
        <v>-55784560.708029196</v>
      </c>
      <c r="O45" s="50">
        <f t="shared" si="8"/>
        <v>-836768.41062043793</v>
      </c>
      <c r="P45" s="50">
        <f t="shared" si="9"/>
        <v>412056.64698603726</v>
      </c>
      <c r="Q45" s="50">
        <f t="shared" si="10"/>
        <v>0</v>
      </c>
      <c r="R45" s="50">
        <f t="shared" si="16"/>
        <v>-42474050.905462354</v>
      </c>
      <c r="S45" s="6"/>
      <c r="T45" s="44"/>
      <c r="U45" s="50">
        <f>NPV($C$10,J45:J$54)*(1+$C$10)</f>
        <v>92909310.631073311</v>
      </c>
      <c r="V45" s="50">
        <f>NPV($C$10,K45:K$54)*(1+$C$10)</f>
        <v>-23227327.657768328</v>
      </c>
      <c r="W45" s="50">
        <f>NPV($C$10,L45:L$54)*(1+$C$10)</f>
        <v>-1393639.6594661002</v>
      </c>
      <c r="X45" s="50">
        <f>NPV($C$10,M45:M$54)*(1+$C$10)</f>
        <v>-9889887.5273916293</v>
      </c>
      <c r="Y45" s="50">
        <f>NPV($C$10,N45:N$54)</f>
        <v>-310190519.89948767</v>
      </c>
      <c r="Z45" s="50">
        <f>NPV($C$10,O45:O$54)</f>
        <v>-4652857.7984923152</v>
      </c>
      <c r="AA45" s="50"/>
      <c r="AB45"/>
      <c r="AC45" s="44">
        <f t="shared" si="0"/>
        <v>0</v>
      </c>
      <c r="AD45" s="6"/>
      <c r="AE45" s="50"/>
      <c r="AF45" s="50">
        <f t="shared" si="11"/>
        <v>220988768.30472219</v>
      </c>
      <c r="AG45" s="50">
        <f>NPV($C$11,R46:R$55)</f>
        <v>-158863440.58590686</v>
      </c>
      <c r="AH45" s="44"/>
      <c r="AI45" s="25"/>
    </row>
    <row r="46" spans="1:35" ht="15" x14ac:dyDescent="0.25">
      <c r="A46" s="21">
        <f t="shared" si="18"/>
        <v>27</v>
      </c>
      <c r="B46" s="47">
        <f t="shared" si="18"/>
        <v>2041</v>
      </c>
      <c r="C46" s="49">
        <f t="shared" si="1"/>
        <v>6.5557150836683346E-3</v>
      </c>
      <c r="D46" s="42">
        <f t="shared" si="2"/>
        <v>0.05</v>
      </c>
      <c r="E46" s="42">
        <f t="shared" si="3"/>
        <v>0.12</v>
      </c>
      <c r="F46" s="49">
        <f t="shared" si="12"/>
        <v>6.7758861606565135E-2</v>
      </c>
      <c r="G46" s="37"/>
      <c r="H46" s="50">
        <f t="shared" si="13"/>
        <v>8158.6125256272953</v>
      </c>
      <c r="I46" s="50">
        <f t="shared" si="4"/>
        <v>7917656637.6187305</v>
      </c>
      <c r="J46" s="50">
        <f t="shared" si="14"/>
        <v>18173309.400834803</v>
      </c>
      <c r="K46" s="50">
        <f t="shared" si="5"/>
        <v>-4543327.3502087006</v>
      </c>
      <c r="L46" s="50">
        <f t="shared" si="6"/>
        <v>-272599.64101252204</v>
      </c>
      <c r="M46" s="50">
        <f t="shared" si="7"/>
        <v>-1860450.2197132225</v>
      </c>
      <c r="N46" s="50">
        <f t="shared" si="15"/>
        <v>-51905901.046543822</v>
      </c>
      <c r="O46" s="50">
        <f t="shared" si="8"/>
        <v>-778588.51569815725</v>
      </c>
      <c r="P46" s="50">
        <f t="shared" si="9"/>
        <v>344907.96569701075</v>
      </c>
      <c r="Q46" s="50">
        <f t="shared" si="10"/>
        <v>0</v>
      </c>
      <c r="R46" s="50">
        <f t="shared" si="16"/>
        <v>-40842649.406644605</v>
      </c>
      <c r="S46" s="6"/>
      <c r="T46" s="44"/>
      <c r="U46" s="50">
        <f>NPV($C$10,J46:J$54)*(1+$C$10)</f>
        <v>73243561.058161199</v>
      </c>
      <c r="V46" s="50">
        <f>NPV($C$10,K46:K$54)*(1+$C$10)</f>
        <v>-18310890.2645403</v>
      </c>
      <c r="W46" s="50">
        <f>NPV($C$10,L46:L$54)*(1+$C$10)</f>
        <v>-1098653.4158724176</v>
      </c>
      <c r="X46" s="50">
        <f>NPV($C$10,M46:M$54)*(1+$C$10)</f>
        <v>-7942544.2164456733</v>
      </c>
      <c r="Y46" s="50">
        <f>NPV($C$10,N46:N$54)</f>
        <v>-262936198.48869455</v>
      </c>
      <c r="Z46" s="50">
        <f>NPV($C$10,O46:O$54)</f>
        <v>-3944042.9773304174</v>
      </c>
      <c r="AA46" s="50"/>
      <c r="AB46"/>
      <c r="AC46" s="44">
        <f t="shared" si="0"/>
        <v>0</v>
      </c>
      <c r="AD46" s="6"/>
      <c r="AE46" s="50"/>
      <c r="AF46" s="50">
        <f t="shared" si="11"/>
        <v>186194567.69598261</v>
      </c>
      <c r="AG46" s="50">
        <f>NPV($C$11,R47:R$55)</f>
        <v>-137878721.25250065</v>
      </c>
      <c r="AH46" s="44"/>
      <c r="AI46" s="25"/>
    </row>
    <row r="47" spans="1:35" ht="15" x14ac:dyDescent="0.25">
      <c r="A47" s="21">
        <f t="shared" si="18"/>
        <v>28</v>
      </c>
      <c r="B47" s="47">
        <f t="shared" si="18"/>
        <v>2042</v>
      </c>
      <c r="C47" s="49">
        <f t="shared" si="1"/>
        <v>7.0473937149434602E-3</v>
      </c>
      <c r="D47" s="42">
        <f t="shared" si="2"/>
        <v>0.05</v>
      </c>
      <c r="E47" s="42">
        <f t="shared" si="3"/>
        <v>0.13</v>
      </c>
      <c r="F47" s="49">
        <f t="shared" si="12"/>
        <v>5.5608026048043241E-2</v>
      </c>
      <c r="G47" s="37"/>
      <c r="H47" s="50">
        <f t="shared" si="13"/>
        <v>6775.8861606565133</v>
      </c>
      <c r="I47" s="50">
        <f t="shared" si="4"/>
        <v>6773040644.2475786</v>
      </c>
      <c r="J47" s="50">
        <f t="shared" si="14"/>
        <v>15093286.422862384</v>
      </c>
      <c r="K47" s="50">
        <f t="shared" si="5"/>
        <v>-3773321.6057155961</v>
      </c>
      <c r="L47" s="50">
        <f t="shared" si="6"/>
        <v>-226399.29634293576</v>
      </c>
      <c r="M47" s="50">
        <f t="shared" si="7"/>
        <v>-1583768.5425268228</v>
      </c>
      <c r="N47" s="50">
        <f t="shared" si="15"/>
        <v>-47732284.067326993</v>
      </c>
      <c r="O47" s="50">
        <f t="shared" si="8"/>
        <v>-715984.26100990491</v>
      </c>
      <c r="P47" s="50">
        <f t="shared" si="9"/>
        <v>285293.9093483109</v>
      </c>
      <c r="Q47" s="50">
        <f t="shared" si="10"/>
        <v>0</v>
      </c>
      <c r="R47" s="50">
        <f t="shared" si="16"/>
        <v>-38653177.440711558</v>
      </c>
      <c r="S47" s="6"/>
      <c r="T47" s="44"/>
      <c r="U47" s="50">
        <f>NPV($C$10,J47:J$54)*(1+$C$10)</f>
        <v>56584683.577902876</v>
      </c>
      <c r="V47" s="50">
        <f>NPV($C$10,K47:K$54)*(1+$C$10)</f>
        <v>-14146170.894475719</v>
      </c>
      <c r="W47" s="50">
        <f>NPV($C$10,L47:L$54)*(1+$C$10)</f>
        <v>-848770.25366854295</v>
      </c>
      <c r="X47" s="50">
        <f>NPV($C$10,M47:M$54)*(1+$C$10)</f>
        <v>-6249351.5816425942</v>
      </c>
      <c r="Y47" s="50">
        <f>NPV($C$10,N47:N$54)</f>
        <v>-218261042.90058979</v>
      </c>
      <c r="Z47" s="50">
        <f>NPV($C$10,O47:O$54)</f>
        <v>-3273915.6435088478</v>
      </c>
      <c r="AA47" s="50"/>
      <c r="AB47"/>
      <c r="AC47" s="44">
        <f t="shared" si="0"/>
        <v>0</v>
      </c>
      <c r="AD47" s="6"/>
      <c r="AE47" s="50"/>
      <c r="AF47" s="50">
        <f t="shared" si="11"/>
        <v>152637966.37446496</v>
      </c>
      <c r="AG47" s="50">
        <f>NPV($C$11,R48:R$55)</f>
        <v>-116460383.96835166</v>
      </c>
      <c r="AH47" s="44"/>
      <c r="AI47" s="25"/>
    </row>
    <row r="48" spans="1:35" ht="15" x14ac:dyDescent="0.25">
      <c r="A48" s="21">
        <f t="shared" si="18"/>
        <v>29</v>
      </c>
      <c r="B48" s="47">
        <f t="shared" si="18"/>
        <v>2043</v>
      </c>
      <c r="C48" s="49">
        <f t="shared" si="1"/>
        <v>7.5759482435642199E-3</v>
      </c>
      <c r="D48" s="42">
        <f t="shared" si="2"/>
        <v>0.05</v>
      </c>
      <c r="E48" s="42">
        <f t="shared" si="3"/>
        <v>0.14000000000000001</v>
      </c>
      <c r="F48" s="49">
        <f t="shared" si="12"/>
        <v>4.5087568639474392E-2</v>
      </c>
      <c r="G48" s="37"/>
      <c r="H48" s="50">
        <f t="shared" si="13"/>
        <v>5560.8026048043239</v>
      </c>
      <c r="I48" s="50">
        <f t="shared" si="4"/>
        <v>5725221380.4796467</v>
      </c>
      <c r="J48" s="50">
        <f t="shared" si="14"/>
        <v>12386687.802201632</v>
      </c>
      <c r="K48" s="50">
        <f t="shared" si="5"/>
        <v>-3096671.9505504081</v>
      </c>
      <c r="L48" s="50">
        <f t="shared" si="6"/>
        <v>-185800.31703302448</v>
      </c>
      <c r="M48" s="50">
        <f t="shared" si="7"/>
        <v>-1332253.7640940705</v>
      </c>
      <c r="N48" s="50">
        <f t="shared" si="15"/>
        <v>-43373980.861461096</v>
      </c>
      <c r="O48" s="50">
        <f t="shared" si="8"/>
        <v>-650609.71292191639</v>
      </c>
      <c r="P48" s="50">
        <f t="shared" si="9"/>
        <v>233158.8531157239</v>
      </c>
      <c r="Q48" s="50">
        <f t="shared" si="10"/>
        <v>0</v>
      </c>
      <c r="R48" s="50">
        <f t="shared" si="16"/>
        <v>-36019469.950743161</v>
      </c>
      <c r="S48" s="6"/>
      <c r="T48" s="44"/>
      <c r="U48" s="50">
        <f>NPV($C$10,J48:J$54)*(1+$C$10)</f>
        <v>42632410.576804094</v>
      </c>
      <c r="V48" s="50">
        <f>NPV($C$10,K48:K$54)*(1+$C$10)</f>
        <v>-10658102.644201024</v>
      </c>
      <c r="W48" s="50">
        <f>NPV($C$10,L48:L$54)*(1+$C$10)</f>
        <v>-639486.15865206136</v>
      </c>
      <c r="X48" s="50">
        <f>NPV($C$10,M48:M$54)*(1+$C$10)</f>
        <v>-4793886.5726914555</v>
      </c>
      <c r="Y48" s="50">
        <f>NPV($C$10,N48:N$54)</f>
        <v>-176530937.51302907</v>
      </c>
      <c r="Z48" s="50">
        <f>NPV($C$10,O48:O$54)</f>
        <v>-2647964.0626954362</v>
      </c>
      <c r="AA48" s="50"/>
      <c r="AB48"/>
      <c r="AC48" s="44">
        <f t="shared" si="0"/>
        <v>0</v>
      </c>
      <c r="AD48" s="6"/>
      <c r="AE48" s="50"/>
      <c r="AF48" s="50">
        <f t="shared" si="11"/>
        <v>120796610.59459326</v>
      </c>
      <c r="AG48" s="50">
        <f>NPV($C$11,R49:R$55)</f>
        <v>-94998462.013652474</v>
      </c>
      <c r="AH48" s="44"/>
      <c r="AI48" s="25"/>
    </row>
    <row r="49" spans="1:35" ht="15" x14ac:dyDescent="0.25">
      <c r="A49" s="21">
        <f t="shared" si="18"/>
        <v>30</v>
      </c>
      <c r="B49" s="47">
        <f t="shared" si="18"/>
        <v>2044</v>
      </c>
      <c r="C49" s="49">
        <f t="shared" si="1"/>
        <v>8.1441443618315377E-3</v>
      </c>
      <c r="D49" s="42">
        <f t="shared" si="2"/>
        <v>0.05</v>
      </c>
      <c r="E49" s="42">
        <f t="shared" si="3"/>
        <v>0.15</v>
      </c>
      <c r="F49" s="49">
        <f t="shared" si="12"/>
        <v>3.6111697944527045E-2</v>
      </c>
      <c r="G49" s="37"/>
      <c r="H49" s="50">
        <f t="shared" si="13"/>
        <v>4508.7568639474393</v>
      </c>
      <c r="I49" s="50">
        <f t="shared" si="4"/>
        <v>4781331405.2526989</v>
      </c>
      <c r="J49" s="50">
        <f t="shared" si="14"/>
        <v>10043255.914442921</v>
      </c>
      <c r="K49" s="50">
        <f t="shared" si="5"/>
        <v>-2510813.9786107303</v>
      </c>
      <c r="L49" s="50">
        <f t="shared" si="6"/>
        <v>-150648.8387166438</v>
      </c>
      <c r="M49" s="50">
        <f t="shared" si="7"/>
        <v>-1107210.4062179858</v>
      </c>
      <c r="N49" s="50">
        <f t="shared" si="15"/>
        <v>-38939853.20613683</v>
      </c>
      <c r="O49" s="50">
        <f t="shared" si="8"/>
        <v>-584097.79809205246</v>
      </c>
      <c r="P49" s="50">
        <f t="shared" si="9"/>
        <v>188237.48072692685</v>
      </c>
      <c r="Q49" s="50">
        <f t="shared" si="10"/>
        <v>0</v>
      </c>
      <c r="R49" s="50">
        <f t="shared" si="16"/>
        <v>-33061130.832604393</v>
      </c>
      <c r="S49" s="6"/>
      <c r="T49" s="44"/>
      <c r="U49" s="50">
        <f>NPV($C$10,J49:J$54)*(1+$C$10)</f>
        <v>31077480.150904037</v>
      </c>
      <c r="V49" s="50">
        <f>NPV($C$10,K49:K$54)*(1+$C$10)</f>
        <v>-7769370.0377260093</v>
      </c>
      <c r="W49" s="50">
        <f>NPV($C$10,L49:L$54)*(1+$C$10)</f>
        <v>-466162.20226356061</v>
      </c>
      <c r="X49" s="50">
        <f>NPV($C$10,M49:M$54)*(1+$C$10)</f>
        <v>-3556827.7108338131</v>
      </c>
      <c r="Y49" s="50">
        <f>NPV($C$10,N49:N$54)</f>
        <v>-138011557.43317625</v>
      </c>
      <c r="Z49" s="50">
        <f>NPV($C$10,O49:O$54)</f>
        <v>-2070173.3614976441</v>
      </c>
      <c r="AA49" s="50"/>
      <c r="AB49"/>
      <c r="AC49" s="44">
        <f t="shared" si="0"/>
        <v>0</v>
      </c>
      <c r="AD49" s="6"/>
      <c r="AE49" s="50"/>
      <c r="AF49" s="50">
        <f t="shared" si="11"/>
        <v>91041700.09661296</v>
      </c>
      <c r="AG49" s="50">
        <f>NPV($C$11,R50:R$55)</f>
        <v>-73812138.932754621</v>
      </c>
      <c r="AH49" s="44"/>
      <c r="AI49" s="25"/>
    </row>
    <row r="50" spans="1:35" ht="15" x14ac:dyDescent="0.25">
      <c r="A50" s="21">
        <f t="shared" si="18"/>
        <v>31</v>
      </c>
      <c r="B50" s="47">
        <f t="shared" si="18"/>
        <v>2045</v>
      </c>
      <c r="C50" s="49">
        <f t="shared" si="1"/>
        <v>8.7549551889689013E-3</v>
      </c>
      <c r="D50" s="42">
        <f t="shared" si="2"/>
        <v>0.05</v>
      </c>
      <c r="E50" s="42">
        <f t="shared" si="3"/>
        <v>0.2</v>
      </c>
      <c r="F50" s="49">
        <f t="shared" si="12"/>
        <v>2.7204611651891104E-2</v>
      </c>
      <c r="G50" s="37"/>
      <c r="H50" s="50">
        <f t="shared" si="13"/>
        <v>3611.1697944527045</v>
      </c>
      <c r="I50" s="50">
        <f t="shared" si="4"/>
        <v>3944365613.625926</v>
      </c>
      <c r="J50" s="50">
        <f t="shared" si="14"/>
        <v>8043880.7171433996</v>
      </c>
      <c r="K50" s="50">
        <f t="shared" si="5"/>
        <v>-2010970.1792858499</v>
      </c>
      <c r="L50" s="50">
        <f t="shared" si="6"/>
        <v>-120658.21075715098</v>
      </c>
      <c r="M50" s="50">
        <f t="shared" si="7"/>
        <v>-908960.72200841247</v>
      </c>
      <c r="N50" s="50">
        <f t="shared" si="15"/>
        <v>-34532744.196204804</v>
      </c>
      <c r="O50" s="50">
        <f t="shared" si="8"/>
        <v>-517991.16294307203</v>
      </c>
      <c r="P50" s="50">
        <f t="shared" si="9"/>
        <v>150098.74815275957</v>
      </c>
      <c r="Q50" s="50">
        <f t="shared" si="10"/>
        <v>0</v>
      </c>
      <c r="R50" s="50">
        <f t="shared" si="16"/>
        <v>-29897345.005903132</v>
      </c>
      <c r="S50" s="6"/>
      <c r="T50" s="44"/>
      <c r="U50" s="50">
        <f>NPV($C$10,J50:J$54)*(1+$C$10)</f>
        <v>21612665.402963795</v>
      </c>
      <c r="V50" s="50">
        <f>NPV($C$10,K50:K$54)*(1+$C$10)</f>
        <v>-5403166.3507409487</v>
      </c>
      <c r="W50" s="50">
        <f>NPV($C$10,L50:L$54)*(1+$C$10)</f>
        <v>-324189.98104445689</v>
      </c>
      <c r="X50" s="50">
        <f>NPV($C$10,M50:M$54)*(1+$C$10)</f>
        <v>-2516981.780492763</v>
      </c>
      <c r="Y50" s="50">
        <f>NPV($C$10,N50:N$54)</f>
        <v>-102867022.05645181</v>
      </c>
      <c r="Z50" s="50">
        <f>NPV($C$10,O50:O$54)</f>
        <v>-1543005.330846777</v>
      </c>
      <c r="AA50" s="50"/>
      <c r="AB50"/>
      <c r="AC50" s="44">
        <f t="shared" si="0"/>
        <v>0</v>
      </c>
      <c r="AD50" s="6"/>
      <c r="AE50" s="50"/>
      <c r="AF50" s="50">
        <f t="shared" si="11"/>
        <v>63635493.61435394</v>
      </c>
      <c r="AG50" s="50">
        <f>NPV($C$11,R51:R$55)</f>
        <v>-53141311.293445803</v>
      </c>
      <c r="AH50" s="44"/>
      <c r="AI50" s="25"/>
    </row>
    <row r="51" spans="1:35" ht="15" x14ac:dyDescent="0.25">
      <c r="A51" s="21">
        <f>+A50+1</f>
        <v>32</v>
      </c>
      <c r="B51" s="47">
        <f>+B50+1</f>
        <v>2046</v>
      </c>
      <c r="C51" s="49">
        <f t="shared" si="1"/>
        <v>9.4115768281415706E-3</v>
      </c>
      <c r="D51" s="42">
        <f t="shared" si="2"/>
        <v>0.05</v>
      </c>
      <c r="E51" s="42">
        <f t="shared" si="3"/>
        <v>0.25</v>
      </c>
      <c r="F51" s="49">
        <f>F50*(1-C51)*(1-D51)*(1-E51)</f>
        <v>1.920085851846532E-2</v>
      </c>
      <c r="G51" s="37"/>
      <c r="H51" s="50">
        <f t="shared" si="13"/>
        <v>2720.4611651891105</v>
      </c>
      <c r="I51" s="50">
        <f t="shared" si="4"/>
        <v>3060617170.1895871</v>
      </c>
      <c r="J51" s="50">
        <f t="shared" si="14"/>
        <v>6059827.2454587435</v>
      </c>
      <c r="K51" s="50">
        <f t="shared" si="5"/>
        <v>-1514956.8113646859</v>
      </c>
      <c r="L51" s="50">
        <f t="shared" si="6"/>
        <v>-90897.408681881148</v>
      </c>
      <c r="M51" s="50">
        <f t="shared" si="7"/>
        <v>-701881.1902509646</v>
      </c>
      <c r="N51" s="50">
        <f t="shared" si="15"/>
        <v>-28805233.638768543</v>
      </c>
      <c r="O51" s="50">
        <f t="shared" si="8"/>
        <v>-432078.50458152813</v>
      </c>
      <c r="P51" s="50">
        <f t="shared" si="9"/>
        <v>112562.75505483632</v>
      </c>
      <c r="Q51" s="50">
        <f t="shared" si="10"/>
        <v>0</v>
      </c>
      <c r="R51" s="50">
        <f t="shared" si="16"/>
        <v>-25372657.553134024</v>
      </c>
      <c r="S51" s="6"/>
      <c r="T51" s="44"/>
      <c r="U51" s="50">
        <f>NPV($C$10,J51:J$54)*(1+$C$10)</f>
        <v>13941926.264680458</v>
      </c>
      <c r="V51" s="50">
        <f>NPV($C$10,K51:K$54)*(1+$C$10)</f>
        <v>-3485481.5661701146</v>
      </c>
      <c r="W51" s="50">
        <f>NPV($C$10,L51:L$54)*(1+$C$10)</f>
        <v>-209128.89397020685</v>
      </c>
      <c r="X51" s="50">
        <f>NPV($C$10,M51:M$54)*(1+$C$10)</f>
        <v>-1652241.6375926703</v>
      </c>
      <c r="Y51" s="50">
        <f>NPV($C$10,N51:N$54)</f>
        <v>-71163120.966799423</v>
      </c>
      <c r="Z51" s="50">
        <f>NPV($C$10,O51:O$54)</f>
        <v>-1067446.8145019913</v>
      </c>
      <c r="AA51" s="50"/>
      <c r="AB51"/>
      <c r="AC51" s="44">
        <f t="shared" si="0"/>
        <v>0</v>
      </c>
      <c r="AD51" s="6"/>
      <c r="AE51" s="50"/>
      <c r="AF51" s="50">
        <f t="shared" si="11"/>
        <v>40003431.906026773</v>
      </c>
      <c r="AG51" s="50">
        <f>NPV($C$11,R52:R$55)</f>
        <v>-34411317.651992515</v>
      </c>
      <c r="AH51" s="44"/>
      <c r="AI51" s="25"/>
    </row>
    <row r="52" spans="1:35" ht="15" x14ac:dyDescent="0.25">
      <c r="A52" s="21">
        <f t="shared" ref="A52:B54" si="19">+A51+1</f>
        <v>33</v>
      </c>
      <c r="B52" s="47">
        <f t="shared" si="19"/>
        <v>2047</v>
      </c>
      <c r="C52" s="49">
        <f t="shared" si="1"/>
        <v>1.0117445090252187E-2</v>
      </c>
      <c r="D52" s="42">
        <f t="shared" si="2"/>
        <v>0.05</v>
      </c>
      <c r="E52" s="42">
        <f t="shared" si="3"/>
        <v>0.33</v>
      </c>
      <c r="F52" s="49">
        <f>F51*(1-C52)*(1-D52)*(1-E52)</f>
        <v>1.2097697645396671E-2</v>
      </c>
      <c r="G52" s="37"/>
      <c r="H52" s="50">
        <f t="shared" si="13"/>
        <v>1920.085851846532</v>
      </c>
      <c r="I52" s="50">
        <f t="shared" si="4"/>
        <v>2224970984.9362311</v>
      </c>
      <c r="J52" s="50">
        <f t="shared" si="14"/>
        <v>4276991.2349881502</v>
      </c>
      <c r="K52" s="50">
        <f t="shared" si="5"/>
        <v>-1069247.8087470375</v>
      </c>
      <c r="L52" s="50">
        <f t="shared" si="6"/>
        <v>-64154.868524822254</v>
      </c>
      <c r="M52" s="50">
        <f t="shared" si="7"/>
        <v>-507768.30205514381</v>
      </c>
      <c r="N52" s="50">
        <f t="shared" si="15"/>
        <v>-22511021.767496645</v>
      </c>
      <c r="O52" s="50">
        <f t="shared" si="8"/>
        <v>-337665.32651244965</v>
      </c>
      <c r="P52" s="50">
        <f t="shared" si="9"/>
        <v>79074.607669834397</v>
      </c>
      <c r="Q52" s="50">
        <f t="shared" si="10"/>
        <v>0</v>
      </c>
      <c r="R52" s="50">
        <f t="shared" si="16"/>
        <v>-20133792.230678115</v>
      </c>
      <c r="S52" s="6"/>
      <c r="T52" s="44"/>
      <c r="U52" s="50">
        <f>NPV($C$10,J52:J$54)*(1+$C$10)</f>
        <v>8098856.7422503112</v>
      </c>
      <c r="V52" s="50">
        <f>NPV($C$10,K52:K$54)*(1+$C$10)</f>
        <v>-2024714.1855625778</v>
      </c>
      <c r="W52" s="50">
        <f>NPV($C$10,L52:L$54)*(1+$C$10)</f>
        <v>-121482.85113375468</v>
      </c>
      <c r="X52" s="50">
        <f>NPV($C$10,M52:M$54)*(1+$C$10)</f>
        <v>-976495.35964360274</v>
      </c>
      <c r="Y52" s="50">
        <f>NPV($C$10,N52:N$54)</f>
        <v>-44314873.154617876</v>
      </c>
      <c r="Z52" s="50">
        <f>NPV($C$10,O52:O$54)</f>
        <v>-664723.09731926816</v>
      </c>
      <c r="AA52" s="50"/>
      <c r="AB52"/>
      <c r="AC52" s="44">
        <f t="shared" si="0"/>
        <v>0</v>
      </c>
      <c r="AD52" s="6"/>
      <c r="AE52" s="50"/>
      <c r="AF52" s="50">
        <f t="shared" si="11"/>
        <v>20963144.502125237</v>
      </c>
      <c r="AG52" s="50">
        <f>NPV($C$11,R53:R$55)</f>
        <v>-18578940.127813462</v>
      </c>
      <c r="AH52" s="44"/>
      <c r="AI52" s="25"/>
    </row>
    <row r="53" spans="1:35" ht="15" x14ac:dyDescent="0.25">
      <c r="A53" s="21">
        <f t="shared" si="19"/>
        <v>34</v>
      </c>
      <c r="B53" s="47">
        <f t="shared" si="19"/>
        <v>2048</v>
      </c>
      <c r="C53" s="49">
        <f t="shared" si="1"/>
        <v>1.08762534720211E-2</v>
      </c>
      <c r="D53" s="42">
        <f t="shared" si="2"/>
        <v>0.05</v>
      </c>
      <c r="E53" s="42">
        <f t="shared" si="3"/>
        <v>0.5</v>
      </c>
      <c r="F53" s="49">
        <f>F52*(1-C53)*(1-D53)*(1-E53)</f>
        <v>5.6839070092042946E-3</v>
      </c>
      <c r="G53" s="37"/>
      <c r="H53" s="50">
        <f t="shared" si="13"/>
        <v>1209.7697645396672</v>
      </c>
      <c r="I53" s="50">
        <f t="shared" si="4"/>
        <v>1443921739.5536065</v>
      </c>
      <c r="J53" s="50">
        <f t="shared" si="14"/>
        <v>2694762.1505121086</v>
      </c>
      <c r="K53" s="50">
        <f t="shared" si="5"/>
        <v>-673690.53762802714</v>
      </c>
      <c r="L53" s="50">
        <f t="shared" si="6"/>
        <v>-40421.432257681627</v>
      </c>
      <c r="M53" s="50">
        <f t="shared" si="7"/>
        <v>-327922.73694058374</v>
      </c>
      <c r="N53" s="50">
        <f t="shared" si="15"/>
        <v>-15704458.83314666</v>
      </c>
      <c r="O53" s="50">
        <f t="shared" si="8"/>
        <v>-235566.8824971999</v>
      </c>
      <c r="P53" s="50">
        <f t="shared" si="9"/>
        <v>49581.82331057448</v>
      </c>
      <c r="Q53" s="50">
        <f t="shared" si="10"/>
        <v>0</v>
      </c>
      <c r="R53" s="50">
        <f t="shared" si="16"/>
        <v>-14237716.448647469</v>
      </c>
      <c r="S53" s="6"/>
      <c r="T53" s="44"/>
      <c r="U53" s="50">
        <f>NPV($C$10,J53:J$54)*(1+$C$10)</f>
        <v>3926966.8087118715</v>
      </c>
      <c r="V53" s="50">
        <f>NPV($C$10,K53:K$54)*(1+$C$10)</f>
        <v>-981741.70217796788</v>
      </c>
      <c r="W53" s="50">
        <f>NPV($C$10,L53:L$54)*(1+$C$10)</f>
        <v>-58904.502130678069</v>
      </c>
      <c r="X53" s="50">
        <f>NPV($C$10,M53:M$54)*(1+$C$10)</f>
        <v>-481617.05167214165</v>
      </c>
      <c r="Y53" s="50">
        <f>NPV($C$10,N53:N$54)</f>
        <v>-23022510.398873225</v>
      </c>
      <c r="Z53" s="50">
        <f>NPV($C$10,O53:O$54)</f>
        <v>-345337.65598309838</v>
      </c>
      <c r="AA53" s="50"/>
      <c r="AB53"/>
      <c r="AC53" s="44">
        <f t="shared" si="0"/>
        <v>0</v>
      </c>
      <c r="AD53" s="6"/>
      <c r="AE53" s="50"/>
      <c r="AF53" s="50">
        <f t="shared" si="11"/>
        <v>7297782.7086770013</v>
      </c>
      <c r="AG53" s="50">
        <f>NPV($C$11,R54:R$55)</f>
        <v>-6663591.1951426761</v>
      </c>
      <c r="AH53" s="44"/>
      <c r="AI53" s="25"/>
    </row>
    <row r="54" spans="1:35" ht="15" x14ac:dyDescent="0.25">
      <c r="A54" s="21">
        <f t="shared" si="19"/>
        <v>35</v>
      </c>
      <c r="B54" s="47">
        <f t="shared" si="19"/>
        <v>2049</v>
      </c>
      <c r="C54" s="49">
        <f t="shared" si="1"/>
        <v>1.1691972482422682E-2</v>
      </c>
      <c r="D54" s="42">
        <f t="shared" si="2"/>
        <v>0</v>
      </c>
      <c r="E54" s="42">
        <f t="shared" si="3"/>
        <v>1</v>
      </c>
      <c r="F54" s="49">
        <f>F53*(1-C54)*(1-D54)*(1-E54)</f>
        <v>0</v>
      </c>
      <c r="G54" s="37"/>
      <c r="H54" s="50">
        <f t="shared" si="13"/>
        <v>568.39070092042948</v>
      </c>
      <c r="I54" s="50">
        <f t="shared" si="4"/>
        <v>698755304.59248471</v>
      </c>
      <c r="J54" s="50">
        <f t="shared" si="14"/>
        <v>1266090.2863002566</v>
      </c>
      <c r="K54" s="50">
        <f t="shared" si="5"/>
        <v>-316522.57157506415</v>
      </c>
      <c r="L54" s="50">
        <f t="shared" si="6"/>
        <v>-18991.35429450385</v>
      </c>
      <c r="M54" s="50">
        <f t="shared" si="7"/>
        <v>-157920.90838667573</v>
      </c>
      <c r="N54" s="50">
        <f t="shared" si="15"/>
        <v>-8169827.7932422105</v>
      </c>
      <c r="O54" s="50">
        <f t="shared" si="8"/>
        <v>-122547.41689863315</v>
      </c>
      <c r="P54" s="50">
        <f t="shared" si="9"/>
        <v>23179.663561320383</v>
      </c>
      <c r="Q54" s="50">
        <f t="shared" si="10"/>
        <v>0</v>
      </c>
      <c r="R54" s="50">
        <f t="shared" si="16"/>
        <v>-7496540.094535511</v>
      </c>
      <c r="S54" s="6"/>
      <c r="T54" s="44"/>
      <c r="U54" s="50">
        <f>NPV($C$10,J54:J$54)*(1+$C$10)</f>
        <v>1266090.2863002566</v>
      </c>
      <c r="V54" s="50">
        <f>NPV($C$10,K54:K$54)*(1+$C$10)</f>
        <v>-316522.57157506415</v>
      </c>
      <c r="W54" s="50">
        <f>NPV($C$10,L54:L$54)*(1+$C$10)</f>
        <v>-18991.35429450385</v>
      </c>
      <c r="X54" s="50">
        <f>NPV($C$10,M54:M$54)*(1+$C$10)</f>
        <v>-157920.90838667573</v>
      </c>
      <c r="Y54" s="50">
        <f>NPV($C$10,N54:N$54)</f>
        <v>-7951170.6016955813</v>
      </c>
      <c r="Z54" s="50">
        <f>NPV($C$10,O54:O$54)</f>
        <v>-119267.55902543371</v>
      </c>
      <c r="AA54" s="50"/>
      <c r="AB54"/>
      <c r="AC54" s="44">
        <f t="shared" si="0"/>
        <v>0</v>
      </c>
      <c r="AD54" s="6"/>
      <c r="AE54" s="50"/>
      <c r="AF54" s="50">
        <f t="shared" si="11"/>
        <v>0</v>
      </c>
      <c r="AG54" s="50">
        <f>NPV($C$11,R55:R$55)</f>
        <v>0</v>
      </c>
      <c r="AH54" s="44"/>
      <c r="AI54" s="25"/>
    </row>
    <row r="55" spans="1:35" ht="15" x14ac:dyDescent="0.25">
      <c r="A55" s="21"/>
      <c r="C55" s="37"/>
      <c r="D55" s="38"/>
      <c r="E55" s="38"/>
      <c r="F55" s="37"/>
      <c r="G55" s="37"/>
      <c r="U55" s="44"/>
      <c r="V55" s="44"/>
      <c r="W55" s="44"/>
      <c r="X55" s="44"/>
      <c r="AB55"/>
      <c r="AE55" s="50"/>
    </row>
    <row r="56" spans="1:35" ht="15" x14ac:dyDescent="0.25">
      <c r="A56" s="21"/>
      <c r="C56" s="37"/>
      <c r="D56" s="38"/>
      <c r="E56" s="38"/>
      <c r="F56" s="37"/>
      <c r="G56" s="37"/>
      <c r="AB56"/>
      <c r="AE56" s="50"/>
    </row>
    <row r="57" spans="1:35" ht="15" x14ac:dyDescent="0.25">
      <c r="A57" s="21"/>
      <c r="C57" s="37"/>
      <c r="D57" s="38"/>
      <c r="E57" s="38"/>
      <c r="F57" s="37"/>
      <c r="G57" s="37"/>
      <c r="AB57"/>
      <c r="AE57" s="50"/>
    </row>
    <row r="58" spans="1:35" ht="15" x14ac:dyDescent="0.25">
      <c r="AB58"/>
      <c r="AE58" s="50"/>
    </row>
    <row r="59" spans="1:35" ht="15" x14ac:dyDescent="0.25">
      <c r="AB59"/>
      <c r="AE59" s="50"/>
    </row>
    <row r="60" spans="1:35" x14ac:dyDescent="0.2">
      <c r="AE60" s="50"/>
    </row>
    <row r="61" spans="1:35" x14ac:dyDescent="0.2">
      <c r="AE61" s="50"/>
    </row>
    <row r="62" spans="1:35" x14ac:dyDescent="0.2">
      <c r="AE62" s="50"/>
    </row>
    <row r="63" spans="1:35" x14ac:dyDescent="0.2">
      <c r="AE63" s="50"/>
    </row>
    <row r="64" spans="1:35" x14ac:dyDescent="0.2">
      <c r="AE64" s="50"/>
    </row>
    <row r="65" spans="31:31" x14ac:dyDescent="0.2">
      <c r="AE65" s="50"/>
    </row>
    <row r="66" spans="31:31" x14ac:dyDescent="0.2">
      <c r="AE66" s="50"/>
    </row>
    <row r="67" spans="31:31" x14ac:dyDescent="0.2">
      <c r="AE67" s="50"/>
    </row>
    <row r="68" spans="31:31" x14ac:dyDescent="0.2">
      <c r="AE68" s="50"/>
    </row>
    <row r="69" spans="31:31" x14ac:dyDescent="0.2">
      <c r="AE69" s="50"/>
    </row>
    <row r="70" spans="31:31" x14ac:dyDescent="0.2">
      <c r="AE70" s="50"/>
    </row>
    <row r="71" spans="31:31" x14ac:dyDescent="0.2">
      <c r="AE71" s="50"/>
    </row>
  </sheetData>
  <mergeCells count="3">
    <mergeCell ref="H16:R16"/>
    <mergeCell ref="U16:AA16"/>
    <mergeCell ref="AE16:AG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Assumptions</vt:lpstr>
      <vt:lpstr>Model</vt:lpstr>
      <vt:lpstr>claim_exp_pc</vt:lpstr>
      <vt:lpstr>clm_exp_margin</vt:lpstr>
      <vt:lpstr>clm_margin</vt:lpstr>
      <vt:lpstr>clm_rate_inc</vt:lpstr>
      <vt:lpstr>exp_index</vt:lpstr>
      <vt:lpstr>exp_rate</vt:lpstr>
      <vt:lpstr>inv_income_pa</vt:lpstr>
      <vt:lpstr>lapse_rate</vt:lpstr>
      <vt:lpstr>num_pol_if</vt:lpstr>
      <vt:lpstr>pp_exp_margin</vt:lpstr>
      <vt:lpstr>pp_expense</vt:lpstr>
      <vt:lpstr>prem_exp</vt:lpstr>
      <vt:lpstr>prem_if</vt:lpstr>
      <vt:lpstr>qx</vt:lpstr>
      <vt:lpstr>ren_comm</vt:lpstr>
      <vt:lpstr>risk_disc_rate</vt:lpstr>
      <vt:lpstr>risk_free_rate</vt:lpstr>
      <vt:lpstr>si_if</vt:lpstr>
      <vt:lpstr>si_index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Jennifer Robinson</cp:lastModifiedBy>
  <dcterms:created xsi:type="dcterms:W3CDTF">2015-01-26T05:56:17Z</dcterms:created>
  <dcterms:modified xsi:type="dcterms:W3CDTF">2015-04-22T03:56:34Z</dcterms:modified>
</cp:coreProperties>
</file>