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Zhu\Documents\GitHub\my_file\LIRV\Textbook\"/>
    </mc:Choice>
  </mc:AlternateContent>
  <bookViews>
    <workbookView xWindow="0" yWindow="0" windowWidth="20115" windowHeight="0"/>
  </bookViews>
  <sheets>
    <sheet name="YRT" sheetId="5" r:id="rId1"/>
    <sheet name="Investment Product" sheetId="1" r:id="rId2"/>
    <sheet name="Inv Product as expected" sheetId="2" r:id="rId3"/>
    <sheet name="Inv Product  changed expense" sheetId="4" r:id="rId4"/>
    <sheet name="Inv Product analysis of change" sheetId="3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6" i="1" l="1"/>
  <c r="E28" i="3" l="1"/>
  <c r="C25" i="3"/>
  <c r="S54" i="4"/>
  <c r="R54" i="4"/>
  <c r="P54" i="4"/>
  <c r="O54" i="4"/>
  <c r="N54" i="4"/>
  <c r="M54" i="4"/>
  <c r="L54" i="4"/>
  <c r="U53" i="4"/>
  <c r="T53" i="4"/>
  <c r="S53" i="4"/>
  <c r="R53" i="4"/>
  <c r="Q53" i="4"/>
  <c r="P53" i="4"/>
  <c r="O53" i="4"/>
  <c r="N53" i="4"/>
  <c r="M53" i="4"/>
  <c r="L53" i="4"/>
  <c r="U52" i="4"/>
  <c r="T52" i="4"/>
  <c r="S52" i="4"/>
  <c r="R52" i="4"/>
  <c r="Q52" i="4"/>
  <c r="P52" i="4"/>
  <c r="O52" i="4"/>
  <c r="N52" i="4"/>
  <c r="M52" i="4"/>
  <c r="L52" i="4"/>
  <c r="U51" i="4"/>
  <c r="T51" i="4"/>
  <c r="S51" i="4"/>
  <c r="R51" i="4"/>
  <c r="Q51" i="4"/>
  <c r="P51" i="4"/>
  <c r="O51" i="4"/>
  <c r="N51" i="4"/>
  <c r="M51" i="4"/>
  <c r="L51" i="4"/>
  <c r="U50" i="4"/>
  <c r="T50" i="4"/>
  <c r="S50" i="4"/>
  <c r="R50" i="4"/>
  <c r="Q50" i="4"/>
  <c r="P50" i="4"/>
  <c r="O50" i="4"/>
  <c r="N50" i="4"/>
  <c r="M50" i="4"/>
  <c r="L50" i="4"/>
  <c r="U49" i="4"/>
  <c r="T49" i="4"/>
  <c r="S49" i="4"/>
  <c r="R49" i="4"/>
  <c r="Q49" i="4"/>
  <c r="P49" i="4"/>
  <c r="O49" i="4"/>
  <c r="N49" i="4"/>
  <c r="M49" i="4"/>
  <c r="L49" i="4"/>
  <c r="U48" i="4"/>
  <c r="T48" i="4"/>
  <c r="S48" i="4"/>
  <c r="R48" i="4"/>
  <c r="Q48" i="4"/>
  <c r="P48" i="4"/>
  <c r="O48" i="4"/>
  <c r="N48" i="4"/>
  <c r="M48" i="4"/>
  <c r="L48" i="4"/>
  <c r="U47" i="4"/>
  <c r="T47" i="4"/>
  <c r="S47" i="4"/>
  <c r="R47" i="4"/>
  <c r="Q47" i="4"/>
  <c r="P47" i="4"/>
  <c r="O47" i="4"/>
  <c r="N47" i="4"/>
  <c r="M47" i="4"/>
  <c r="L47" i="4"/>
  <c r="U46" i="4"/>
  <c r="T46" i="4"/>
  <c r="S46" i="4"/>
  <c r="R46" i="4"/>
  <c r="Q46" i="4"/>
  <c r="P46" i="4"/>
  <c r="O46" i="4"/>
  <c r="N46" i="4"/>
  <c r="M46" i="4"/>
  <c r="L46" i="4"/>
  <c r="B59" i="1"/>
  <c r="J57" i="2"/>
  <c r="J56" i="2"/>
  <c r="J55" i="2"/>
  <c r="J54" i="2"/>
  <c r="J53" i="2"/>
  <c r="J52" i="2"/>
  <c r="J51" i="2"/>
  <c r="J50" i="2"/>
  <c r="J49" i="2"/>
  <c r="J55" i="1"/>
  <c r="J54" i="1"/>
  <c r="J53" i="1"/>
  <c r="J52" i="1"/>
  <c r="J51" i="1"/>
  <c r="J50" i="1"/>
  <c r="J49" i="1"/>
  <c r="J48" i="1"/>
  <c r="J47" i="1"/>
  <c r="J42" i="1"/>
  <c r="C33" i="1"/>
  <c r="V55" i="5" l="1"/>
  <c r="V49" i="5"/>
  <c r="V50" i="5"/>
  <c r="AM50" i="5"/>
  <c r="AM51" i="5"/>
  <c r="AM52" i="5"/>
  <c r="AM53" i="5"/>
  <c r="AM54" i="5"/>
  <c r="AM55" i="5"/>
  <c r="AM56" i="5"/>
  <c r="AM57" i="5"/>
  <c r="AM58" i="5"/>
  <c r="AM49" i="5"/>
  <c r="AC49" i="5"/>
  <c r="V48" i="5"/>
  <c r="R49" i="5"/>
  <c r="R50" i="5"/>
  <c r="R51" i="5"/>
  <c r="R52" i="5"/>
  <c r="R53" i="5"/>
  <c r="R54" i="5"/>
  <c r="R55" i="5"/>
  <c r="R56" i="5"/>
  <c r="R57" i="5"/>
  <c r="R58" i="5"/>
  <c r="Q50" i="5"/>
  <c r="AB50" i="5" l="1"/>
  <c r="AB51" i="5"/>
  <c r="AB52" i="5"/>
  <c r="AB53" i="5"/>
  <c r="AB54" i="5"/>
  <c r="AB55" i="5"/>
  <c r="AB56" i="5"/>
  <c r="AB57" i="5"/>
  <c r="AB58" i="5"/>
  <c r="B17" i="4" l="1"/>
  <c r="J50" i="5" l="1"/>
  <c r="J51" i="5"/>
  <c r="J52" i="5"/>
  <c r="J53" i="5"/>
  <c r="J54" i="5"/>
  <c r="J55" i="5"/>
  <c r="J56" i="5"/>
  <c r="J57" i="5"/>
  <c r="J58" i="5"/>
  <c r="J49" i="5" l="1"/>
  <c r="W58" i="5"/>
  <c r="I49" i="5"/>
  <c r="G61" i="4" l="1"/>
  <c r="D46" i="1"/>
  <c r="G46" i="1" s="1"/>
  <c r="B3" i="2"/>
  <c r="B17" i="2"/>
  <c r="A35" i="2"/>
  <c r="A36" i="2" s="1"/>
  <c r="A37" i="2" s="1"/>
  <c r="A38" i="2" s="1"/>
  <c r="A39" i="2" s="1"/>
  <c r="A40" i="2" s="1"/>
  <c r="A41" i="2" s="1"/>
  <c r="A42" i="2" s="1"/>
  <c r="A50" i="2"/>
  <c r="A51" i="2" s="1"/>
  <c r="A52" i="2" s="1"/>
  <c r="A53" i="2" s="1"/>
  <c r="A54" i="2" s="1"/>
  <c r="A55" i="2" s="1"/>
  <c r="A56" i="2" s="1"/>
  <c r="A57" i="2" s="1"/>
  <c r="B3" i="4"/>
  <c r="A35" i="4"/>
  <c r="A36" i="4" s="1"/>
  <c r="A37" i="4" s="1"/>
  <c r="A38" i="4" s="1"/>
  <c r="A39" i="4" s="1"/>
  <c r="A40" i="4" s="1"/>
  <c r="A41" i="4" s="1"/>
  <c r="A42" i="4" s="1"/>
  <c r="A47" i="4"/>
  <c r="A48" i="4" s="1"/>
  <c r="A49" i="4" s="1"/>
  <c r="A50" i="4" s="1"/>
  <c r="A51" i="4" s="1"/>
  <c r="A52" i="4" s="1"/>
  <c r="A53" i="4" s="1"/>
  <c r="A54" i="4" s="1"/>
  <c r="B5" i="3"/>
  <c r="E20" i="3"/>
  <c r="E21" i="3"/>
  <c r="E22" i="3"/>
  <c r="B24" i="3"/>
  <c r="D24" i="3" s="1"/>
  <c r="F24" i="3" s="1"/>
  <c r="E26" i="3"/>
  <c r="B36" i="5"/>
  <c r="B37" i="5" s="1"/>
  <c r="B38" i="5" s="1"/>
  <c r="B39" i="5" s="1"/>
  <c r="B40" i="5" s="1"/>
  <c r="B41" i="5" s="1"/>
  <c r="B42" i="5" s="1"/>
  <c r="B43" i="5" s="1"/>
  <c r="B44" i="5" s="1"/>
  <c r="E36" i="5"/>
  <c r="E37" i="5"/>
  <c r="E38" i="5" s="1"/>
  <c r="E39" i="5" s="1"/>
  <c r="E40" i="5" s="1"/>
  <c r="E41" i="5" s="1"/>
  <c r="E42" i="5" s="1"/>
  <c r="E43" i="5" s="1"/>
  <c r="E44" i="5" s="1"/>
  <c r="D49" i="5"/>
  <c r="E49" i="5" s="1"/>
  <c r="N49" i="5"/>
  <c r="J67" i="5" s="1"/>
  <c r="O49" i="5"/>
  <c r="O67" i="5" s="1"/>
  <c r="H50" i="5"/>
  <c r="H51" i="5"/>
  <c r="H52" i="5" s="1"/>
  <c r="H53" i="5" s="1"/>
  <c r="H54" i="5" s="1"/>
  <c r="H55" i="5" s="1"/>
  <c r="H56" i="5" s="1"/>
  <c r="H57" i="5" s="1"/>
  <c r="H58" i="5" s="1"/>
  <c r="V58" i="5"/>
  <c r="L60" i="5"/>
  <c r="M60" i="5"/>
  <c r="I67" i="5"/>
  <c r="L67" i="5"/>
  <c r="M67" i="5"/>
  <c r="N67" i="5"/>
  <c r="H68" i="5"/>
  <c r="H69" i="5"/>
  <c r="H70" i="5" s="1"/>
  <c r="H71" i="5"/>
  <c r="H72" i="5" s="1"/>
  <c r="H73" i="5" s="1"/>
  <c r="H74" i="5" s="1"/>
  <c r="H75" i="5"/>
  <c r="H76" i="5" s="1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I86" i="5"/>
  <c r="J86" i="5"/>
  <c r="H87" i="5"/>
  <c r="H88" i="5" s="1"/>
  <c r="H89" i="5" s="1"/>
  <c r="H90" i="5" s="1"/>
  <c r="H91" i="5"/>
  <c r="H92" i="5" s="1"/>
  <c r="H93" i="5" s="1"/>
  <c r="H94" i="5" s="1"/>
  <c r="H95" i="5" s="1"/>
  <c r="B33" i="1"/>
  <c r="D33" i="1"/>
  <c r="A34" i="1"/>
  <c r="B34" i="1"/>
  <c r="A35" i="1"/>
  <c r="A36" i="1"/>
  <c r="A37" i="1" s="1"/>
  <c r="A38" i="1" s="1"/>
  <c r="A39" i="1" s="1"/>
  <c r="A40" i="1"/>
  <c r="A41" i="1" s="1"/>
  <c r="A42" i="1" s="1"/>
  <c r="B46" i="1"/>
  <c r="A47" i="1"/>
  <c r="A48" i="1" s="1"/>
  <c r="A49" i="1"/>
  <c r="A50" i="1" s="1"/>
  <c r="A51" i="1" s="1"/>
  <c r="A52" i="1" s="1"/>
  <c r="A53" i="1"/>
  <c r="A54" i="1" s="1"/>
  <c r="A55" i="1" s="1"/>
  <c r="D34" i="1"/>
  <c r="E33" i="1"/>
  <c r="F33" i="1" s="1"/>
  <c r="U49" i="5"/>
  <c r="P49" i="5"/>
  <c r="J87" i="5" s="1"/>
  <c r="F49" i="5"/>
  <c r="C50" i="5" s="1"/>
  <c r="D50" i="5" s="1"/>
  <c r="K50" i="5" s="1"/>
  <c r="K68" i="5" s="1"/>
  <c r="Q49" i="5"/>
  <c r="P67" i="5" s="1"/>
  <c r="B6" i="3"/>
  <c r="H61" i="4"/>
  <c r="K49" i="5" l="1"/>
  <c r="T49" i="5" s="1"/>
  <c r="S49" i="5"/>
  <c r="B21" i="3"/>
  <c r="B20" i="3"/>
  <c r="I50" i="5"/>
  <c r="N50" i="5"/>
  <c r="E50" i="5"/>
  <c r="F50" i="5" s="1"/>
  <c r="C51" i="5" s="1"/>
  <c r="B8" i="4"/>
  <c r="B35" i="1"/>
  <c r="B8" i="2"/>
  <c r="G33" i="1"/>
  <c r="I33" i="1"/>
  <c r="K102" i="5"/>
  <c r="K86" i="5"/>
  <c r="L86" i="5" s="1"/>
  <c r="K67" i="5" l="1"/>
  <c r="Q67" i="5"/>
  <c r="H33" i="1"/>
  <c r="E46" i="1"/>
  <c r="H46" i="1" s="1"/>
  <c r="B36" i="1"/>
  <c r="D35" i="1"/>
  <c r="D51" i="5"/>
  <c r="K51" i="5" s="1"/>
  <c r="N51" i="5"/>
  <c r="N69" i="5" s="1"/>
  <c r="I51" i="5"/>
  <c r="P50" i="5"/>
  <c r="O50" i="5"/>
  <c r="J68" i="5" s="1"/>
  <c r="I68" i="5"/>
  <c r="N86" i="5"/>
  <c r="M86" i="5"/>
  <c r="K33" i="1"/>
  <c r="B34" i="2"/>
  <c r="D34" i="2" s="1"/>
  <c r="B34" i="4"/>
  <c r="N68" i="5"/>
  <c r="B4" i="2" l="1"/>
  <c r="C34" i="2" s="1"/>
  <c r="B4" i="4"/>
  <c r="E51" i="5"/>
  <c r="F51" i="5" s="1"/>
  <c r="C52" i="5" s="1"/>
  <c r="T50" i="5"/>
  <c r="D52" i="5"/>
  <c r="K52" i="5" s="1"/>
  <c r="K70" i="5" s="1"/>
  <c r="I52" i="5"/>
  <c r="N52" i="5"/>
  <c r="B35" i="4"/>
  <c r="B35" i="2"/>
  <c r="O68" i="5"/>
  <c r="K69" i="5"/>
  <c r="D34" i="4"/>
  <c r="C34" i="1"/>
  <c r="C34" i="4"/>
  <c r="C46" i="1"/>
  <c r="F46" i="1"/>
  <c r="S50" i="5"/>
  <c r="U50" i="5"/>
  <c r="J88" i="5"/>
  <c r="O51" i="5"/>
  <c r="O69" i="5" s="1"/>
  <c r="I69" i="5"/>
  <c r="P51" i="5"/>
  <c r="D36" i="1"/>
  <c r="B37" i="1"/>
  <c r="E52" i="5" l="1"/>
  <c r="F52" i="5" s="1"/>
  <c r="C53" i="5" s="1"/>
  <c r="N53" i="5" s="1"/>
  <c r="N71" i="5" s="1"/>
  <c r="J69" i="5"/>
  <c r="U51" i="5"/>
  <c r="S51" i="5"/>
  <c r="T51" i="5"/>
  <c r="P68" i="5"/>
  <c r="Q68" i="5"/>
  <c r="N87" i="5"/>
  <c r="I46" i="1"/>
  <c r="K46" i="1" s="1"/>
  <c r="F60" i="4"/>
  <c r="B46" i="4"/>
  <c r="I34" i="4"/>
  <c r="E34" i="4"/>
  <c r="F34" i="4" s="1"/>
  <c r="G34" i="4"/>
  <c r="G34" i="2"/>
  <c r="E34" i="2"/>
  <c r="F34" i="2" s="1"/>
  <c r="B49" i="2"/>
  <c r="I34" i="2"/>
  <c r="B36" i="4"/>
  <c r="D35" i="4"/>
  <c r="N70" i="5"/>
  <c r="I70" i="5"/>
  <c r="P52" i="5"/>
  <c r="O52" i="5"/>
  <c r="O70" i="5" s="1"/>
  <c r="D37" i="1"/>
  <c r="B38" i="1"/>
  <c r="J89" i="5"/>
  <c r="Q51" i="5"/>
  <c r="P69" i="5" s="1"/>
  <c r="B47" i="1"/>
  <c r="G34" i="1"/>
  <c r="E34" i="1"/>
  <c r="F34" i="1" s="1"/>
  <c r="I34" i="1"/>
  <c r="B36" i="2"/>
  <c r="D35" i="2"/>
  <c r="B62" i="2" l="1"/>
  <c r="N88" i="5"/>
  <c r="I53" i="5"/>
  <c r="J70" i="5"/>
  <c r="D53" i="5"/>
  <c r="K53" i="5" s="1"/>
  <c r="K71" i="5" s="1"/>
  <c r="E47" i="1"/>
  <c r="H47" i="1" s="1"/>
  <c r="H34" i="1"/>
  <c r="B59" i="4"/>
  <c r="B7" i="3"/>
  <c r="B22" i="3" s="1"/>
  <c r="Q69" i="5"/>
  <c r="Q52" i="5"/>
  <c r="P70" i="5" s="1"/>
  <c r="J90" i="5"/>
  <c r="B37" i="4"/>
  <c r="D36" i="4"/>
  <c r="D49" i="2"/>
  <c r="G49" i="2" s="1"/>
  <c r="E49" i="2"/>
  <c r="H49" i="2" s="1"/>
  <c r="H34" i="2"/>
  <c r="K34" i="2" s="1"/>
  <c r="H34" i="4"/>
  <c r="E46" i="4"/>
  <c r="H46" i="4" s="1"/>
  <c r="G60" i="4"/>
  <c r="H60" i="4" s="1"/>
  <c r="F62" i="4"/>
  <c r="E53" i="5"/>
  <c r="F53" i="5" s="1"/>
  <c r="C54" i="5" s="1"/>
  <c r="B37" i="2"/>
  <c r="D36" i="2"/>
  <c r="K34" i="1"/>
  <c r="D47" i="1"/>
  <c r="G47" i="1" s="1"/>
  <c r="D38" i="1"/>
  <c r="B39" i="1"/>
  <c r="U52" i="5"/>
  <c r="T52" i="5"/>
  <c r="K34" i="4"/>
  <c r="D46" i="4"/>
  <c r="G46" i="4" l="1"/>
  <c r="S52" i="5"/>
  <c r="O53" i="5"/>
  <c r="J71" i="5" s="1"/>
  <c r="P53" i="5"/>
  <c r="J91" i="5" s="1"/>
  <c r="I71" i="5"/>
  <c r="Q70" i="5"/>
  <c r="Q53" i="5"/>
  <c r="C46" i="4"/>
  <c r="C35" i="4"/>
  <c r="F46" i="4"/>
  <c r="I46" i="4" s="1"/>
  <c r="K46" i="4" s="1"/>
  <c r="C49" i="2"/>
  <c r="C35" i="2"/>
  <c r="F49" i="2"/>
  <c r="I49" i="2" s="1"/>
  <c r="K49" i="2" s="1"/>
  <c r="C7" i="3"/>
  <c r="C22" i="3" s="1"/>
  <c r="B23" i="3"/>
  <c r="B8" i="3"/>
  <c r="B9" i="3"/>
  <c r="D39" i="1"/>
  <c r="B40" i="1"/>
  <c r="C35" i="1"/>
  <c r="C47" i="1"/>
  <c r="F47" i="1"/>
  <c r="I47" i="1" s="1"/>
  <c r="K47" i="1" s="1"/>
  <c r="B38" i="2"/>
  <c r="D37" i="2"/>
  <c r="D54" i="5"/>
  <c r="K54" i="5" s="1"/>
  <c r="N54" i="5"/>
  <c r="I54" i="5"/>
  <c r="G62" i="4"/>
  <c r="H62" i="4" s="1"/>
  <c r="I62" i="4"/>
  <c r="I60" i="4"/>
  <c r="B38" i="4"/>
  <c r="D37" i="4"/>
  <c r="B27" i="3"/>
  <c r="J46" i="4" l="1"/>
  <c r="I61" i="4"/>
  <c r="N89" i="5"/>
  <c r="S53" i="5"/>
  <c r="T53" i="5"/>
  <c r="U53" i="5"/>
  <c r="O71" i="5"/>
  <c r="B26" i="3"/>
  <c r="B28" i="3" s="1"/>
  <c r="O54" i="5"/>
  <c r="U54" i="5" s="1"/>
  <c r="I72" i="5"/>
  <c r="P54" i="5"/>
  <c r="K72" i="5"/>
  <c r="G35" i="1"/>
  <c r="E35" i="1"/>
  <c r="F35" i="1" s="1"/>
  <c r="B48" i="1"/>
  <c r="I35" i="1"/>
  <c r="P71" i="5"/>
  <c r="Q71" i="5"/>
  <c r="B39" i="4"/>
  <c r="D38" i="4"/>
  <c r="E54" i="5"/>
  <c r="F54" i="5" s="1"/>
  <c r="C55" i="5" s="1"/>
  <c r="N72" i="5"/>
  <c r="B39" i="2"/>
  <c r="D38" i="2"/>
  <c r="B41" i="1"/>
  <c r="D40" i="1"/>
  <c r="D7" i="3"/>
  <c r="B50" i="2"/>
  <c r="E35" i="2"/>
  <c r="F35" i="2" s="1"/>
  <c r="G35" i="2"/>
  <c r="I35" i="2"/>
  <c r="E35" i="4"/>
  <c r="F35" i="4" s="1"/>
  <c r="G35" i="4"/>
  <c r="I35" i="4"/>
  <c r="B47" i="4"/>
  <c r="N90" i="5" l="1"/>
  <c r="T54" i="5"/>
  <c r="J72" i="5"/>
  <c r="S54" i="5"/>
  <c r="D47" i="4"/>
  <c r="H35" i="2"/>
  <c r="K35" i="2" s="1"/>
  <c r="E50" i="2"/>
  <c r="H50" i="2" s="1"/>
  <c r="D50" i="2"/>
  <c r="G50" i="2" s="1"/>
  <c r="D55" i="5"/>
  <c r="K55" i="5" s="1"/>
  <c r="N55" i="5"/>
  <c r="I55" i="5"/>
  <c r="H35" i="4"/>
  <c r="K35" i="4" s="1"/>
  <c r="E47" i="4"/>
  <c r="H47" i="4" s="1"/>
  <c r="F7" i="3"/>
  <c r="F22" i="3" s="1"/>
  <c r="D22" i="3"/>
  <c r="D41" i="1"/>
  <c r="B42" i="1"/>
  <c r="B40" i="2"/>
  <c r="D39" i="2"/>
  <c r="B40" i="4"/>
  <c r="D39" i="4"/>
  <c r="D48" i="1"/>
  <c r="G48" i="1" s="1"/>
  <c r="E48" i="1"/>
  <c r="H48" i="1" s="1"/>
  <c r="H35" i="1"/>
  <c r="K35" i="1" s="1"/>
  <c r="Q54" i="5"/>
  <c r="J92" i="5"/>
  <c r="O72" i="5"/>
  <c r="G47" i="4" l="1"/>
  <c r="N91" i="5"/>
  <c r="E55" i="5"/>
  <c r="F55" i="5" s="1"/>
  <c r="C56" i="5" s="1"/>
  <c r="C36" i="1"/>
  <c r="C48" i="1"/>
  <c r="F48" i="1"/>
  <c r="I48" i="1" s="1"/>
  <c r="K48" i="1" s="1"/>
  <c r="P72" i="5"/>
  <c r="Q72" i="5"/>
  <c r="B41" i="2"/>
  <c r="D40" i="2"/>
  <c r="D42" i="1"/>
  <c r="C50" i="2"/>
  <c r="C36" i="2"/>
  <c r="F50" i="2"/>
  <c r="I50" i="2" s="1"/>
  <c r="K50" i="2" s="1"/>
  <c r="C47" i="4"/>
  <c r="C36" i="4"/>
  <c r="F47" i="4"/>
  <c r="I47" i="4" s="1"/>
  <c r="K47" i="4" s="1"/>
  <c r="N73" i="5"/>
  <c r="B41" i="4"/>
  <c r="D40" i="4"/>
  <c r="I73" i="5"/>
  <c r="P55" i="5"/>
  <c r="O55" i="5"/>
  <c r="J73" i="5" s="1"/>
  <c r="K73" i="5"/>
  <c r="J47" i="4" l="1"/>
  <c r="I56" i="5"/>
  <c r="I74" i="5" s="1"/>
  <c r="N56" i="5"/>
  <c r="N74" i="5" s="1"/>
  <c r="D56" i="5"/>
  <c r="K56" i="5" s="1"/>
  <c r="K74" i="5" s="1"/>
  <c r="Q55" i="5"/>
  <c r="J93" i="5"/>
  <c r="B42" i="4"/>
  <c r="D41" i="4"/>
  <c r="P56" i="5"/>
  <c r="O56" i="5"/>
  <c r="O74" i="5" s="1"/>
  <c r="J74" i="5"/>
  <c r="E36" i="4"/>
  <c r="F36" i="4" s="1"/>
  <c r="G36" i="4"/>
  <c r="B48" i="4"/>
  <c r="I36" i="4"/>
  <c r="B42" i="2"/>
  <c r="D41" i="2"/>
  <c r="G36" i="1"/>
  <c r="B49" i="1"/>
  <c r="E36" i="1"/>
  <c r="F36" i="1" s="1"/>
  <c r="I36" i="1"/>
  <c r="O73" i="5"/>
  <c r="T55" i="5"/>
  <c r="S55" i="5"/>
  <c r="U55" i="5"/>
  <c r="G36" i="2"/>
  <c r="E36" i="2"/>
  <c r="F36" i="2" s="1"/>
  <c r="B51" i="2"/>
  <c r="I36" i="2"/>
  <c r="E56" i="5" l="1"/>
  <c r="F56" i="5" s="1"/>
  <c r="C57" i="5" s="1"/>
  <c r="E49" i="1"/>
  <c r="H49" i="1" s="1"/>
  <c r="H36" i="1"/>
  <c r="K36" i="1" s="1"/>
  <c r="D42" i="2"/>
  <c r="E48" i="4"/>
  <c r="H48" i="4" s="1"/>
  <c r="H36" i="4"/>
  <c r="K36" i="4" s="1"/>
  <c r="S56" i="5"/>
  <c r="U56" i="5"/>
  <c r="D42" i="4"/>
  <c r="D51" i="2"/>
  <c r="G51" i="2" s="1"/>
  <c r="E51" i="2"/>
  <c r="H51" i="2" s="1"/>
  <c r="H36" i="2"/>
  <c r="K36" i="2" s="1"/>
  <c r="N92" i="5"/>
  <c r="D49" i="1"/>
  <c r="G49" i="1" s="1"/>
  <c r="D48" i="4"/>
  <c r="T56" i="5"/>
  <c r="Q56" i="5"/>
  <c r="P74" i="5" s="1"/>
  <c r="J94" i="5"/>
  <c r="P73" i="5"/>
  <c r="Q73" i="5"/>
  <c r="G48" i="4" l="1"/>
  <c r="N57" i="5"/>
  <c r="N75" i="5" s="1"/>
  <c r="I57" i="5"/>
  <c r="D57" i="5"/>
  <c r="C51" i="2"/>
  <c r="C37" i="2"/>
  <c r="F51" i="2"/>
  <c r="I51" i="2" s="1"/>
  <c r="K51" i="2" s="1"/>
  <c r="K49" i="1"/>
  <c r="C37" i="4"/>
  <c r="C48" i="4"/>
  <c r="F48" i="4"/>
  <c r="I48" i="4" s="1"/>
  <c r="K48" i="4" s="1"/>
  <c r="C37" i="1"/>
  <c r="C49" i="1"/>
  <c r="F49" i="1"/>
  <c r="I49" i="1" s="1"/>
  <c r="Q74" i="5"/>
  <c r="N93" i="5"/>
  <c r="J48" i="4" l="1"/>
  <c r="K57" i="5"/>
  <c r="E57" i="5"/>
  <c r="F57" i="5" s="1"/>
  <c r="C58" i="5" s="1"/>
  <c r="I75" i="5"/>
  <c r="P57" i="5"/>
  <c r="O57" i="5"/>
  <c r="B49" i="4"/>
  <c r="I37" i="4"/>
  <c r="E37" i="4"/>
  <c r="F37" i="4" s="1"/>
  <c r="G37" i="4"/>
  <c r="E37" i="1"/>
  <c r="F37" i="1" s="1"/>
  <c r="G37" i="1"/>
  <c r="I37" i="1"/>
  <c r="B50" i="1"/>
  <c r="B52" i="2"/>
  <c r="E37" i="2"/>
  <c r="F37" i="2" s="1"/>
  <c r="I37" i="2"/>
  <c r="G37" i="2"/>
  <c r="D58" i="5" l="1"/>
  <c r="N58" i="5"/>
  <c r="I58" i="5"/>
  <c r="O75" i="5"/>
  <c r="K75" i="5"/>
  <c r="T57" i="5"/>
  <c r="J95" i="5"/>
  <c r="Q58" i="5"/>
  <c r="P76" i="5" s="1"/>
  <c r="Q57" i="5"/>
  <c r="P75" i="5" s="1"/>
  <c r="U57" i="5"/>
  <c r="H37" i="4"/>
  <c r="E49" i="4"/>
  <c r="H49" i="4" s="1"/>
  <c r="E52" i="2"/>
  <c r="H52" i="2" s="1"/>
  <c r="H37" i="2"/>
  <c r="K37" i="2" s="1"/>
  <c r="D52" i="2"/>
  <c r="G52" i="2" s="1"/>
  <c r="D50" i="1"/>
  <c r="G50" i="1" s="1"/>
  <c r="H37" i="1"/>
  <c r="K37" i="1" s="1"/>
  <c r="E50" i="1"/>
  <c r="H50" i="1" s="1"/>
  <c r="K37" i="4"/>
  <c r="D49" i="4"/>
  <c r="G49" i="4" l="1"/>
  <c r="W49" i="5"/>
  <c r="W55" i="5"/>
  <c r="I76" i="5"/>
  <c r="I60" i="5"/>
  <c r="W53" i="5"/>
  <c r="W48" i="5"/>
  <c r="W57" i="5"/>
  <c r="W54" i="5"/>
  <c r="W51" i="5"/>
  <c r="O58" i="5"/>
  <c r="U58" i="5" s="1"/>
  <c r="W50" i="5"/>
  <c r="W56" i="5"/>
  <c r="W52" i="5"/>
  <c r="N76" i="5"/>
  <c r="N60" i="5"/>
  <c r="J75" i="5"/>
  <c r="S57" i="5"/>
  <c r="Q75" i="5"/>
  <c r="K58" i="5"/>
  <c r="E58" i="5"/>
  <c r="F58" i="5" s="1"/>
  <c r="C49" i="4"/>
  <c r="C38" i="4"/>
  <c r="F49" i="4"/>
  <c r="I49" i="4" s="1"/>
  <c r="K49" i="4" s="1"/>
  <c r="C38" i="1"/>
  <c r="C50" i="1"/>
  <c r="F50" i="1"/>
  <c r="I50" i="1" s="1"/>
  <c r="K50" i="1" s="1"/>
  <c r="C52" i="2"/>
  <c r="C38" i="2"/>
  <c r="F52" i="2"/>
  <c r="I52" i="2" s="1"/>
  <c r="K52" i="2" s="1"/>
  <c r="J49" i="4" l="1"/>
  <c r="N94" i="5"/>
  <c r="O76" i="5"/>
  <c r="O60" i="5"/>
  <c r="Y45" i="5" s="1"/>
  <c r="Y46" i="5" s="1"/>
  <c r="K76" i="5"/>
  <c r="K60" i="5"/>
  <c r="V57" i="5"/>
  <c r="V56" i="5" s="1"/>
  <c r="V54" i="5" s="1"/>
  <c r="V53" i="5" s="1"/>
  <c r="V52" i="5" s="1"/>
  <c r="V51" i="5" s="1"/>
  <c r="T58" i="5"/>
  <c r="E38" i="2"/>
  <c r="F38" i="2" s="1"/>
  <c r="I38" i="2"/>
  <c r="B53" i="2"/>
  <c r="G38" i="2"/>
  <c r="E38" i="1"/>
  <c r="F38" i="1" s="1"/>
  <c r="I38" i="1"/>
  <c r="B51" i="1"/>
  <c r="G38" i="1"/>
  <c r="B50" i="4"/>
  <c r="I38" i="4"/>
  <c r="E38" i="4"/>
  <c r="F38" i="4" s="1"/>
  <c r="G38" i="4"/>
  <c r="AB49" i="5" l="1"/>
  <c r="AH49" i="5"/>
  <c r="AH50" i="5"/>
  <c r="AH51" i="5"/>
  <c r="AH52" i="5"/>
  <c r="AH53" i="5"/>
  <c r="AH54" i="5"/>
  <c r="AH55" i="5"/>
  <c r="AH56" i="5"/>
  <c r="AH57" i="5"/>
  <c r="AH58" i="5"/>
  <c r="J76" i="5"/>
  <c r="S58" i="5"/>
  <c r="Q76" i="5"/>
  <c r="X50" i="5"/>
  <c r="X54" i="5"/>
  <c r="X58" i="5"/>
  <c r="X51" i="5"/>
  <c r="X55" i="5"/>
  <c r="X49" i="5"/>
  <c r="X53" i="5"/>
  <c r="X57" i="5"/>
  <c r="X52" i="5"/>
  <c r="X56" i="5"/>
  <c r="AK49" i="5"/>
  <c r="N82" i="5"/>
  <c r="Y58" i="5"/>
  <c r="Z58" i="5" s="1"/>
  <c r="Y57" i="5"/>
  <c r="Y56" i="5" s="1"/>
  <c r="E50" i="4"/>
  <c r="H50" i="4" s="1"/>
  <c r="H38" i="4"/>
  <c r="K38" i="4" s="1"/>
  <c r="D50" i="4"/>
  <c r="D51" i="1"/>
  <c r="G51" i="1" s="1"/>
  <c r="E53" i="2"/>
  <c r="H53" i="2" s="1"/>
  <c r="H38" i="2"/>
  <c r="K38" i="2" s="1"/>
  <c r="D53" i="2"/>
  <c r="G53" i="2" s="1"/>
  <c r="E51" i="1"/>
  <c r="H51" i="1" s="1"/>
  <c r="H38" i="1"/>
  <c r="K38" i="1" s="1"/>
  <c r="G50" i="4" l="1"/>
  <c r="N95" i="5"/>
  <c r="Z57" i="5"/>
  <c r="AJ57" i="5" s="1"/>
  <c r="AK58" i="5" s="1"/>
  <c r="S96" i="5"/>
  <c r="AJ58" i="5"/>
  <c r="C53" i="2"/>
  <c r="C39" i="2"/>
  <c r="F53" i="2"/>
  <c r="I53" i="2" s="1"/>
  <c r="K53" i="2" s="1"/>
  <c r="C51" i="1"/>
  <c r="C39" i="1"/>
  <c r="F51" i="1"/>
  <c r="I51" i="1" s="1"/>
  <c r="C50" i="4"/>
  <c r="C39" i="4"/>
  <c r="F50" i="4"/>
  <c r="I50" i="4" s="1"/>
  <c r="K50" i="4" s="1"/>
  <c r="S95" i="5"/>
  <c r="K51" i="1"/>
  <c r="Z56" i="5"/>
  <c r="Y55" i="5"/>
  <c r="J50" i="4" l="1"/>
  <c r="AA58" i="5"/>
  <c r="S94" i="5"/>
  <c r="AJ56" i="5"/>
  <c r="AK57" i="5" s="1"/>
  <c r="I39" i="4"/>
  <c r="B51" i="4"/>
  <c r="G39" i="4"/>
  <c r="E39" i="4"/>
  <c r="F39" i="4" s="1"/>
  <c r="G39" i="1"/>
  <c r="B52" i="1"/>
  <c r="I39" i="1"/>
  <c r="E39" i="1"/>
  <c r="F39" i="1" s="1"/>
  <c r="Z55" i="5"/>
  <c r="Y54" i="5"/>
  <c r="AA57" i="5"/>
  <c r="B54" i="2"/>
  <c r="G39" i="2"/>
  <c r="E39" i="2"/>
  <c r="F39" i="2" s="1"/>
  <c r="I39" i="2"/>
  <c r="AE57" i="5" l="1"/>
  <c r="AC57" i="5"/>
  <c r="AE58" i="5"/>
  <c r="AC58" i="5"/>
  <c r="E54" i="2"/>
  <c r="H54" i="2" s="1"/>
  <c r="H39" i="2"/>
  <c r="AF57" i="5"/>
  <c r="AL57" i="5"/>
  <c r="AI57" i="5"/>
  <c r="S93" i="5"/>
  <c r="AJ55" i="5"/>
  <c r="AK56" i="5" s="1"/>
  <c r="D52" i="1"/>
  <c r="G52" i="1" s="1"/>
  <c r="D51" i="4"/>
  <c r="K39" i="2"/>
  <c r="D54" i="2"/>
  <c r="G54" i="2" s="1"/>
  <c r="Z54" i="5"/>
  <c r="AA55" i="5" s="1"/>
  <c r="Y53" i="5"/>
  <c r="E52" i="1"/>
  <c r="H52" i="1" s="1"/>
  <c r="H39" i="1"/>
  <c r="K39" i="1" s="1"/>
  <c r="E51" i="4"/>
  <c r="H51" i="4" s="1"/>
  <c r="H39" i="4"/>
  <c r="K39" i="4" s="1"/>
  <c r="AA56" i="5"/>
  <c r="G51" i="4" l="1"/>
  <c r="AE56" i="5"/>
  <c r="AC56" i="5"/>
  <c r="AE55" i="5"/>
  <c r="AF55" i="5" s="1"/>
  <c r="AG55" i="5" s="1"/>
  <c r="AC55" i="5"/>
  <c r="AF58" i="5"/>
  <c r="AL58" i="5"/>
  <c r="AI58" i="5"/>
  <c r="AG58" i="5"/>
  <c r="C51" i="4"/>
  <c r="C40" i="4"/>
  <c r="F51" i="4"/>
  <c r="I51" i="4" s="1"/>
  <c r="K51" i="4" s="1"/>
  <c r="AF56" i="5"/>
  <c r="AL56" i="5"/>
  <c r="AI56" i="5"/>
  <c r="C40" i="1"/>
  <c r="C52" i="1"/>
  <c r="F52" i="1"/>
  <c r="I52" i="1" s="1"/>
  <c r="Z53" i="5"/>
  <c r="Y52" i="5"/>
  <c r="R75" i="5"/>
  <c r="S75" i="5" s="1"/>
  <c r="O94" i="5"/>
  <c r="S92" i="5"/>
  <c r="AJ54" i="5"/>
  <c r="AK55" i="5" s="1"/>
  <c r="AL55" i="5" s="1"/>
  <c r="C40" i="2"/>
  <c r="C54" i="2"/>
  <c r="F54" i="2"/>
  <c r="I54" i="2" s="1"/>
  <c r="K54" i="2" s="1"/>
  <c r="K52" i="1"/>
  <c r="AG57" i="5"/>
  <c r="J51" i="4" l="1"/>
  <c r="AI55" i="5"/>
  <c r="R76" i="5"/>
  <c r="S76" i="5" s="1"/>
  <c r="O95" i="5"/>
  <c r="G40" i="2"/>
  <c r="E40" i="2"/>
  <c r="F40" i="2" s="1"/>
  <c r="I40" i="2"/>
  <c r="B55" i="2"/>
  <c r="S91" i="5"/>
  <c r="AJ53" i="5"/>
  <c r="AK54" i="5" s="1"/>
  <c r="O93" i="5"/>
  <c r="R74" i="5"/>
  <c r="S74" i="5" s="1"/>
  <c r="AA54" i="5"/>
  <c r="R73" i="5"/>
  <c r="S73" i="5" s="1"/>
  <c r="O92" i="5"/>
  <c r="Z52" i="5"/>
  <c r="Y51" i="5"/>
  <c r="B53" i="1"/>
  <c r="G40" i="1"/>
  <c r="E40" i="1"/>
  <c r="F40" i="1" s="1"/>
  <c r="I40" i="1"/>
  <c r="AG56" i="5"/>
  <c r="E40" i="4"/>
  <c r="F40" i="4" s="1"/>
  <c r="B52" i="4"/>
  <c r="I40" i="4"/>
  <c r="G40" i="4"/>
  <c r="AE54" i="5" l="1"/>
  <c r="AC54" i="5"/>
  <c r="E52" i="4"/>
  <c r="H52" i="4" s="1"/>
  <c r="H40" i="4"/>
  <c r="D52" i="4"/>
  <c r="D53" i="1"/>
  <c r="G53" i="1" s="1"/>
  <c r="S90" i="5"/>
  <c r="AJ52" i="5"/>
  <c r="AK53" i="5" s="1"/>
  <c r="AA53" i="5"/>
  <c r="D55" i="2"/>
  <c r="G55" i="2" s="1"/>
  <c r="E55" i="2"/>
  <c r="H55" i="2" s="1"/>
  <c r="H40" i="2"/>
  <c r="K40" i="2" s="1"/>
  <c r="K40" i="4"/>
  <c r="H40" i="1"/>
  <c r="K40" i="1" s="1"/>
  <c r="E53" i="1"/>
  <c r="H53" i="1" s="1"/>
  <c r="Z51" i="5"/>
  <c r="Y50" i="5"/>
  <c r="AF54" i="5"/>
  <c r="AG54" i="5" s="1"/>
  <c r="AI54" i="5"/>
  <c r="AL54" i="5"/>
  <c r="G52" i="4" l="1"/>
  <c r="AE53" i="5"/>
  <c r="AC53" i="5"/>
  <c r="Z50" i="5"/>
  <c r="Y49" i="5"/>
  <c r="C52" i="4"/>
  <c r="J52" i="4" s="1"/>
  <c r="C41" i="4"/>
  <c r="F52" i="4"/>
  <c r="I52" i="4" s="1"/>
  <c r="K52" i="4" s="1"/>
  <c r="C55" i="2"/>
  <c r="C41" i="2"/>
  <c r="F55" i="2"/>
  <c r="I55" i="2" s="1"/>
  <c r="K55" i="2" s="1"/>
  <c r="R72" i="5"/>
  <c r="S72" i="5" s="1"/>
  <c r="O91" i="5"/>
  <c r="S89" i="5"/>
  <c r="AJ51" i="5"/>
  <c r="AK52" i="5" s="1"/>
  <c r="C53" i="1"/>
  <c r="C41" i="1"/>
  <c r="F53" i="1"/>
  <c r="I53" i="1" s="1"/>
  <c r="K53" i="1" s="1"/>
  <c r="AI53" i="5"/>
  <c r="AL53" i="5"/>
  <c r="AF53" i="5"/>
  <c r="AA52" i="5"/>
  <c r="AE52" i="5" l="1"/>
  <c r="AC52" i="5"/>
  <c r="O90" i="5"/>
  <c r="R71" i="5"/>
  <c r="S71" i="5" s="1"/>
  <c r="E41" i="1"/>
  <c r="F41" i="1" s="1"/>
  <c r="G41" i="1"/>
  <c r="I41" i="1"/>
  <c r="B54" i="1"/>
  <c r="I41" i="2"/>
  <c r="E41" i="2"/>
  <c r="F41" i="2" s="1"/>
  <c r="B56" i="2"/>
  <c r="G41" i="2"/>
  <c r="S88" i="5"/>
  <c r="AJ50" i="5"/>
  <c r="AK51" i="5" s="1"/>
  <c r="AI52" i="5"/>
  <c r="AF52" i="5"/>
  <c r="AG52" i="5" s="1"/>
  <c r="AL52" i="5"/>
  <c r="AG53" i="5"/>
  <c r="AA51" i="5"/>
  <c r="I41" i="4"/>
  <c r="B53" i="4"/>
  <c r="E41" i="4"/>
  <c r="F41" i="4" s="1"/>
  <c r="G41" i="4"/>
  <c r="Z49" i="5"/>
  <c r="Y48" i="5"/>
  <c r="Z48" i="5" s="1"/>
  <c r="S86" i="5" s="1"/>
  <c r="AE51" i="5" l="1"/>
  <c r="AC51" i="5"/>
  <c r="AJ49" i="5"/>
  <c r="AK50" i="5" s="1"/>
  <c r="AA49" i="5"/>
  <c r="S87" i="5"/>
  <c r="H41" i="4"/>
  <c r="K41" i="4" s="1"/>
  <c r="E53" i="4"/>
  <c r="H53" i="4" s="1"/>
  <c r="AF51" i="5"/>
  <c r="AG51" i="5" s="1"/>
  <c r="AL51" i="5"/>
  <c r="AI51" i="5"/>
  <c r="AA50" i="5"/>
  <c r="D56" i="2"/>
  <c r="G56" i="2" s="1"/>
  <c r="D54" i="1"/>
  <c r="G54" i="1" s="1"/>
  <c r="D53" i="4"/>
  <c r="R70" i="5"/>
  <c r="S70" i="5" s="1"/>
  <c r="O89" i="5"/>
  <c r="E56" i="2"/>
  <c r="H56" i="2" s="1"/>
  <c r="H41" i="2"/>
  <c r="K41" i="2" s="1"/>
  <c r="H41" i="1"/>
  <c r="K41" i="1" s="1"/>
  <c r="E54" i="1"/>
  <c r="H54" i="1" s="1"/>
  <c r="G53" i="4" l="1"/>
  <c r="AE50" i="5"/>
  <c r="AC50" i="5"/>
  <c r="AE49" i="5"/>
  <c r="AI49" i="5" s="1"/>
  <c r="C42" i="1"/>
  <c r="C54" i="1"/>
  <c r="F54" i="1"/>
  <c r="I54" i="1" s="1"/>
  <c r="K54" i="1" s="1"/>
  <c r="C42" i="2"/>
  <c r="C56" i="2"/>
  <c r="F56" i="2"/>
  <c r="I56" i="2" s="1"/>
  <c r="K56" i="2" s="1"/>
  <c r="AI50" i="5"/>
  <c r="AL50" i="5"/>
  <c r="AF50" i="5"/>
  <c r="AG50" i="5" s="1"/>
  <c r="R69" i="5"/>
  <c r="S69" i="5" s="1"/>
  <c r="O88" i="5"/>
  <c r="C42" i="4"/>
  <c r="C53" i="4"/>
  <c r="F53" i="4"/>
  <c r="I53" i="4" s="1"/>
  <c r="K53" i="4" s="1"/>
  <c r="AL49" i="5"/>
  <c r="J53" i="4" l="1"/>
  <c r="AF49" i="5"/>
  <c r="AF60" i="5"/>
  <c r="O86" i="5"/>
  <c r="P86" i="5" s="1"/>
  <c r="Q86" i="5" s="1"/>
  <c r="I87" i="5" s="1"/>
  <c r="R67" i="5"/>
  <c r="G42" i="1"/>
  <c r="E42" i="1"/>
  <c r="F42" i="1" s="1"/>
  <c r="B55" i="1"/>
  <c r="I42" i="1"/>
  <c r="AG49" i="5"/>
  <c r="AG59" i="5" s="1"/>
  <c r="I42" i="4"/>
  <c r="E42" i="4"/>
  <c r="F42" i="4" s="1"/>
  <c r="B54" i="4"/>
  <c r="G42" i="4"/>
  <c r="R68" i="5"/>
  <c r="S68" i="5" s="1"/>
  <c r="O87" i="5"/>
  <c r="E42" i="2"/>
  <c r="F42" i="2" s="1"/>
  <c r="I42" i="2"/>
  <c r="G42" i="2"/>
  <c r="B57" i="2"/>
  <c r="D57" i="2" l="1"/>
  <c r="G57" i="2" s="1"/>
  <c r="D54" i="4"/>
  <c r="D55" i="1"/>
  <c r="G55" i="1" s="1"/>
  <c r="R79" i="5"/>
  <c r="K105" i="5" s="1"/>
  <c r="S67" i="5"/>
  <c r="E57" i="2"/>
  <c r="H57" i="2" s="1"/>
  <c r="H42" i="2"/>
  <c r="E54" i="4"/>
  <c r="H54" i="4" s="1"/>
  <c r="H42" i="4"/>
  <c r="E55" i="1"/>
  <c r="H55" i="1" s="1"/>
  <c r="H42" i="1"/>
  <c r="K87" i="5"/>
  <c r="L87" i="5" s="1"/>
  <c r="G54" i="4" l="1"/>
  <c r="Q54" i="4" s="1"/>
  <c r="K42" i="1"/>
  <c r="J42" i="4"/>
  <c r="K42" i="4" s="1"/>
  <c r="J42" i="2"/>
  <c r="K42" i="2" s="1"/>
  <c r="M87" i="5"/>
  <c r="P87" i="5" s="1"/>
  <c r="Q87" i="5" s="1"/>
  <c r="I88" i="5" s="1"/>
  <c r="S78" i="5"/>
  <c r="S79" i="5"/>
  <c r="K104" i="5" s="1"/>
  <c r="K106" i="5" s="1"/>
  <c r="C54" i="4" l="1"/>
  <c r="F54" i="4"/>
  <c r="K88" i="5"/>
  <c r="L88" i="5" s="1"/>
  <c r="C57" i="2"/>
  <c r="F57" i="2"/>
  <c r="I57" i="2" s="1"/>
  <c r="K57" i="2" s="1"/>
  <c r="B64" i="2" s="1"/>
  <c r="C55" i="1"/>
  <c r="F55" i="1"/>
  <c r="I55" i="1" s="1"/>
  <c r="K55" i="1" s="1"/>
  <c r="B61" i="1" s="1"/>
  <c r="I54" i="4" l="1"/>
  <c r="K54" i="4" s="1"/>
  <c r="J54" i="4"/>
  <c r="T54" i="4" s="1"/>
  <c r="B60" i="1"/>
  <c r="C5" i="3" s="1"/>
  <c r="B60" i="4"/>
  <c r="B63" i="2"/>
  <c r="B65" i="2" s="1"/>
  <c r="M88" i="5"/>
  <c r="P88" i="5" s="1"/>
  <c r="Q88" i="5" s="1"/>
  <c r="I89" i="5" s="1"/>
  <c r="B61" i="4" l="1"/>
  <c r="C27" i="3" s="1"/>
  <c r="D27" i="3" s="1"/>
  <c r="U54" i="4"/>
  <c r="B62" i="1"/>
  <c r="B62" i="4"/>
  <c r="C9" i="3"/>
  <c r="D9" i="3" s="1"/>
  <c r="F9" i="3" s="1"/>
  <c r="K89" i="5"/>
  <c r="L89" i="5" s="1"/>
  <c r="C20" i="3"/>
  <c r="C6" i="3"/>
  <c r="D5" i="3"/>
  <c r="D25" i="3" l="1"/>
  <c r="F25" i="3" s="1"/>
  <c r="C21" i="3"/>
  <c r="C23" i="3" s="1"/>
  <c r="D6" i="3"/>
  <c r="M89" i="5"/>
  <c r="P89" i="5" s="1"/>
  <c r="Q89" i="5" s="1"/>
  <c r="I90" i="5" s="1"/>
  <c r="F5" i="3"/>
  <c r="F20" i="3" s="1"/>
  <c r="D20" i="3"/>
  <c r="C8" i="3"/>
  <c r="D8" i="3" s="1"/>
  <c r="F8" i="3" s="1"/>
  <c r="F27" i="3"/>
  <c r="K90" i="5" l="1"/>
  <c r="L90" i="5" s="1"/>
  <c r="D23" i="3"/>
  <c r="C26" i="3"/>
  <c r="C28" i="3" s="1"/>
  <c r="F6" i="3"/>
  <c r="F21" i="3" s="1"/>
  <c r="D21" i="3"/>
  <c r="D28" i="3" l="1"/>
  <c r="M90" i="5"/>
  <c r="P90" i="5" s="1"/>
  <c r="Q90" i="5" s="1"/>
  <c r="I91" i="5" s="1"/>
  <c r="F23" i="3"/>
  <c r="D26" i="3"/>
  <c r="F26" i="3" l="1"/>
  <c r="F28" i="3"/>
  <c r="K91" i="5"/>
  <c r="L91" i="5" s="1"/>
  <c r="M91" i="5" l="1"/>
  <c r="P91" i="5" s="1"/>
  <c r="Q91" i="5" s="1"/>
  <c r="I92" i="5" s="1"/>
  <c r="K92" i="5" l="1"/>
  <c r="L92" i="5" s="1"/>
  <c r="M92" i="5" l="1"/>
  <c r="P92" i="5" s="1"/>
  <c r="Q92" i="5" s="1"/>
  <c r="I93" i="5" s="1"/>
  <c r="K93" i="5" l="1"/>
  <c r="L93" i="5" s="1"/>
  <c r="M93" i="5" l="1"/>
  <c r="P93" i="5" s="1"/>
  <c r="Q93" i="5" s="1"/>
  <c r="I94" i="5" s="1"/>
  <c r="K94" i="5" l="1"/>
  <c r="L94" i="5" s="1"/>
  <c r="M94" i="5" l="1"/>
  <c r="P94" i="5" s="1"/>
  <c r="Q94" i="5" s="1"/>
  <c r="I95" i="5" s="1"/>
  <c r="K95" i="5" l="1"/>
  <c r="L95" i="5" s="1"/>
  <c r="M95" i="5" l="1"/>
  <c r="M96" i="5" s="1"/>
  <c r="L96" i="5"/>
  <c r="P95" i="5" l="1"/>
  <c r="Q95" i="5" s="1"/>
  <c r="Q96" i="5" s="1"/>
</calcChain>
</file>

<file path=xl/comments1.xml><?xml version="1.0" encoding="utf-8"?>
<comments xmlns="http://schemas.openxmlformats.org/spreadsheetml/2006/main">
  <authors>
    <author>Zhu, Vincent</author>
    <author>Vincent Zhu</author>
  </authors>
  <commentList>
    <comment ref="P47" authorId="0" shapeId="0">
      <text>
        <r>
          <rPr>
            <b/>
            <sz val="9"/>
            <color indexed="81"/>
            <rFont val="Tahoma"/>
            <family val="2"/>
          </rPr>
          <t>Zhu, Vincent:</t>
        </r>
        <r>
          <rPr>
            <sz val="9"/>
            <color indexed="81"/>
            <rFont val="Tahoma"/>
            <family val="2"/>
          </rPr>
          <t xml:space="preserve">
i.e. Required capital 
(Stat Reserve in Antelope)</t>
        </r>
      </text>
    </comment>
    <comment ref="R47" authorId="0" shapeId="0">
      <text>
        <r>
          <rPr>
            <b/>
            <sz val="9"/>
            <color indexed="81"/>
            <rFont val="Tahoma"/>
            <charset val="1"/>
          </rPr>
          <t>Zhu, Vincent:</t>
        </r>
        <r>
          <rPr>
            <sz val="9"/>
            <color indexed="81"/>
            <rFont val="Tahoma"/>
            <charset val="1"/>
          </rPr>
          <t xml:space="preserve">
Distributable profit gross of tax is only based on CFs. Change in profit carrier will </t>
        </r>
        <r>
          <rPr>
            <b/>
            <sz val="9"/>
            <color indexed="81"/>
            <rFont val="Tahoma"/>
            <family val="2"/>
          </rPr>
          <t>not</t>
        </r>
        <r>
          <rPr>
            <sz val="9"/>
            <color indexed="81"/>
            <rFont val="Tahoma"/>
            <charset val="1"/>
          </rPr>
          <t xml:space="preserve"> affect it.</t>
        </r>
      </text>
    </comment>
    <comment ref="AB47" authorId="0" shapeId="0">
      <text>
        <r>
          <rPr>
            <b/>
            <sz val="9"/>
            <color indexed="81"/>
            <rFont val="Tahoma"/>
            <charset val="1"/>
          </rPr>
          <t>Zhu, Vincent:</t>
        </r>
        <r>
          <rPr>
            <sz val="9"/>
            <color indexed="81"/>
            <rFont val="Tahoma"/>
            <charset val="1"/>
          </rPr>
          <t xml:space="preserve">
However, change in profit carrier will affect the accounting profit, then tax, then distributable profit net of tax.</t>
        </r>
      </text>
    </comment>
    <comment ref="AF47" authorId="0" shapeId="0">
      <text>
        <r>
          <rPr>
            <b/>
            <sz val="9"/>
            <color indexed="81"/>
            <rFont val="Tahoma"/>
            <family val="2"/>
          </rPr>
          <t>Zhu, Vincent:</t>
        </r>
        <r>
          <rPr>
            <sz val="9"/>
            <color indexed="81"/>
            <rFont val="Tahoma"/>
            <family val="2"/>
          </rPr>
          <t xml:space="preserve">
Tax is based on the accounting profit = NCF with the int on capital requirement (not PL).</t>
        </r>
      </text>
    </comment>
    <comment ref="I86" authorId="1" shapeId="0">
      <text>
        <r>
          <rPr>
            <b/>
            <sz val="9"/>
            <color indexed="81"/>
            <rFont val="Tahoma"/>
            <charset val="1"/>
          </rPr>
          <t>Vincent Zhu:</t>
        </r>
        <r>
          <rPr>
            <sz val="9"/>
            <color indexed="81"/>
            <rFont val="Tahoma"/>
            <charset val="1"/>
          </rPr>
          <t xml:space="preserve">
Excess asset supports total capital (which = required capital + surplus capital)
The post-tax interest on Excess asset is called "After Tax Interest on Surplus" in project Antelope, which plus "release of surplus" then minus the time-0 face amount of "Excess asset (i.e. total capital)" is the</t>
        </r>
        <r>
          <rPr>
            <b/>
            <sz val="9"/>
            <color indexed="81"/>
            <rFont val="Tahoma"/>
            <family val="2"/>
          </rPr>
          <t xml:space="preserve"> cost of capital</t>
        </r>
        <r>
          <rPr>
            <sz val="9"/>
            <color indexed="81"/>
            <rFont val="Tahoma"/>
            <charset val="1"/>
          </rPr>
          <t xml:space="preserve">. </t>
        </r>
      </text>
    </comment>
  </commentList>
</comments>
</file>

<file path=xl/comments2.xml><?xml version="1.0" encoding="utf-8"?>
<comments xmlns="http://schemas.openxmlformats.org/spreadsheetml/2006/main">
  <authors>
    <author>Zhu, Vincent</author>
  </authors>
  <commentList>
    <comment ref="C6" authorId="0" shapeId="0">
      <text>
        <r>
          <rPr>
            <b/>
            <sz val="9"/>
            <color indexed="81"/>
            <rFont val="Tahoma"/>
            <charset val="1"/>
          </rPr>
          <t>Zhu, Vincent:</t>
        </r>
        <r>
          <rPr>
            <sz val="9"/>
            <color indexed="81"/>
            <rFont val="Tahoma"/>
            <charset val="1"/>
          </rPr>
          <t xml:space="preserve">
Unwind by RDR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Zhu, Vincent:</t>
        </r>
        <r>
          <rPr>
            <sz val="9"/>
            <color indexed="81"/>
            <rFont val="Tahoma"/>
            <charset val="1"/>
          </rPr>
          <t xml:space="preserve">
Distributable earnings and imputation credits at EOY year 1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Zhu, Vincent:</t>
        </r>
        <r>
          <rPr>
            <sz val="9"/>
            <color indexed="81"/>
            <rFont val="Tahoma"/>
            <family val="2"/>
          </rPr>
          <t xml:space="preserve">
Change in distributable earnings and imputation credits at EOY year 1</t>
        </r>
      </text>
    </comment>
  </commentList>
</comments>
</file>

<file path=xl/sharedStrings.xml><?xml version="1.0" encoding="utf-8"?>
<sst xmlns="http://schemas.openxmlformats.org/spreadsheetml/2006/main" count="340" uniqueCount="210">
  <si>
    <t>no of members</t>
  </si>
  <si>
    <t>Premium p.a</t>
  </si>
  <si>
    <t>Fees:</t>
  </si>
  <si>
    <t>Member fee p.a.</t>
  </si>
  <si>
    <t>% fee</t>
  </si>
  <si>
    <t>risk discount rate</t>
  </si>
  <si>
    <t>Expenses:</t>
  </si>
  <si>
    <t>$ per member exp</t>
  </si>
  <si>
    <t>% per member exp</t>
  </si>
  <si>
    <t>Policyholder tax rate</t>
  </si>
  <si>
    <t>Shareholder tax rate</t>
  </si>
  <si>
    <t>Time</t>
  </si>
  <si>
    <t>Investment return</t>
  </si>
  <si>
    <t>Lapse rate</t>
  </si>
  <si>
    <t>Prems</t>
  </si>
  <si>
    <t>received at start of year</t>
  </si>
  <si>
    <t>leaving mid way through the year</t>
  </si>
  <si>
    <t>Distributable profits paid at end of year</t>
  </si>
  <si>
    <t>No of members boy</t>
  </si>
  <si>
    <t>P/H FUM at boy</t>
  </si>
  <si>
    <t>P/H FUM at eoy</t>
  </si>
  <si>
    <t>p/h Interest</t>
  </si>
  <si>
    <t>p/h tax on interest</t>
  </si>
  <si>
    <t>lapses</t>
  </si>
  <si>
    <t>net of policyholder tax and paid at start of year</t>
  </si>
  <si>
    <t>net of policyholder tax and paid over the year</t>
  </si>
  <si>
    <t>paid at start of year</t>
  </si>
  <si>
    <t>paid over the year</t>
  </si>
  <si>
    <t>p/h fees gross of tax</t>
  </si>
  <si>
    <t>S/H Fees</t>
  </si>
  <si>
    <t>S/H Expenses</t>
  </si>
  <si>
    <t>Interest on</t>
  </si>
  <si>
    <t>S/H tax on fees</t>
  </si>
  <si>
    <t>S/H tax on int on</t>
  </si>
  <si>
    <t>S/H tax on expenses</t>
  </si>
  <si>
    <t>P/H tax on fees</t>
  </si>
  <si>
    <t>S/H distributable profit</t>
  </si>
  <si>
    <t>Adjusted net worth</t>
  </si>
  <si>
    <t>Value of business</t>
  </si>
  <si>
    <t>Assumes no deferred acquisition costs that are running off</t>
  </si>
  <si>
    <t>Opening FUM</t>
  </si>
  <si>
    <t>All funds returned at end of 10 years as all members turn 65</t>
  </si>
  <si>
    <t>maturity</t>
  </si>
  <si>
    <t>Appraisal value</t>
  </si>
  <si>
    <t>All funds returned at end of 9 years as all members turn 65</t>
  </si>
  <si>
    <t>Net Worth</t>
  </si>
  <si>
    <t>Value of Inforce</t>
  </si>
  <si>
    <t>Embedded Value</t>
  </si>
  <si>
    <t>Value of New Business</t>
  </si>
  <si>
    <t>Total</t>
  </si>
  <si>
    <t>Values at time 0</t>
  </si>
  <si>
    <t>Actual value at time 1</t>
  </si>
  <si>
    <t>Expected change in value</t>
  </si>
  <si>
    <t>Move distributable profits to Net Worth</t>
  </si>
  <si>
    <t>If all goes as expected</t>
  </si>
  <si>
    <t>Expected value at end of period</t>
  </si>
  <si>
    <t>Expenses higher than expected in period</t>
  </si>
  <si>
    <t>Change in expense assumption</t>
  </si>
  <si>
    <t>Unexplained</t>
  </si>
  <si>
    <t>Expenses different from expected</t>
  </si>
  <si>
    <t>During period expenses (after allowing for tax and imputation credits) were $10,000 worse than expected</t>
  </si>
  <si>
    <t>The future expense assumption per member is $5 higher</t>
  </si>
  <si>
    <t>Note this assumes a cash return is expected (and earned) on net worth of 4% after allowing for tax and imputation credits</t>
  </si>
  <si>
    <t>Imputation Credits</t>
  </si>
  <si>
    <t>Imputation credits</t>
  </si>
  <si>
    <t xml:space="preserve"> </t>
  </si>
  <si>
    <t>Parameters</t>
  </si>
  <si>
    <t>Simple Appraisal Value YRT</t>
  </si>
  <si>
    <t>Entry</t>
  </si>
  <si>
    <t>next</t>
  </si>
  <si>
    <t>Sex</t>
  </si>
  <si>
    <t>Smoker</t>
  </si>
  <si>
    <t>Premium</t>
  </si>
  <si>
    <t>Sum insured</t>
  </si>
  <si>
    <t>Tax rate</t>
  </si>
  <si>
    <t>Inflation</t>
  </si>
  <si>
    <t>Expenses</t>
  </si>
  <si>
    <t>Fixed initial</t>
  </si>
  <si>
    <t>Fixed renewal</t>
  </si>
  <si>
    <t>Variable initial</t>
  </si>
  <si>
    <t>Variable renewal</t>
  </si>
  <si>
    <t>Mortality</t>
  </si>
  <si>
    <t>Mortality table</t>
  </si>
  <si>
    <t>Net worth (assets) at start</t>
  </si>
  <si>
    <t>Male</t>
  </si>
  <si>
    <t>Non smoker</t>
  </si>
  <si>
    <t>Policy term</t>
  </si>
  <si>
    <t>Premium term</t>
  </si>
  <si>
    <t>years</t>
  </si>
  <si>
    <t>Premium payable</t>
  </si>
  <si>
    <t>annually</t>
  </si>
  <si>
    <t>point of sale</t>
  </si>
  <si>
    <t>of annual premium</t>
  </si>
  <si>
    <t>indexed and starts from beginning year 2</t>
  </si>
  <si>
    <t>of annual premium, indexed and starts from beginning year 2</t>
  </si>
  <si>
    <t>IA90-92</t>
  </si>
  <si>
    <t>Risk discount rate</t>
  </si>
  <si>
    <t>Term premium rates</t>
  </si>
  <si>
    <t>Year</t>
  </si>
  <si>
    <t>lx</t>
  </si>
  <si>
    <t>dx</t>
  </si>
  <si>
    <t>wx</t>
  </si>
  <si>
    <t>lx+1</t>
  </si>
  <si>
    <t>Male non-smoker</t>
  </si>
  <si>
    <t>Age next</t>
  </si>
  <si>
    <t>Rate per $1,000 sum insured</t>
  </si>
  <si>
    <t>Decrement Rates</t>
  </si>
  <si>
    <t>Age</t>
  </si>
  <si>
    <t>qx</t>
  </si>
  <si>
    <t>Decrement table</t>
  </si>
  <si>
    <t>Death outgo</t>
  </si>
  <si>
    <t>Investment Income</t>
  </si>
  <si>
    <t>Surr outgo</t>
  </si>
  <si>
    <t>Mat outgo</t>
  </si>
  <si>
    <t>Expense</t>
  </si>
  <si>
    <t>Commission</t>
  </si>
  <si>
    <t>increases with CPI annually</t>
  </si>
  <si>
    <t>NPV (earned rate)</t>
  </si>
  <si>
    <t>Profit margin %</t>
  </si>
  <si>
    <t>Value of future profit margins eoy</t>
  </si>
  <si>
    <t>Premiums</t>
  </si>
  <si>
    <t>P/H fees gross of tax</t>
  </si>
  <si>
    <t>P/H tax on interest</t>
  </si>
  <si>
    <t>Lapses</t>
  </si>
  <si>
    <t>Maturity</t>
  </si>
  <si>
    <t>Number of members boy</t>
  </si>
  <si>
    <t>P/H interest</t>
  </si>
  <si>
    <t>P/H FUM at eot</t>
  </si>
  <si>
    <t>S/H fees</t>
  </si>
  <si>
    <t>S/H expenses</t>
  </si>
  <si>
    <t>S/H tax on int on margin</t>
  </si>
  <si>
    <t>Distributable profits</t>
  </si>
  <si>
    <t>Cash flow w/o interest</t>
  </si>
  <si>
    <t>PV cash flows</t>
  </si>
  <si>
    <t>Interest on cash flow</t>
  </si>
  <si>
    <t>Tax</t>
  </si>
  <si>
    <t>Net profit</t>
  </si>
  <si>
    <t>Profit margin</t>
  </si>
  <si>
    <t>Check error</t>
  </si>
  <si>
    <t>Calculations</t>
  </si>
  <si>
    <t>Embedded/Appraisal value</t>
  </si>
  <si>
    <t>Assets (boy)</t>
  </si>
  <si>
    <t>-</t>
  </si>
  <si>
    <t>Item</t>
  </si>
  <si>
    <t>Value</t>
  </si>
  <si>
    <t>$</t>
  </si>
  <si>
    <t>Adjusted Net Worth</t>
  </si>
  <si>
    <t>Value of Inforce Business</t>
  </si>
  <si>
    <t>As assumed only new business</t>
  </si>
  <si>
    <t>Value of Imputation Credits</t>
  </si>
  <si>
    <t>Appraisal Value</t>
  </si>
  <si>
    <t>Cash flow before tax</t>
  </si>
  <si>
    <t>Tax on interest</t>
  </si>
  <si>
    <t>Cash flow from policy</t>
  </si>
  <si>
    <t>Tax on policy  profits</t>
  </si>
  <si>
    <t>Assets (eoy)</t>
  </si>
  <si>
    <t>Increase in assets in year</t>
  </si>
  <si>
    <t>Term (years)</t>
  </si>
  <si>
    <t>Risk free rate</t>
  </si>
  <si>
    <t>Policy liability eoy</t>
  </si>
  <si>
    <t>Interest on policy liability</t>
  </si>
  <si>
    <t>Gross profit - profit margin</t>
  </si>
  <si>
    <t>Policy Liability</t>
  </si>
  <si>
    <t>Policy liability (boy)</t>
  </si>
  <si>
    <t>Margin above FUM for PCR</t>
  </si>
  <si>
    <t>PCR at boy</t>
  </si>
  <si>
    <t>PCR at eyo</t>
  </si>
  <si>
    <t>Additional PCR</t>
  </si>
  <si>
    <t>at boy</t>
  </si>
  <si>
    <t>at eoy</t>
  </si>
  <si>
    <t>PCR</t>
  </si>
  <si>
    <t>Int on PCR</t>
  </si>
  <si>
    <t>policy liabilities and capital requirements</t>
  </si>
  <si>
    <t>Reserves eoy</t>
  </si>
  <si>
    <t>Increase in Reserves</t>
  </si>
  <si>
    <t>BEL eoy</t>
  </si>
  <si>
    <t>Change in policy liability</t>
  </si>
  <si>
    <t>Reserves - Pol Liab</t>
  </si>
  <si>
    <t>int on Reserves - PolLiab plus PM with interest</t>
  </si>
  <si>
    <t>Reserves (boy)</t>
  </si>
  <si>
    <t>Excess assets (boy)</t>
  </si>
  <si>
    <t>Interest on excess assets</t>
  </si>
  <si>
    <t>PCR at eoy</t>
  </si>
  <si>
    <t xml:space="preserve">Int on PCR </t>
  </si>
  <si>
    <t>S/H tax on int on PCR</t>
  </si>
  <si>
    <t>Distributable Profit (gross)</t>
  </si>
  <si>
    <t>Distributable Profit (net)</t>
  </si>
  <si>
    <t>Reserves and excess assets</t>
  </si>
  <si>
    <t>Sum</t>
  </si>
  <si>
    <t>NPV at RDR</t>
  </si>
  <si>
    <t>Profit Margin</t>
  </si>
  <si>
    <t>Investment return on equity</t>
  </si>
  <si>
    <t>Investment return on units</t>
  </si>
  <si>
    <t>Investment return equity</t>
  </si>
  <si>
    <t>Profit effect on worse expenses</t>
  </si>
  <si>
    <t>Check</t>
  </si>
  <si>
    <t>Year 1</t>
  </si>
  <si>
    <t>PV of Premium</t>
  </si>
  <si>
    <t>Vinc</t>
  </si>
  <si>
    <t>Profit with int on PL
(interest on reserve is incl. in NCF)</t>
  </si>
  <si>
    <t>Value of New Business @ RDR</t>
  </si>
  <si>
    <t>Future Tax Payable @ RDR</t>
  </si>
  <si>
    <t>Accounting Profit</t>
  </si>
  <si>
    <r>
      <t xml:space="preserve">Gross Profit </t>
    </r>
    <r>
      <rPr>
        <i/>
        <sz val="10"/>
        <color rgb="FFC00000"/>
        <rFont val="Arial"/>
        <family val="2"/>
      </rPr>
      <t>with interest on Reserve</t>
    </r>
  </si>
  <si>
    <t xml:space="preserve">                                                                                                                    </t>
  </si>
  <si>
    <t>Reserves as % annual premium</t>
  </si>
  <si>
    <t>=R79*C26</t>
  </si>
  <si>
    <t>Imputation Crs as % Future Tax Payable</t>
  </si>
  <si>
    <t>Assume $10,000 decrease in profit for the period after allowing for tax and imputation credits</t>
  </si>
  <si>
    <t>Implied year 1 actual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</si>
</sst>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&quot;$&quot;#,##0;[Red]\-&quot;$&quot;#,##0"/>
    <numFmt numFmtId="165" formatCode="&quot;$&quot;#,##0.00;[Red]\-&quot;$&quot;#,##0.00"/>
    <numFmt numFmtId="166" formatCode="_-* #,##0.00_-;\-* #,##0.00_-;_-* &quot;-&quot;??_-;_-@_-"/>
    <numFmt numFmtId="167" formatCode="_-* #,##0_-;\-* #,##0_-;_-* &quot;-&quot;??_-;_-@_-"/>
    <numFmt numFmtId="168" formatCode="0.00000"/>
    <numFmt numFmtId="169" formatCode="#,##0.000"/>
    <numFmt numFmtId="170" formatCode="0.000%"/>
    <numFmt numFmtId="171" formatCode="&quot;$&quot;#,##0;[Red]&quot;$&quot;#,##0"/>
    <numFmt numFmtId="172" formatCode="0.0%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0"/>
      <color theme="0"/>
      <name val="Arial"/>
      <family val="2"/>
    </font>
    <font>
      <i/>
      <sz val="10"/>
      <color theme="4" tint="-0.249977111117893"/>
      <name val="Arial"/>
      <family val="2"/>
    </font>
    <font>
      <b/>
      <sz val="10"/>
      <color rgb="FFC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color theme="9" tint="-0.249977111117893"/>
      <name val="Arial"/>
      <family val="2"/>
    </font>
    <font>
      <b/>
      <i/>
      <sz val="10"/>
      <color rgb="FFC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color theme="0" tint="-0.34998626667073579"/>
      <name val="Arial"/>
      <family val="2"/>
    </font>
    <font>
      <i/>
      <sz val="10"/>
      <color rgb="FFC00000"/>
      <name val="Arial"/>
      <family val="2"/>
    </font>
    <font>
      <b/>
      <sz val="10"/>
      <color theme="9" tint="-0.249977111117893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5">
    <xf numFmtId="0" fontId="0" fillId="0" borderId="0" xfId="0"/>
    <xf numFmtId="167" fontId="0" fillId="0" borderId="0" xfId="1" applyNumberFormat="1" applyFont="1"/>
    <xf numFmtId="0" fontId="0" fillId="0" borderId="0" xfId="0" quotePrefix="1"/>
    <xf numFmtId="9" fontId="0" fillId="0" borderId="0" xfId="0" applyNumberFormat="1"/>
    <xf numFmtId="167" fontId="0" fillId="0" borderId="0" xfId="0" applyNumberFormat="1"/>
    <xf numFmtId="164" fontId="0" fillId="0" borderId="0" xfId="0" applyNumberFormat="1"/>
    <xf numFmtId="3" fontId="0" fillId="0" borderId="0" xfId="0" applyNumberFormat="1"/>
    <xf numFmtId="3" fontId="0" fillId="0" borderId="0" xfId="1" applyNumberFormat="1" applyFont="1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9" fontId="3" fillId="0" borderId="0" xfId="0" applyNumberFormat="1" applyFont="1"/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164" fontId="3" fillId="0" borderId="0" xfId="0" applyNumberFormat="1" applyFont="1"/>
    <xf numFmtId="164" fontId="3" fillId="0" borderId="1" xfId="0" applyNumberFormat="1" applyFont="1" applyBorder="1"/>
    <xf numFmtId="0" fontId="3" fillId="0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3" fontId="3" fillId="2" borderId="0" xfId="0" applyNumberFormat="1" applyFont="1" applyFill="1"/>
    <xf numFmtId="9" fontId="3" fillId="2" borderId="0" xfId="0" applyNumberFormat="1" applyFont="1" applyFill="1"/>
    <xf numFmtId="165" fontId="3" fillId="2" borderId="0" xfId="0" applyNumberFormat="1" applyFont="1" applyFill="1"/>
    <xf numFmtId="165" fontId="3" fillId="0" borderId="0" xfId="0" applyNumberFormat="1" applyFont="1"/>
    <xf numFmtId="166" fontId="3" fillId="2" borderId="0" xfId="1" applyFont="1" applyFill="1"/>
    <xf numFmtId="0" fontId="2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0" xfId="0" applyFont="1" applyFill="1" applyAlignment="1">
      <alignment wrapText="1"/>
    </xf>
    <xf numFmtId="168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168" fontId="3" fillId="0" borderId="7" xfId="0" applyNumberFormat="1" applyFont="1" applyBorder="1"/>
    <xf numFmtId="0" fontId="3" fillId="0" borderId="2" xfId="0" applyFont="1" applyBorder="1"/>
    <xf numFmtId="0" fontId="3" fillId="0" borderId="8" xfId="0" applyFont="1" applyBorder="1"/>
    <xf numFmtId="0" fontId="3" fillId="0" borderId="8" xfId="0" applyFont="1" applyFill="1" applyBorder="1"/>
    <xf numFmtId="165" fontId="3" fillId="0" borderId="8" xfId="0" applyNumberFormat="1" applyFont="1" applyFill="1" applyBorder="1"/>
    <xf numFmtId="0" fontId="2" fillId="0" borderId="4" xfId="0" applyFont="1" applyBorder="1"/>
    <xf numFmtId="0" fontId="3" fillId="0" borderId="0" xfId="0" applyFont="1" applyBorder="1"/>
    <xf numFmtId="0" fontId="3" fillId="0" borderId="0" xfId="0" applyFont="1" applyFill="1" applyBorder="1"/>
    <xf numFmtId="170" fontId="3" fillId="0" borderId="0" xfId="2" applyNumberFormat="1" applyFont="1" applyFill="1" applyBorder="1"/>
    <xf numFmtId="0" fontId="3" fillId="0" borderId="4" xfId="0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3" fontId="3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3" fontId="3" fillId="0" borderId="0" xfId="0" applyNumberFormat="1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1" fontId="3" fillId="0" borderId="0" xfId="0" applyNumberFormat="1" applyFont="1" applyFill="1" applyBorder="1"/>
    <xf numFmtId="1" fontId="3" fillId="0" borderId="0" xfId="0" applyNumberFormat="1" applyFont="1" applyBorder="1"/>
    <xf numFmtId="169" fontId="3" fillId="0" borderId="0" xfId="0" applyNumberFormat="1" applyFont="1" applyBorder="1"/>
    <xf numFmtId="169" fontId="3" fillId="0" borderId="5" xfId="0" applyNumberFormat="1" applyFont="1" applyBorder="1"/>
    <xf numFmtId="3" fontId="3" fillId="0" borderId="0" xfId="0" applyNumberFormat="1" applyFont="1" applyBorder="1"/>
    <xf numFmtId="3" fontId="3" fillId="0" borderId="0" xfId="0" applyNumberFormat="1" applyFont="1" applyFill="1" applyBorder="1"/>
    <xf numFmtId="3" fontId="3" fillId="0" borderId="5" xfId="0" applyNumberFormat="1" applyFont="1" applyBorder="1"/>
    <xf numFmtId="0" fontId="3" fillId="0" borderId="9" xfId="0" applyFont="1" applyBorder="1"/>
    <xf numFmtId="169" fontId="3" fillId="0" borderId="9" xfId="0" applyNumberFormat="1" applyFont="1" applyBorder="1"/>
    <xf numFmtId="169" fontId="3" fillId="0" borderId="7" xfId="0" applyNumberFormat="1" applyFont="1" applyBorder="1"/>
    <xf numFmtId="165" fontId="3" fillId="0" borderId="0" xfId="0" applyNumberFormat="1" applyFont="1" applyFill="1" applyBorder="1" applyAlignment="1">
      <alignment wrapText="1"/>
    </xf>
    <xf numFmtId="0" fontId="3" fillId="0" borderId="9" xfId="0" applyFont="1" applyFill="1" applyBorder="1"/>
    <xf numFmtId="170" fontId="3" fillId="0" borderId="9" xfId="2" applyNumberFormat="1" applyFont="1" applyFill="1" applyBorder="1"/>
    <xf numFmtId="170" fontId="3" fillId="0" borderId="0" xfId="2" applyNumberFormat="1" applyFont="1" applyFill="1"/>
    <xf numFmtId="0" fontId="3" fillId="0" borderId="3" xfId="0" applyFont="1" applyFill="1" applyBorder="1"/>
    <xf numFmtId="0" fontId="3" fillId="0" borderId="5" xfId="0" applyFont="1" applyFill="1" applyBorder="1"/>
    <xf numFmtId="0" fontId="3" fillId="0" borderId="4" xfId="0" applyFont="1" applyBorder="1" applyAlignment="1">
      <alignment horizontal="center" wrapText="1"/>
    </xf>
    <xf numFmtId="3" fontId="3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3" fontId="3" fillId="0" borderId="5" xfId="0" applyNumberFormat="1" applyFont="1" applyFill="1" applyBorder="1"/>
    <xf numFmtId="9" fontId="3" fillId="0" borderId="0" xfId="0" applyNumberFormat="1" applyFont="1" applyBorder="1"/>
    <xf numFmtId="167" fontId="3" fillId="0" borderId="0" xfId="0" applyNumberFormat="1" applyFont="1" applyBorder="1"/>
    <xf numFmtId="167" fontId="3" fillId="0" borderId="5" xfId="0" applyNumberFormat="1" applyFont="1" applyBorder="1"/>
    <xf numFmtId="167" fontId="3" fillId="0" borderId="4" xfId="0" applyNumberFormat="1" applyFont="1" applyBorder="1"/>
    <xf numFmtId="1" fontId="3" fillId="0" borderId="5" xfId="0" applyNumberFormat="1" applyFont="1" applyBorder="1"/>
    <xf numFmtId="167" fontId="3" fillId="0" borderId="9" xfId="0" applyNumberFormat="1" applyFont="1" applyBorder="1"/>
    <xf numFmtId="167" fontId="3" fillId="0" borderId="7" xfId="0" applyNumberFormat="1" applyFont="1" applyBorder="1"/>
    <xf numFmtId="167" fontId="3" fillId="0" borderId="6" xfId="0" applyNumberFormat="1" applyFont="1" applyBorder="1"/>
    <xf numFmtId="1" fontId="3" fillId="0" borderId="7" xfId="0" applyNumberFormat="1" applyFont="1" applyBorder="1"/>
    <xf numFmtId="166" fontId="3" fillId="0" borderId="0" xfId="0" applyNumberFormat="1" applyFont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3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/>
    <xf numFmtId="3" fontId="2" fillId="0" borderId="0" xfId="0" applyNumberFormat="1" applyFont="1" applyBorder="1"/>
    <xf numFmtId="0" fontId="2" fillId="0" borderId="6" xfId="0" applyFont="1" applyBorder="1"/>
    <xf numFmtId="0" fontId="2" fillId="0" borderId="9" xfId="0" applyFont="1" applyBorder="1"/>
    <xf numFmtId="3" fontId="2" fillId="0" borderId="9" xfId="0" applyNumberFormat="1" applyFont="1" applyBorder="1"/>
    <xf numFmtId="0" fontId="2" fillId="0" borderId="7" xfId="0" applyFont="1" applyBorder="1"/>
    <xf numFmtId="164" fontId="3" fillId="0" borderId="0" xfId="0" applyNumberFormat="1" applyFont="1" applyBorder="1" applyAlignment="1">
      <alignment wrapText="1"/>
    </xf>
    <xf numFmtId="164" fontId="3" fillId="0" borderId="0" xfId="0" applyNumberFormat="1" applyFont="1" applyFill="1" applyBorder="1" applyAlignment="1">
      <alignment wrapText="1"/>
    </xf>
    <xf numFmtId="167" fontId="3" fillId="2" borderId="0" xfId="1" applyNumberFormat="1" applyFont="1" applyFill="1"/>
    <xf numFmtId="10" fontId="3" fillId="2" borderId="0" xfId="0" applyNumberFormat="1" applyFont="1" applyFill="1"/>
    <xf numFmtId="0" fontId="3" fillId="0" borderId="2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3" xfId="0" applyFont="1" applyBorder="1" applyAlignment="1">
      <alignment wrapText="1"/>
    </xf>
    <xf numFmtId="3" fontId="3" fillId="0" borderId="4" xfId="0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3" fillId="0" borderId="9" xfId="1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167" fontId="4" fillId="2" borderId="0" xfId="1" applyNumberFormat="1" applyFont="1" applyFill="1"/>
    <xf numFmtId="0" fontId="0" fillId="2" borderId="0" xfId="0" applyFill="1"/>
    <xf numFmtId="10" fontId="0" fillId="2" borderId="0" xfId="0" applyNumberFormat="1" applyFill="1"/>
    <xf numFmtId="9" fontId="0" fillId="2" borderId="0" xfId="0" applyNumberFormat="1" applyFill="1"/>
    <xf numFmtId="0" fontId="2" fillId="2" borderId="0" xfId="0" applyFont="1" applyFill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3" fontId="0" fillId="0" borderId="0" xfId="0" applyNumberFormat="1" applyBorder="1"/>
    <xf numFmtId="3" fontId="0" fillId="0" borderId="0" xfId="1" applyNumberFormat="1" applyFont="1" applyBorder="1"/>
    <xf numFmtId="3" fontId="0" fillId="0" borderId="5" xfId="0" applyNumberFormat="1" applyBorder="1"/>
    <xf numFmtId="3" fontId="0" fillId="0" borderId="9" xfId="0" applyNumberFormat="1" applyBorder="1"/>
    <xf numFmtId="3" fontId="0" fillId="0" borderId="9" xfId="1" applyNumberFormat="1" applyFont="1" applyBorder="1"/>
    <xf numFmtId="3" fontId="0" fillId="0" borderId="7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9" xfId="0" applyBorder="1"/>
    <xf numFmtId="0" fontId="0" fillId="0" borderId="7" xfId="0" applyBorder="1"/>
    <xf numFmtId="164" fontId="0" fillId="0" borderId="9" xfId="0" applyNumberFormat="1" applyBorder="1"/>
    <xf numFmtId="164" fontId="0" fillId="0" borderId="7" xfId="0" applyNumberFormat="1" applyBorder="1"/>
    <xf numFmtId="167" fontId="0" fillId="0" borderId="1" xfId="0" applyNumberFormat="1" applyBorder="1"/>
    <xf numFmtId="0" fontId="3" fillId="0" borderId="10" xfId="0" applyFont="1" applyBorder="1"/>
    <xf numFmtId="167" fontId="3" fillId="0" borderId="0" xfId="1" applyNumberFormat="1" applyFont="1" applyFill="1" applyBorder="1"/>
    <xf numFmtId="0" fontId="6" fillId="0" borderId="0" xfId="0" applyFont="1" applyFill="1" applyBorder="1" applyAlignment="1">
      <alignment wrapText="1"/>
    </xf>
    <xf numFmtId="167" fontId="6" fillId="0" borderId="0" xfId="1" applyNumberFormat="1" applyFont="1" applyFill="1" applyBorder="1"/>
    <xf numFmtId="166" fontId="3" fillId="0" borderId="0" xfId="1" applyFont="1" applyBorder="1"/>
    <xf numFmtId="0" fontId="7" fillId="0" borderId="0" xfId="0" applyFont="1" applyBorder="1" applyAlignment="1">
      <alignment wrapText="1"/>
    </xf>
    <xf numFmtId="0" fontId="10" fillId="0" borderId="0" xfId="0" applyFont="1"/>
    <xf numFmtId="0" fontId="11" fillId="0" borderId="4" xfId="0" applyFont="1" applyBorder="1"/>
    <xf numFmtId="165" fontId="11" fillId="0" borderId="7" xfId="0" applyNumberFormat="1" applyFont="1" applyFill="1" applyBorder="1"/>
    <xf numFmtId="165" fontId="10" fillId="0" borderId="9" xfId="0" applyNumberFormat="1" applyFont="1" applyBorder="1"/>
    <xf numFmtId="167" fontId="3" fillId="0" borderId="10" xfId="1" applyNumberFormat="1" applyFont="1" applyBorder="1"/>
    <xf numFmtId="167" fontId="3" fillId="0" borderId="10" xfId="1" applyNumberFormat="1" applyFont="1" applyBorder="1" applyAlignment="1">
      <alignment wrapText="1"/>
    </xf>
    <xf numFmtId="167" fontId="4" fillId="4" borderId="0" xfId="1" applyNumberFormat="1" applyFont="1" applyFill="1"/>
    <xf numFmtId="167" fontId="3" fillId="4" borderId="0" xfId="1" applyNumberFormat="1" applyFont="1" applyFill="1"/>
    <xf numFmtId="0" fontId="3" fillId="5" borderId="0" xfId="0" applyFont="1" applyFill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9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71" fontId="14" fillId="0" borderId="0" xfId="0" applyNumberFormat="1" applyFont="1"/>
    <xf numFmtId="0" fontId="6" fillId="0" borderId="0" xfId="0" applyFont="1" applyFill="1" applyBorder="1" applyAlignment="1">
      <alignment horizontal="center" vertical="center" wrapText="1"/>
    </xf>
    <xf numFmtId="172" fontId="3" fillId="0" borderId="0" xfId="2" applyNumberFormat="1" applyFont="1"/>
    <xf numFmtId="172" fontId="14" fillId="0" borderId="0" xfId="2" applyNumberFormat="1" applyFont="1"/>
    <xf numFmtId="3" fontId="7" fillId="0" borderId="0" xfId="0" applyNumberFormat="1" applyFont="1" applyBorder="1"/>
    <xf numFmtId="3" fontId="16" fillId="0" borderId="0" xfId="0" applyNumberFormat="1" applyFont="1" applyBorder="1"/>
    <xf numFmtId="0" fontId="17" fillId="0" borderId="0" xfId="0" quotePrefix="1" applyFont="1" applyBorder="1"/>
    <xf numFmtId="3" fontId="3" fillId="6" borderId="0" xfId="0" applyNumberFormat="1" applyFont="1" applyFill="1" applyBorder="1" applyAlignment="1">
      <alignment horizontal="center"/>
    </xf>
    <xf numFmtId="3" fontId="3" fillId="6" borderId="5" xfId="0" applyNumberFormat="1" applyFont="1" applyFill="1" applyBorder="1" applyAlignment="1">
      <alignment horizontal="center"/>
    </xf>
    <xf numFmtId="167" fontId="0" fillId="6" borderId="0" xfId="0" applyNumberFormat="1" applyFill="1"/>
    <xf numFmtId="3" fontId="2" fillId="0" borderId="2" xfId="0" applyNumberFormat="1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167" fontId="0" fillId="0" borderId="0" xfId="1" applyNumberFormat="1" applyFont="1" applyBorder="1" applyAlignment="1"/>
    <xf numFmtId="167" fontId="0" fillId="0" borderId="0" xfId="0" applyNumberFormat="1" applyBorder="1" applyAlignment="1"/>
    <xf numFmtId="0" fontId="0" fillId="0" borderId="0" xfId="0" applyBorder="1" applyAlignment="1"/>
    <xf numFmtId="167" fontId="0" fillId="0" borderId="5" xfId="0" applyNumberFormat="1" applyBorder="1" applyAlignment="1"/>
    <xf numFmtId="167" fontId="0" fillId="0" borderId="9" xfId="1" applyNumberFormat="1" applyFont="1" applyBorder="1" applyAlignment="1"/>
    <xf numFmtId="167" fontId="0" fillId="0" borderId="9" xfId="0" applyNumberFormat="1" applyBorder="1" applyAlignment="1"/>
    <xf numFmtId="167" fontId="0" fillId="0" borderId="7" xfId="0" applyNumberFormat="1" applyBorder="1" applyAlignment="1"/>
    <xf numFmtId="0" fontId="3" fillId="7" borderId="8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167" fontId="3" fillId="7" borderId="0" xfId="1" applyNumberFormat="1" applyFont="1" applyFill="1" applyBorder="1" applyAlignment="1">
      <alignment horizontal="center"/>
    </xf>
    <xf numFmtId="167" fontId="3" fillId="7" borderId="5" xfId="1" applyNumberFormat="1" applyFont="1" applyFill="1" applyBorder="1" applyAlignment="1">
      <alignment horizontal="center"/>
    </xf>
    <xf numFmtId="167" fontId="3" fillId="7" borderId="9" xfId="1" applyNumberFormat="1" applyFont="1" applyFill="1" applyBorder="1" applyAlignment="1">
      <alignment horizontal="center"/>
    </xf>
    <xf numFmtId="167" fontId="3" fillId="7" borderId="7" xfId="1" applyNumberFormat="1" applyFont="1" applyFill="1" applyBorder="1" applyAlignment="1">
      <alignment horizontal="center"/>
    </xf>
    <xf numFmtId="0" fontId="7" fillId="7" borderId="8" xfId="0" applyFont="1" applyFill="1" applyBorder="1" applyAlignment="1">
      <alignment wrapText="1"/>
    </xf>
    <xf numFmtId="166" fontId="17" fillId="7" borderId="4" xfId="1" applyFont="1" applyFill="1" applyBorder="1" applyAlignment="1">
      <alignment horizontal="center"/>
    </xf>
    <xf numFmtId="166" fontId="17" fillId="7" borderId="0" xfId="1" applyFont="1" applyFill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06"/>
  <sheetViews>
    <sheetView tabSelected="1" topLeftCell="A38" zoomScale="85" zoomScaleNormal="85" workbookViewId="0">
      <selection activeCell="N46" sqref="N46"/>
    </sheetView>
  </sheetViews>
  <sheetFormatPr defaultRowHeight="12.75" x14ac:dyDescent="0.2"/>
  <cols>
    <col min="1" max="1" width="14.85546875" style="9" customWidth="1"/>
    <col min="2" max="2" width="15.85546875" style="9" customWidth="1"/>
    <col min="3" max="3" width="9.85546875" style="9" customWidth="1"/>
    <col min="4" max="4" width="6.85546875" style="9" customWidth="1"/>
    <col min="5" max="6" width="10.85546875" style="9" customWidth="1"/>
    <col min="7" max="7" width="5.7109375" style="9" customWidth="1"/>
    <col min="8" max="8" width="11.5703125" style="9" customWidth="1"/>
    <col min="9" max="9" width="9.140625" style="9"/>
    <col min="10" max="10" width="9.7109375" style="9" customWidth="1"/>
    <col min="11" max="11" width="8.5703125" style="9" customWidth="1"/>
    <col min="12" max="12" width="8.28515625" style="9" customWidth="1"/>
    <col min="13" max="13" width="7.85546875" style="9" customWidth="1"/>
    <col min="14" max="14" width="8.28515625" style="9" customWidth="1"/>
    <col min="15" max="15" width="11.85546875" style="9" customWidth="1"/>
    <col min="16" max="16" width="9.140625" style="9"/>
    <col min="17" max="17" width="11.140625" style="9" customWidth="1"/>
    <col min="18" max="18" width="11.5703125" style="9" customWidth="1"/>
    <col min="19" max="19" width="11.42578125" style="17" customWidth="1"/>
    <col min="20" max="21" width="9.140625" style="17"/>
    <col min="22" max="22" width="7.85546875" style="17" customWidth="1"/>
    <col min="23" max="23" width="9.28515625" style="17" bestFit="1" customWidth="1"/>
    <col min="24" max="24" width="7.85546875" style="17" customWidth="1"/>
    <col min="25" max="25" width="9.140625" style="17"/>
    <col min="26" max="27" width="9.140625" style="9"/>
    <col min="28" max="28" width="10.7109375" style="9" customWidth="1"/>
    <col min="29" max="29" width="9.5703125" style="9" customWidth="1"/>
    <col min="30" max="30" width="9.140625" style="9"/>
    <col min="31" max="31" width="9.85546875" style="9" customWidth="1"/>
    <col min="32" max="34" width="9.140625" style="9"/>
    <col min="35" max="35" width="12.28515625" style="9" customWidth="1"/>
    <col min="36" max="16384" width="9.140625" style="9"/>
  </cols>
  <sheetData>
    <row r="1" spans="1:4" x14ac:dyDescent="0.2">
      <c r="A1" s="8" t="s">
        <v>67</v>
      </c>
    </row>
    <row r="3" spans="1:4" x14ac:dyDescent="0.2">
      <c r="A3" s="8" t="s">
        <v>66</v>
      </c>
    </row>
    <row r="5" spans="1:4" x14ac:dyDescent="0.2">
      <c r="A5" s="9" t="s">
        <v>68</v>
      </c>
      <c r="C5" s="18">
        <v>56</v>
      </c>
      <c r="D5" s="9" t="s">
        <v>69</v>
      </c>
    </row>
    <row r="6" spans="1:4" x14ac:dyDescent="0.2">
      <c r="A6" s="9" t="s">
        <v>70</v>
      </c>
      <c r="C6" s="19" t="s">
        <v>84</v>
      </c>
    </row>
    <row r="7" spans="1:4" x14ac:dyDescent="0.2">
      <c r="A7" s="9" t="s">
        <v>71</v>
      </c>
      <c r="C7" s="19" t="s">
        <v>85</v>
      </c>
    </row>
    <row r="8" spans="1:4" x14ac:dyDescent="0.2">
      <c r="A8" s="9" t="s">
        <v>86</v>
      </c>
      <c r="C8" s="18">
        <v>10</v>
      </c>
      <c r="D8" s="9" t="s">
        <v>88</v>
      </c>
    </row>
    <row r="9" spans="1:4" x14ac:dyDescent="0.2">
      <c r="A9" s="9" t="s">
        <v>87</v>
      </c>
      <c r="C9" s="18">
        <v>10</v>
      </c>
      <c r="D9" s="9" t="s">
        <v>88</v>
      </c>
    </row>
    <row r="10" spans="1:4" x14ac:dyDescent="0.2">
      <c r="A10" s="9" t="s">
        <v>73</v>
      </c>
      <c r="C10" s="20">
        <v>250000</v>
      </c>
      <c r="D10" s="9" t="s">
        <v>116</v>
      </c>
    </row>
    <row r="11" spans="1:4" x14ac:dyDescent="0.2">
      <c r="A11" s="9" t="s">
        <v>89</v>
      </c>
      <c r="C11" s="19" t="s">
        <v>90</v>
      </c>
    </row>
    <row r="13" spans="1:4" x14ac:dyDescent="0.2">
      <c r="A13" s="9" t="s">
        <v>158</v>
      </c>
      <c r="C13" s="21">
        <v>0.03</v>
      </c>
    </row>
    <row r="14" spans="1:4" x14ac:dyDescent="0.2">
      <c r="A14" s="9" t="s">
        <v>74</v>
      </c>
      <c r="C14" s="21">
        <v>0.3</v>
      </c>
    </row>
    <row r="15" spans="1:4" x14ac:dyDescent="0.2">
      <c r="A15" s="9" t="s">
        <v>75</v>
      </c>
      <c r="C15" s="21">
        <v>0.02</v>
      </c>
    </row>
    <row r="16" spans="1:4" x14ac:dyDescent="0.2">
      <c r="A16" s="9" t="s">
        <v>76</v>
      </c>
    </row>
    <row r="17" spans="1:6" x14ac:dyDescent="0.2">
      <c r="B17" s="9" t="s">
        <v>77</v>
      </c>
      <c r="C17" s="22">
        <v>350</v>
      </c>
      <c r="D17" s="9" t="s">
        <v>91</v>
      </c>
    </row>
    <row r="18" spans="1:6" x14ac:dyDescent="0.2">
      <c r="B18" s="9" t="s">
        <v>78</v>
      </c>
      <c r="C18" s="22">
        <v>75</v>
      </c>
      <c r="D18" s="9" t="s">
        <v>93</v>
      </c>
    </row>
    <row r="19" spans="1:6" x14ac:dyDescent="0.2">
      <c r="A19" s="9" t="s">
        <v>115</v>
      </c>
      <c r="C19" s="23"/>
    </row>
    <row r="20" spans="1:6" x14ac:dyDescent="0.2">
      <c r="B20" s="9" t="s">
        <v>79</v>
      </c>
      <c r="C20" s="21">
        <v>0.7</v>
      </c>
      <c r="D20" s="9" t="s">
        <v>92</v>
      </c>
    </row>
    <row r="21" spans="1:6" x14ac:dyDescent="0.2">
      <c r="B21" s="9" t="s">
        <v>80</v>
      </c>
      <c r="C21" s="21">
        <v>0.05</v>
      </c>
      <c r="D21" s="9" t="s">
        <v>94</v>
      </c>
    </row>
    <row r="22" spans="1:6" x14ac:dyDescent="0.2">
      <c r="A22" s="9" t="s">
        <v>81</v>
      </c>
      <c r="C22" s="21">
        <v>1</v>
      </c>
    </row>
    <row r="23" spans="1:6" x14ac:dyDescent="0.2">
      <c r="A23" s="9" t="s">
        <v>82</v>
      </c>
      <c r="C23" s="19" t="s">
        <v>95</v>
      </c>
    </row>
    <row r="24" spans="1:6" x14ac:dyDescent="0.2">
      <c r="A24" s="9" t="s">
        <v>13</v>
      </c>
      <c r="C24" s="21">
        <v>0.15</v>
      </c>
    </row>
    <row r="25" spans="1:6" x14ac:dyDescent="0.2">
      <c r="A25" s="9" t="s">
        <v>205</v>
      </c>
      <c r="C25" s="21">
        <v>0.2</v>
      </c>
      <c r="D25" s="9" t="s">
        <v>172</v>
      </c>
    </row>
    <row r="26" spans="1:6" x14ac:dyDescent="0.2">
      <c r="A26" s="9" t="s">
        <v>207</v>
      </c>
      <c r="C26" s="21">
        <v>0.7</v>
      </c>
    </row>
    <row r="28" spans="1:6" x14ac:dyDescent="0.2">
      <c r="A28" s="9" t="s">
        <v>83</v>
      </c>
      <c r="C28" s="24">
        <v>1500</v>
      </c>
    </row>
    <row r="29" spans="1:6" x14ac:dyDescent="0.2">
      <c r="A29" s="9" t="s">
        <v>96</v>
      </c>
      <c r="C29" s="21">
        <v>0.08</v>
      </c>
    </row>
    <row r="31" spans="1:6" x14ac:dyDescent="0.2">
      <c r="B31" s="25" t="s">
        <v>97</v>
      </c>
      <c r="C31" s="26"/>
      <c r="E31" s="25" t="s">
        <v>106</v>
      </c>
      <c r="F31" s="26"/>
    </row>
    <row r="32" spans="1:6" x14ac:dyDescent="0.2">
      <c r="B32" s="27"/>
      <c r="C32" s="28"/>
      <c r="E32" s="27"/>
      <c r="F32" s="28"/>
    </row>
    <row r="33" spans="1:38" x14ac:dyDescent="0.2">
      <c r="B33" s="27" t="s">
        <v>103</v>
      </c>
      <c r="C33" s="28"/>
      <c r="E33" s="27"/>
      <c r="F33" s="28"/>
    </row>
    <row r="34" spans="1:38" s="12" customFormat="1" ht="51" x14ac:dyDescent="0.2">
      <c r="B34" s="29" t="s">
        <v>104</v>
      </c>
      <c r="C34" s="30" t="s">
        <v>105</v>
      </c>
      <c r="E34" s="29" t="s">
        <v>104</v>
      </c>
      <c r="F34" s="30" t="s">
        <v>108</v>
      </c>
      <c r="I34" s="12" t="s">
        <v>204</v>
      </c>
      <c r="S34" s="31"/>
      <c r="T34" s="31"/>
      <c r="U34" s="31"/>
      <c r="V34" s="31"/>
      <c r="W34" s="31"/>
      <c r="X34" s="31"/>
      <c r="Y34" s="31"/>
    </row>
    <row r="35" spans="1:38" x14ac:dyDescent="0.2">
      <c r="B35" s="27">
        <v>56</v>
      </c>
      <c r="C35" s="28">
        <v>5.5300000000000002E-3</v>
      </c>
      <c r="E35" s="27">
        <v>56</v>
      </c>
      <c r="F35" s="28">
        <v>4.2599999999999999E-3</v>
      </c>
    </row>
    <row r="36" spans="1:38" x14ac:dyDescent="0.2">
      <c r="B36" s="27">
        <f t="shared" ref="B36:B44" si="0">B35+1</f>
        <v>57</v>
      </c>
      <c r="C36" s="28">
        <v>6.2199999999999998E-3</v>
      </c>
      <c r="E36" s="27">
        <f t="shared" ref="E36:E44" si="1">E35+1</f>
        <v>57</v>
      </c>
      <c r="F36" s="28">
        <v>4.7400000000000003E-3</v>
      </c>
    </row>
    <row r="37" spans="1:38" x14ac:dyDescent="0.2">
      <c r="B37" s="27">
        <f t="shared" si="0"/>
        <v>58</v>
      </c>
      <c r="C37" s="28">
        <v>7.0299999999999998E-3</v>
      </c>
      <c r="E37" s="27">
        <f t="shared" si="1"/>
        <v>58</v>
      </c>
      <c r="F37" s="32">
        <v>5.2900000000000004E-3</v>
      </c>
    </row>
    <row r="38" spans="1:38" x14ac:dyDescent="0.2">
      <c r="B38" s="27">
        <f t="shared" si="0"/>
        <v>59</v>
      </c>
      <c r="C38" s="28">
        <v>7.9699999999999997E-3</v>
      </c>
      <c r="E38" s="27">
        <f t="shared" si="1"/>
        <v>59</v>
      </c>
      <c r="F38" s="32">
        <v>5.9100000000000003E-3</v>
      </c>
    </row>
    <row r="39" spans="1:38" x14ac:dyDescent="0.2">
      <c r="B39" s="27">
        <f t="shared" si="0"/>
        <v>60</v>
      </c>
      <c r="C39" s="32">
        <v>8.9999999999999993E-3</v>
      </c>
      <c r="E39" s="27">
        <f t="shared" si="1"/>
        <v>60</v>
      </c>
      <c r="F39" s="32">
        <v>6.62E-3</v>
      </c>
    </row>
    <row r="40" spans="1:38" x14ac:dyDescent="0.2">
      <c r="B40" s="27">
        <f t="shared" si="0"/>
        <v>61</v>
      </c>
      <c r="C40" s="28">
        <v>1.027E-2</v>
      </c>
      <c r="E40" s="27">
        <f t="shared" si="1"/>
        <v>61</v>
      </c>
      <c r="F40" s="32">
        <v>7.43E-3</v>
      </c>
    </row>
    <row r="41" spans="1:38" x14ac:dyDescent="0.2">
      <c r="B41" s="27">
        <f t="shared" si="0"/>
        <v>62</v>
      </c>
      <c r="C41" s="28">
        <v>1.1679999999999999E-2</v>
      </c>
      <c r="E41" s="27">
        <f t="shared" si="1"/>
        <v>62</v>
      </c>
      <c r="F41" s="32">
        <v>8.3599999999999994E-3</v>
      </c>
    </row>
    <row r="42" spans="1:38" x14ac:dyDescent="0.2">
      <c r="B42" s="27">
        <f t="shared" si="0"/>
        <v>63</v>
      </c>
      <c r="C42" s="28">
        <v>1.324E-2</v>
      </c>
      <c r="E42" s="27">
        <f t="shared" si="1"/>
        <v>63</v>
      </c>
      <c r="F42" s="32">
        <v>9.4000000000000004E-3</v>
      </c>
    </row>
    <row r="43" spans="1:38" x14ac:dyDescent="0.2">
      <c r="B43" s="27">
        <f t="shared" si="0"/>
        <v>64</v>
      </c>
      <c r="C43" s="28">
        <v>1.507E-2</v>
      </c>
      <c r="E43" s="27">
        <f t="shared" si="1"/>
        <v>64</v>
      </c>
      <c r="F43" s="32">
        <v>1.0580000000000001E-2</v>
      </c>
    </row>
    <row r="44" spans="1:38" x14ac:dyDescent="0.2">
      <c r="B44" s="33">
        <f t="shared" si="0"/>
        <v>65</v>
      </c>
      <c r="C44" s="34">
        <v>1.704E-2</v>
      </c>
      <c r="E44" s="33">
        <f t="shared" si="1"/>
        <v>65</v>
      </c>
      <c r="F44" s="35">
        <v>1.192E-2</v>
      </c>
    </row>
    <row r="45" spans="1:38" x14ac:dyDescent="0.2">
      <c r="H45" s="36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8"/>
      <c r="T45" s="38"/>
      <c r="U45" s="37" t="s">
        <v>133</v>
      </c>
      <c r="V45" s="38"/>
      <c r="W45" s="38"/>
      <c r="X45" s="38"/>
      <c r="Y45" s="39">
        <f>I60-K60-L60-M60-N60-O60</f>
        <v>988.49609496806102</v>
      </c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26"/>
    </row>
    <row r="46" spans="1:38" x14ac:dyDescent="0.2">
      <c r="A46" s="25" t="s">
        <v>109</v>
      </c>
      <c r="B46" s="37"/>
      <c r="C46" s="37"/>
      <c r="D46" s="37"/>
      <c r="E46" s="37"/>
      <c r="F46" s="26"/>
      <c r="H46" s="40" t="s">
        <v>139</v>
      </c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2"/>
      <c r="T46" s="42"/>
      <c r="U46" s="41" t="s">
        <v>118</v>
      </c>
      <c r="V46" s="42"/>
      <c r="W46" s="183" t="s">
        <v>198</v>
      </c>
      <c r="X46" s="183"/>
      <c r="Y46" s="43">
        <f>Y45/I60</f>
        <v>9.0211010124294777E-2</v>
      </c>
      <c r="Z46" s="41"/>
      <c r="AA46" s="41"/>
      <c r="AB46" s="183" t="s">
        <v>198</v>
      </c>
      <c r="AC46" s="183"/>
      <c r="AD46" s="41"/>
      <c r="AE46" s="41"/>
      <c r="AF46" s="41"/>
      <c r="AG46" s="41"/>
      <c r="AH46" s="41"/>
      <c r="AI46" s="41"/>
      <c r="AJ46" s="41"/>
      <c r="AK46" s="41"/>
      <c r="AL46" s="28"/>
    </row>
    <row r="47" spans="1:38" s="12" customFormat="1" ht="89.25" x14ac:dyDescent="0.2">
      <c r="A47" s="44" t="s">
        <v>98</v>
      </c>
      <c r="B47" s="45" t="s">
        <v>107</v>
      </c>
      <c r="C47" s="45" t="s">
        <v>99</v>
      </c>
      <c r="D47" s="45" t="s">
        <v>100</v>
      </c>
      <c r="E47" s="45" t="s">
        <v>101</v>
      </c>
      <c r="F47" s="46" t="s">
        <v>102</v>
      </c>
      <c r="H47" s="29" t="s">
        <v>98</v>
      </c>
      <c r="I47" s="47" t="s">
        <v>72</v>
      </c>
      <c r="J47" s="48" t="s">
        <v>111</v>
      </c>
      <c r="K47" s="47" t="s">
        <v>110</v>
      </c>
      <c r="L47" s="48" t="s">
        <v>113</v>
      </c>
      <c r="M47" s="49" t="s">
        <v>112</v>
      </c>
      <c r="N47" s="47" t="s">
        <v>114</v>
      </c>
      <c r="O47" s="48" t="s">
        <v>115</v>
      </c>
      <c r="P47" s="48" t="s">
        <v>173</v>
      </c>
      <c r="Q47" s="48" t="s">
        <v>174</v>
      </c>
      <c r="R47" s="48" t="s">
        <v>185</v>
      </c>
      <c r="S47" s="50" t="s">
        <v>151</v>
      </c>
      <c r="T47" s="50" t="s">
        <v>132</v>
      </c>
      <c r="U47" s="50" t="s">
        <v>134</v>
      </c>
      <c r="V47" s="50" t="s">
        <v>175</v>
      </c>
      <c r="W47" s="135" t="s">
        <v>197</v>
      </c>
      <c r="X47" s="135" t="s">
        <v>119</v>
      </c>
      <c r="Y47" s="50" t="s">
        <v>119</v>
      </c>
      <c r="Z47" s="48" t="s">
        <v>159</v>
      </c>
      <c r="AA47" s="48" t="s">
        <v>176</v>
      </c>
      <c r="AB47" s="155" t="s">
        <v>202</v>
      </c>
      <c r="AC47" s="135" t="s">
        <v>199</v>
      </c>
      <c r="AD47" s="48" t="s">
        <v>160</v>
      </c>
      <c r="AE47" s="48" t="s">
        <v>203</v>
      </c>
      <c r="AF47" s="138" t="s">
        <v>135</v>
      </c>
      <c r="AG47" s="48" t="s">
        <v>136</v>
      </c>
      <c r="AH47" s="48" t="s">
        <v>137</v>
      </c>
      <c r="AI47" s="48" t="s">
        <v>161</v>
      </c>
      <c r="AJ47" s="48" t="s">
        <v>177</v>
      </c>
      <c r="AK47" s="48" t="s">
        <v>178</v>
      </c>
      <c r="AL47" s="30" t="s">
        <v>138</v>
      </c>
    </row>
    <row r="48" spans="1:38" s="12" customFormat="1" x14ac:dyDescent="0.2">
      <c r="A48" s="44"/>
      <c r="B48" s="45"/>
      <c r="C48" s="45"/>
      <c r="D48" s="45"/>
      <c r="E48" s="45"/>
      <c r="F48" s="46"/>
      <c r="H48" s="29"/>
      <c r="I48" s="47"/>
      <c r="J48" s="48"/>
      <c r="K48" s="47"/>
      <c r="L48" s="48"/>
      <c r="M48" s="49"/>
      <c r="N48" s="47"/>
      <c r="O48" s="48"/>
      <c r="P48" s="48"/>
      <c r="Q48" s="48"/>
      <c r="R48" s="48"/>
      <c r="S48" s="50"/>
      <c r="T48" s="50"/>
      <c r="U48" s="50"/>
      <c r="V48" s="51">
        <f>(V49+M49+L49+K49)/(1+$C$13)+O49+N49-I49</f>
        <v>-988.49609496806295</v>
      </c>
      <c r="W48" s="136">
        <f>NPV($C$13,I49:I58)*(1+$C$13)</f>
        <v>10957.599228809086</v>
      </c>
      <c r="X48" s="136"/>
      <c r="Y48" s="51">
        <f t="shared" ref="Y48:Y57" si="2">$Y$46*I49+Y49/(1+$C$13)</f>
        <v>988.49609496806113</v>
      </c>
      <c r="Z48" s="52">
        <f t="shared" ref="Z48:Z58" si="3">Y48+V48</f>
        <v>-1.8189894035458565E-12</v>
      </c>
      <c r="AA48" s="48"/>
      <c r="AB48" s="136"/>
      <c r="AC48" s="136"/>
      <c r="AD48" s="48"/>
      <c r="AE48" s="48"/>
      <c r="AF48" s="48"/>
      <c r="AG48" s="48"/>
      <c r="AH48" s="48"/>
      <c r="AI48" s="48"/>
      <c r="AJ48" s="48"/>
      <c r="AK48" s="48"/>
      <c r="AL48" s="30"/>
    </row>
    <row r="49" spans="1:39" x14ac:dyDescent="0.2">
      <c r="A49" s="27">
        <v>1</v>
      </c>
      <c r="B49" s="41">
        <v>55</v>
      </c>
      <c r="C49" s="53">
        <v>1</v>
      </c>
      <c r="D49" s="53">
        <f t="shared" ref="D49:D58" si="4">F35*C49</f>
        <v>4.2599999999999999E-3</v>
      </c>
      <c r="E49" s="53">
        <f>$C$24*(C49-D49)</f>
        <v>0.14936099999999999</v>
      </c>
      <c r="F49" s="54">
        <f>C49-D49-E49</f>
        <v>0.84637899999999999</v>
      </c>
      <c r="H49" s="27">
        <v>1</v>
      </c>
      <c r="I49" s="55">
        <f>C49*C35*$C$10*(1+$C$15)^(H49-1)</f>
        <v>1382.5</v>
      </c>
      <c r="J49" s="52">
        <f>(I49-N49-O49)*$C$13</f>
        <v>1.9425000000000034</v>
      </c>
      <c r="K49" s="55">
        <f>D49*$C$10*(1+$C$15)^(H49-1)</f>
        <v>1065</v>
      </c>
      <c r="L49" s="55">
        <v>0</v>
      </c>
      <c r="M49" s="55">
        <v>0</v>
      </c>
      <c r="N49" s="55">
        <f>C17*C49</f>
        <v>350</v>
      </c>
      <c r="O49" s="52">
        <f>C20*I49</f>
        <v>967.74999999999989</v>
      </c>
      <c r="P49" s="52">
        <f t="shared" ref="P49:P57" si="5">I49*$C$25</f>
        <v>276.5</v>
      </c>
      <c r="Q49" s="52">
        <f>P49</f>
        <v>276.5</v>
      </c>
      <c r="R49" s="55">
        <f t="shared" ref="R49:R58" si="6">I49+J49-K49-L49-M49-N49-O49-Q49</f>
        <v>-1274.8074999999999</v>
      </c>
      <c r="S49" s="56">
        <f>I49+J49-K49-L49-M49-N49-O49</f>
        <v>-998.30749999999978</v>
      </c>
      <c r="T49" s="56">
        <f>I49-K49-L49-M49-N49-O49</f>
        <v>-1000.2499999999999</v>
      </c>
      <c r="U49" s="56">
        <f>$C$13*(I49-N49-O49)</f>
        <v>1.9425000000000034</v>
      </c>
      <c r="V49" s="51">
        <f>(V50+M50+L50+K50)/(1+$C$13)+O50+N50-I50</f>
        <v>-2016.4584778171047</v>
      </c>
      <c r="W49" s="136">
        <f>NPV($C$13,I50:$I$59)*(1+$C$13)</f>
        <v>9862.35220567336</v>
      </c>
      <c r="X49" s="136">
        <f>$Y$46*W49</f>
        <v>889.69275467536045</v>
      </c>
      <c r="Y49" s="51">
        <f t="shared" si="2"/>
        <v>889.69275467536033</v>
      </c>
      <c r="Z49" s="52">
        <f t="shared" si="3"/>
        <v>-1126.7657231417443</v>
      </c>
      <c r="AA49" s="52">
        <f t="shared" ref="AA49:AA58" si="7">Z49-Z48</f>
        <v>-1126.7657231417425</v>
      </c>
      <c r="AB49" s="136">
        <f t="shared" ref="AB49:AB58" si="8">I49*$Y$46*(1+$C$13)</f>
        <v>128.45822314174268</v>
      </c>
      <c r="AC49" s="136">
        <f>S49-AA49+(Z48-P48)*$C$13</f>
        <v>128.45822314174262</v>
      </c>
      <c r="AD49" s="55">
        <v>0</v>
      </c>
      <c r="AE49" s="55">
        <f t="shared" ref="AE49:AE58" si="9">S49-AA49</f>
        <v>128.45822314174268</v>
      </c>
      <c r="AF49" s="52">
        <f t="shared" ref="AF49:AF58" si="10">AE49*$C$14</f>
        <v>38.537466942522805</v>
      </c>
      <c r="AG49" s="52">
        <f t="shared" ref="AG49:AG58" si="11">AE49-AF49</f>
        <v>89.920756199219881</v>
      </c>
      <c r="AH49" s="52">
        <f t="shared" ref="AH49:AH58" si="12">I49*$Y$46</f>
        <v>124.71672149683754</v>
      </c>
      <c r="AI49" s="52">
        <f t="shared" ref="AI49:AI58" si="13">AE49-AH49</f>
        <v>3.7415016449051421</v>
      </c>
      <c r="AJ49" s="52">
        <f t="shared" ref="AJ49:AJ58" si="14">P49-Z49</f>
        <v>1403.2657231417443</v>
      </c>
      <c r="AK49" s="52">
        <f t="shared" ref="AK49:AK58" si="15">$C$13*AJ48+$Y$46*I49*(1+$C$13)</f>
        <v>128.45822314174268</v>
      </c>
      <c r="AL49" s="57">
        <f t="shared" ref="AL49:AL58" si="16">AE49-AK49</f>
        <v>0</v>
      </c>
      <c r="AM49" s="157">
        <f>AC49/AH49</f>
        <v>1.0299999999999996</v>
      </c>
    </row>
    <row r="50" spans="1:39" x14ac:dyDescent="0.2">
      <c r="A50" s="27">
        <v>2</v>
      </c>
      <c r="B50" s="41">
        <v>56</v>
      </c>
      <c r="C50" s="53">
        <f>F49</f>
        <v>0.84637899999999999</v>
      </c>
      <c r="D50" s="53">
        <f t="shared" si="4"/>
        <v>4.0118364600000003E-3</v>
      </c>
      <c r="E50" s="53">
        <f t="shared" ref="E50:E58" si="17">$C$24*(C50-D50)</f>
        <v>0.12635507453099998</v>
      </c>
      <c r="F50" s="54">
        <f>C50-D50-E50</f>
        <v>0.71601208900900004</v>
      </c>
      <c r="H50" s="27">
        <f t="shared" ref="H50:H58" si="18">H49+1</f>
        <v>2</v>
      </c>
      <c r="I50" s="55">
        <f t="shared" ref="I50:I58" si="19">C50*C36*$C$10*(1+$C$15)^(H50-1)</f>
        <v>1342.4417318999999</v>
      </c>
      <c r="J50" s="52">
        <f t="shared" ref="J50:J58" si="20">(I50-N50-O50+P49)*$C$13</f>
        <v>44.57187630219299</v>
      </c>
      <c r="K50" s="55">
        <f t="shared" ref="K50:K58" si="21">D50*$C$10*(1+$C$15)^(H50-1)</f>
        <v>1023.0182973000001</v>
      </c>
      <c r="L50" s="55">
        <v>0</v>
      </c>
      <c r="M50" s="55">
        <v>0</v>
      </c>
      <c r="N50" s="55">
        <f t="shared" ref="N50:N58" si="22">$C$18*C50*(1+$C$15)^(H50-1)</f>
        <v>64.747993500000007</v>
      </c>
      <c r="O50" s="52">
        <f t="shared" ref="O50:O58" si="23">$C$21*I50*(1+$C$15)^(H50-1)</f>
        <v>68.464528326899995</v>
      </c>
      <c r="P50" s="52">
        <f t="shared" si="5"/>
        <v>268.48834638</v>
      </c>
      <c r="Q50" s="52">
        <f>P50-P49</f>
        <v>-8.0116536200000041</v>
      </c>
      <c r="R50" s="55">
        <f t="shared" si="6"/>
        <v>238.79444269529284</v>
      </c>
      <c r="S50" s="56">
        <f t="shared" ref="S50:S58" si="24">I50+J50-K50-L50-M50-N50-O50</f>
        <v>230.78278907529284</v>
      </c>
      <c r="T50" s="56">
        <f t="shared" ref="T50:T58" si="25">I50-K50-L50-M50-N50-O50</f>
        <v>186.21091277309984</v>
      </c>
      <c r="U50" s="56">
        <f t="shared" ref="U50:U58" si="26">$C$13*(I50-N50-O50)</f>
        <v>36.276876302192989</v>
      </c>
      <c r="V50" s="51">
        <f>(V51+M51+L51+K51)/(1+$C$13)+O51+N51-I51</f>
        <v>-1854.4644430763251</v>
      </c>
      <c r="W50" s="136">
        <f>NPV($C$13,I51:$I$59)*(1+$C$13)</f>
        <v>8775.5077879865603</v>
      </c>
      <c r="X50" s="136">
        <f t="shared" ref="X50:X58" si="27">$Y$46*W50</f>
        <v>791.6474219078832</v>
      </c>
      <c r="Y50" s="51">
        <f t="shared" si="2"/>
        <v>791.64742190788331</v>
      </c>
      <c r="Z50" s="52">
        <f t="shared" si="3"/>
        <v>-1062.8170211684419</v>
      </c>
      <c r="AA50" s="52">
        <f t="shared" si="7"/>
        <v>63.948701973302377</v>
      </c>
      <c r="AB50" s="136">
        <f t="shared" si="8"/>
        <v>124.73611540773791</v>
      </c>
      <c r="AC50" s="136">
        <f t="shared" ref="AC50:AC58" si="28">S50-AA50+(Z49-P49)*$C$13</f>
        <v>124.73611540773814</v>
      </c>
      <c r="AD50" s="55">
        <v>0</v>
      </c>
      <c r="AE50" s="55">
        <f t="shared" si="9"/>
        <v>166.83408710199046</v>
      </c>
      <c r="AF50" s="52">
        <f t="shared" si="10"/>
        <v>50.050226130597139</v>
      </c>
      <c r="AG50" s="52">
        <f t="shared" si="11"/>
        <v>116.78386097139332</v>
      </c>
      <c r="AH50" s="52">
        <f t="shared" si="12"/>
        <v>121.10302466770671</v>
      </c>
      <c r="AI50" s="52">
        <f t="shared" si="13"/>
        <v>45.731062434283757</v>
      </c>
      <c r="AJ50" s="52">
        <f t="shared" si="14"/>
        <v>1331.3053675484418</v>
      </c>
      <c r="AK50" s="52">
        <f t="shared" si="15"/>
        <v>166.83408710199024</v>
      </c>
      <c r="AL50" s="57">
        <f t="shared" si="16"/>
        <v>2.2737367544323206E-13</v>
      </c>
      <c r="AM50" s="157">
        <f t="shared" ref="AM50:AM58" si="29">AC50/AH50</f>
        <v>1.030000000000002</v>
      </c>
    </row>
    <row r="51" spans="1:39" x14ac:dyDescent="0.2">
      <c r="A51" s="27">
        <v>3</v>
      </c>
      <c r="B51" s="41">
        <v>57</v>
      </c>
      <c r="C51" s="53">
        <f t="shared" ref="C51:C58" si="30">F50</f>
        <v>0.71601208900900004</v>
      </c>
      <c r="D51" s="53">
        <f t="shared" si="4"/>
        <v>3.7877039508576104E-3</v>
      </c>
      <c r="E51" s="53">
        <f t="shared" si="17"/>
        <v>0.10683365775872136</v>
      </c>
      <c r="F51" s="54">
        <f t="shared" ref="F51:F58" si="31">C51-D51-E51</f>
        <v>0.60539072729942112</v>
      </c>
      <c r="H51" s="27">
        <f t="shared" si="18"/>
        <v>3</v>
      </c>
      <c r="I51" s="55">
        <f t="shared" si="19"/>
        <v>1309.2302527892236</v>
      </c>
      <c r="J51" s="52">
        <f t="shared" si="20"/>
        <v>43.612260543412674</v>
      </c>
      <c r="K51" s="55">
        <f t="shared" si="21"/>
        <v>985.18179761806448</v>
      </c>
      <c r="L51" s="55">
        <v>0</v>
      </c>
      <c r="M51" s="55">
        <v>0</v>
      </c>
      <c r="N51" s="55">
        <f t="shared" si="22"/>
        <v>55.87042330537227</v>
      </c>
      <c r="O51" s="52">
        <f t="shared" si="23"/>
        <v>68.10615775009542</v>
      </c>
      <c r="P51" s="52">
        <f t="shared" si="5"/>
        <v>261.84605055784476</v>
      </c>
      <c r="Q51" s="52">
        <f t="shared" ref="Q51:Q58" si="32">P51-P50</f>
        <v>-6.6422958221552335</v>
      </c>
      <c r="R51" s="55">
        <f t="shared" si="6"/>
        <v>250.32643048125948</v>
      </c>
      <c r="S51" s="56">
        <f t="shared" si="24"/>
        <v>243.68413465910425</v>
      </c>
      <c r="T51" s="56">
        <f t="shared" si="25"/>
        <v>200.07187411569151</v>
      </c>
      <c r="U51" s="56">
        <f t="shared" si="26"/>
        <v>35.557610152012678</v>
      </c>
      <c r="V51" s="51">
        <f t="shared" ref="V51:V57" si="33">(V52+M52+L52+K52)/(1+$C$13)+O52+N52-I52</f>
        <v>-1674.4688921009106</v>
      </c>
      <c r="W51" s="136">
        <f>NPV($C$13,I52:$I$59)*(1+$C$13)</f>
        <v>7690.2658612532578</v>
      </c>
      <c r="X51" s="136">
        <f t="shared" si="27"/>
        <v>693.74665146803613</v>
      </c>
      <c r="Y51" s="51">
        <f t="shared" si="2"/>
        <v>693.74665146803613</v>
      </c>
      <c r="Z51" s="52">
        <f t="shared" si="3"/>
        <v>-980.72224063287445</v>
      </c>
      <c r="AA51" s="52">
        <f t="shared" si="7"/>
        <v>82.094780535567452</v>
      </c>
      <c r="AB51" s="136">
        <f t="shared" si="8"/>
        <v>121.65019309708372</v>
      </c>
      <c r="AC51" s="136">
        <f t="shared" si="28"/>
        <v>121.65019309708353</v>
      </c>
      <c r="AD51" s="55">
        <v>0</v>
      </c>
      <c r="AE51" s="55">
        <f t="shared" si="9"/>
        <v>161.58935412353679</v>
      </c>
      <c r="AF51" s="52">
        <f t="shared" si="10"/>
        <v>48.476806237061034</v>
      </c>
      <c r="AG51" s="52">
        <f t="shared" si="11"/>
        <v>113.11254788647577</v>
      </c>
      <c r="AH51" s="52">
        <f t="shared" si="12"/>
        <v>118.10698358940166</v>
      </c>
      <c r="AI51" s="52">
        <f t="shared" si="13"/>
        <v>43.482370534135129</v>
      </c>
      <c r="AJ51" s="52">
        <f t="shared" si="14"/>
        <v>1242.5682911907193</v>
      </c>
      <c r="AK51" s="52">
        <f t="shared" si="15"/>
        <v>161.58935412353696</v>
      </c>
      <c r="AL51" s="57">
        <f t="shared" si="16"/>
        <v>0</v>
      </c>
      <c r="AM51" s="157">
        <f t="shared" si="29"/>
        <v>1.0299999999999985</v>
      </c>
    </row>
    <row r="52" spans="1:39" x14ac:dyDescent="0.2">
      <c r="A52" s="27">
        <v>4</v>
      </c>
      <c r="B52" s="41">
        <v>58</v>
      </c>
      <c r="C52" s="53">
        <f t="shared" si="30"/>
        <v>0.60539072729942112</v>
      </c>
      <c r="D52" s="53">
        <f t="shared" si="4"/>
        <v>3.5778591983395792E-3</v>
      </c>
      <c r="E52" s="53">
        <f t="shared" si="17"/>
        <v>9.0271930215162235E-2</v>
      </c>
      <c r="F52" s="54">
        <f t="shared" si="31"/>
        <v>0.51154093788591937</v>
      </c>
      <c r="H52" s="27">
        <f t="shared" si="18"/>
        <v>4</v>
      </c>
      <c r="I52" s="55">
        <f t="shared" si="19"/>
        <v>1280.0726247499081</v>
      </c>
      <c r="J52" s="52">
        <f t="shared" si="20"/>
        <v>42.774422957678262</v>
      </c>
      <c r="K52" s="55">
        <f t="shared" si="21"/>
        <v>949.21320103788696</v>
      </c>
      <c r="L52" s="55">
        <v>0</v>
      </c>
      <c r="M52" s="55">
        <v>0</v>
      </c>
      <c r="N52" s="55">
        <f t="shared" si="22"/>
        <v>48.1834112201973</v>
      </c>
      <c r="O52" s="52">
        <f t="shared" si="23"/>
        <v>67.921165498280033</v>
      </c>
      <c r="P52" s="52">
        <f t="shared" si="5"/>
        <v>256.01452494998165</v>
      </c>
      <c r="Q52" s="52">
        <f t="shared" si="32"/>
        <v>-5.8315256078631137</v>
      </c>
      <c r="R52" s="55">
        <f t="shared" si="6"/>
        <v>263.3607955590852</v>
      </c>
      <c r="S52" s="56">
        <f t="shared" si="24"/>
        <v>257.52926995122209</v>
      </c>
      <c r="T52" s="56">
        <f t="shared" si="25"/>
        <v>214.75484699354379</v>
      </c>
      <c r="U52" s="56">
        <f t="shared" si="26"/>
        <v>34.91904144094292</v>
      </c>
      <c r="V52" s="51">
        <f t="shared" si="33"/>
        <v>-1475.0290704294512</v>
      </c>
      <c r="W52" s="136">
        <f>NPV($C$13,I53:$I$59)*(1+$C$13)</f>
        <v>6602.4990335984494</v>
      </c>
      <c r="X52" s="136">
        <f t="shared" si="27"/>
        <v>595.61810716559614</v>
      </c>
      <c r="Y52" s="51">
        <f t="shared" si="2"/>
        <v>595.61810716559626</v>
      </c>
      <c r="Z52" s="52">
        <f t="shared" si="3"/>
        <v>-879.41096326385491</v>
      </c>
      <c r="AA52" s="52">
        <f t="shared" si="7"/>
        <v>101.31127736901954</v>
      </c>
      <c r="AB52" s="136">
        <f t="shared" si="8"/>
        <v>118.94094384648095</v>
      </c>
      <c r="AC52" s="136">
        <f t="shared" si="28"/>
        <v>118.94094384648098</v>
      </c>
      <c r="AD52" s="55">
        <v>0</v>
      </c>
      <c r="AE52" s="55">
        <f t="shared" si="9"/>
        <v>156.21799258220256</v>
      </c>
      <c r="AF52" s="52">
        <f t="shared" si="10"/>
        <v>46.865397774660764</v>
      </c>
      <c r="AG52" s="52">
        <f t="shared" si="11"/>
        <v>109.35259480754179</v>
      </c>
      <c r="AH52" s="52">
        <f t="shared" si="12"/>
        <v>115.47664451114655</v>
      </c>
      <c r="AI52" s="52">
        <f t="shared" si="13"/>
        <v>40.741348071056009</v>
      </c>
      <c r="AJ52" s="52">
        <f t="shared" si="14"/>
        <v>1135.4254882138366</v>
      </c>
      <c r="AK52" s="52">
        <f t="shared" si="15"/>
        <v>156.21799258220253</v>
      </c>
      <c r="AL52" s="57">
        <f t="shared" si="16"/>
        <v>0</v>
      </c>
      <c r="AM52" s="157">
        <f t="shared" si="29"/>
        <v>1.0300000000000002</v>
      </c>
    </row>
    <row r="53" spans="1:39" x14ac:dyDescent="0.2">
      <c r="A53" s="27">
        <v>5</v>
      </c>
      <c r="B53" s="41">
        <v>59</v>
      </c>
      <c r="C53" s="53">
        <f t="shared" si="30"/>
        <v>0.51154093788591937</v>
      </c>
      <c r="D53" s="53">
        <f t="shared" si="4"/>
        <v>3.3864010088047861E-3</v>
      </c>
      <c r="E53" s="53">
        <f t="shared" si="17"/>
        <v>7.6223180531567181E-2</v>
      </c>
      <c r="F53" s="54">
        <f t="shared" si="31"/>
        <v>0.43193135634554736</v>
      </c>
      <c r="H53" s="27">
        <f t="shared" si="18"/>
        <v>5</v>
      </c>
      <c r="I53" s="55">
        <f t="shared" si="19"/>
        <v>1245.8438152296333</v>
      </c>
      <c r="J53" s="52">
        <f t="shared" si="20"/>
        <v>41.787094272246343</v>
      </c>
      <c r="K53" s="55">
        <f t="shared" si="21"/>
        <v>916.38733964668597</v>
      </c>
      <c r="L53" s="55">
        <v>0</v>
      </c>
      <c r="M53" s="55">
        <v>0</v>
      </c>
      <c r="N53" s="55">
        <f t="shared" si="22"/>
        <v>41.528127174321121</v>
      </c>
      <c r="O53" s="52">
        <f t="shared" si="23"/>
        <v>67.427070597082647</v>
      </c>
      <c r="P53" s="52">
        <f t="shared" si="5"/>
        <v>249.16876304592665</v>
      </c>
      <c r="Q53" s="52">
        <f t="shared" si="32"/>
        <v>-6.8457619040549957</v>
      </c>
      <c r="R53" s="55">
        <f t="shared" si="6"/>
        <v>269.13413398784485</v>
      </c>
      <c r="S53" s="56">
        <f t="shared" si="24"/>
        <v>262.28837208378985</v>
      </c>
      <c r="T53" s="56">
        <f t="shared" si="25"/>
        <v>220.5012778115435</v>
      </c>
      <c r="U53" s="56">
        <f t="shared" si="26"/>
        <v>34.106658523746887</v>
      </c>
      <c r="V53" s="51">
        <f t="shared" si="33"/>
        <v>-1264.6720062070442</v>
      </c>
      <c r="W53" s="136">
        <f>NPV($C$13,I54:$I$59)*(1+$C$13)</f>
        <v>5517.3548749198808</v>
      </c>
      <c r="X53" s="136">
        <f t="shared" si="27"/>
        <v>497.72615648072451</v>
      </c>
      <c r="Y53" s="51">
        <f t="shared" si="2"/>
        <v>497.72615648072451</v>
      </c>
      <c r="Z53" s="52">
        <f t="shared" si="3"/>
        <v>-766.94584972631969</v>
      </c>
      <c r="AA53" s="52">
        <f t="shared" si="7"/>
        <v>112.46511353753522</v>
      </c>
      <c r="AB53" s="136">
        <f t="shared" si="8"/>
        <v>115.76049389983959</v>
      </c>
      <c r="AC53" s="136">
        <f t="shared" si="28"/>
        <v>115.76049389983953</v>
      </c>
      <c r="AD53" s="55">
        <v>0</v>
      </c>
      <c r="AE53" s="55">
        <f t="shared" si="9"/>
        <v>149.82325854625464</v>
      </c>
      <c r="AF53" s="52">
        <f t="shared" si="10"/>
        <v>44.946977563876388</v>
      </c>
      <c r="AG53" s="52">
        <f t="shared" si="11"/>
        <v>104.87628098237825</v>
      </c>
      <c r="AH53" s="52">
        <f t="shared" si="12"/>
        <v>112.38882902897048</v>
      </c>
      <c r="AI53" s="52">
        <f t="shared" si="13"/>
        <v>37.434429517284158</v>
      </c>
      <c r="AJ53" s="52">
        <f t="shared" si="14"/>
        <v>1016.1146127722463</v>
      </c>
      <c r="AK53" s="52">
        <f t="shared" si="15"/>
        <v>149.82325854625469</v>
      </c>
      <c r="AL53" s="57">
        <f t="shared" si="16"/>
        <v>0</v>
      </c>
      <c r="AM53" s="157">
        <f t="shared" si="29"/>
        <v>1.0299999999999994</v>
      </c>
    </row>
    <row r="54" spans="1:39" x14ac:dyDescent="0.2">
      <c r="A54" s="27">
        <v>6</v>
      </c>
      <c r="B54" s="41">
        <v>60</v>
      </c>
      <c r="C54" s="53">
        <f t="shared" si="30"/>
        <v>0.43193135634554736</v>
      </c>
      <c r="D54" s="53">
        <f t="shared" si="4"/>
        <v>3.209249977647417E-3</v>
      </c>
      <c r="E54" s="53">
        <f t="shared" si="17"/>
        <v>6.4308315955184991E-2</v>
      </c>
      <c r="F54" s="54">
        <f t="shared" si="31"/>
        <v>0.36441379041271493</v>
      </c>
      <c r="H54" s="27">
        <f t="shared" si="18"/>
        <v>6</v>
      </c>
      <c r="I54" s="55">
        <f t="shared" si="19"/>
        <v>1224.4076776249281</v>
      </c>
      <c r="J54" s="52">
        <f t="shared" si="20"/>
        <v>41.106529684498248</v>
      </c>
      <c r="K54" s="55">
        <f t="shared" si="21"/>
        <v>885.81782324763549</v>
      </c>
      <c r="L54" s="55">
        <v>0</v>
      </c>
      <c r="M54" s="55">
        <v>0</v>
      </c>
      <c r="N54" s="55">
        <f t="shared" si="22"/>
        <v>35.766533913094307</v>
      </c>
      <c r="O54" s="52">
        <f t="shared" si="23"/>
        <v>67.592250607818869</v>
      </c>
      <c r="P54" s="52">
        <f t="shared" si="5"/>
        <v>244.88153552498562</v>
      </c>
      <c r="Q54" s="52">
        <f t="shared" si="32"/>
        <v>-4.2872275209410304</v>
      </c>
      <c r="R54" s="55">
        <f t="shared" si="6"/>
        <v>280.62482706181879</v>
      </c>
      <c r="S54" s="56">
        <f t="shared" si="24"/>
        <v>276.33759954087776</v>
      </c>
      <c r="T54" s="56">
        <f t="shared" si="25"/>
        <v>235.23106985637941</v>
      </c>
      <c r="U54" s="56">
        <f t="shared" si="26"/>
        <v>33.631466793120445</v>
      </c>
      <c r="V54" s="51">
        <f t="shared" si="33"/>
        <v>-1033.7496297437558</v>
      </c>
      <c r="W54" s="136">
        <f>NPV($C$13,I55:$I$59)*(1+$C$13)</f>
        <v>4421.735613213802</v>
      </c>
      <c r="X54" s="136">
        <f t="shared" si="27"/>
        <v>398.88923617058509</v>
      </c>
      <c r="Y54" s="51">
        <f t="shared" si="2"/>
        <v>398.88923617058504</v>
      </c>
      <c r="Z54" s="52">
        <f t="shared" si="3"/>
        <v>-634.86039357317077</v>
      </c>
      <c r="AA54" s="52">
        <f t="shared" si="7"/>
        <v>132.08545615314893</v>
      </c>
      <c r="AB54" s="136">
        <f t="shared" si="8"/>
        <v>113.76870500456124</v>
      </c>
      <c r="AC54" s="136">
        <f t="shared" si="28"/>
        <v>113.76870500456144</v>
      </c>
      <c r="AD54" s="55">
        <v>0</v>
      </c>
      <c r="AE54" s="55">
        <f t="shared" si="9"/>
        <v>144.25214338772884</v>
      </c>
      <c r="AF54" s="52">
        <f t="shared" si="10"/>
        <v>43.275643016318647</v>
      </c>
      <c r="AG54" s="52">
        <f t="shared" si="11"/>
        <v>100.9765003714102</v>
      </c>
      <c r="AH54" s="52">
        <f t="shared" si="12"/>
        <v>110.45505340248664</v>
      </c>
      <c r="AI54" s="52">
        <f t="shared" si="13"/>
        <v>33.797089985242195</v>
      </c>
      <c r="AJ54" s="52">
        <f t="shared" si="14"/>
        <v>879.74192909815633</v>
      </c>
      <c r="AK54" s="52">
        <f t="shared" si="15"/>
        <v>144.25214338772864</v>
      </c>
      <c r="AL54" s="57">
        <f t="shared" si="16"/>
        <v>0</v>
      </c>
      <c r="AM54" s="157">
        <f t="shared" si="29"/>
        <v>1.0300000000000018</v>
      </c>
    </row>
    <row r="55" spans="1:39" x14ac:dyDescent="0.2">
      <c r="A55" s="27">
        <v>7</v>
      </c>
      <c r="B55" s="41">
        <v>61</v>
      </c>
      <c r="C55" s="53">
        <f t="shared" si="30"/>
        <v>0.36441379041271493</v>
      </c>
      <c r="D55" s="53">
        <f t="shared" si="4"/>
        <v>3.0464992878502968E-3</v>
      </c>
      <c r="E55" s="53">
        <f t="shared" si="17"/>
        <v>5.4205093668729699E-2</v>
      </c>
      <c r="F55" s="54">
        <f t="shared" si="31"/>
        <v>0.30716219745613493</v>
      </c>
      <c r="H55" s="27">
        <f t="shared" si="18"/>
        <v>7</v>
      </c>
      <c r="I55" s="55">
        <f t="shared" si="19"/>
        <v>1198.3362182070941</v>
      </c>
      <c r="J55" s="52">
        <f t="shared" si="20"/>
        <v>40.348875279475948</v>
      </c>
      <c r="K55" s="55">
        <f t="shared" si="21"/>
        <v>857.71325207288589</v>
      </c>
      <c r="L55" s="55">
        <v>0</v>
      </c>
      <c r="M55" s="55">
        <v>0</v>
      </c>
      <c r="N55" s="55">
        <f t="shared" si="22"/>
        <v>30.779183686826048</v>
      </c>
      <c r="O55" s="52">
        <f t="shared" si="23"/>
        <v>67.476060729388692</v>
      </c>
      <c r="P55" s="52">
        <f t="shared" si="5"/>
        <v>239.66724364141885</v>
      </c>
      <c r="Q55" s="52">
        <f t="shared" si="32"/>
        <v>-5.2142918835667729</v>
      </c>
      <c r="R55" s="55">
        <f t="shared" si="6"/>
        <v>287.93088888103631</v>
      </c>
      <c r="S55" s="56">
        <f t="shared" si="24"/>
        <v>282.71659699746954</v>
      </c>
      <c r="T55" s="56">
        <f t="shared" si="25"/>
        <v>242.3677217179935</v>
      </c>
      <c r="U55" s="56">
        <f t="shared" si="26"/>
        <v>33.00242921372638</v>
      </c>
      <c r="V55" s="51">
        <f>(V56+M56+L56+K56)/(1+$C$13)+O56+N56-I56</f>
        <v>-789.39196770434864</v>
      </c>
      <c r="W55" s="136">
        <f>NPV($C$13,I56:$I$59)*(1+$C$13)</f>
        <v>3320.1013768569096</v>
      </c>
      <c r="X55" s="136">
        <f t="shared" si="27"/>
        <v>299.50969892132372</v>
      </c>
      <c r="Y55" s="51">
        <f t="shared" si="2"/>
        <v>299.50969892132366</v>
      </c>
      <c r="Z55" s="52">
        <f t="shared" si="3"/>
        <v>-489.88226878302498</v>
      </c>
      <c r="AA55" s="52">
        <f t="shared" si="7"/>
        <v>144.97812479014578</v>
      </c>
      <c r="AB55" s="136">
        <f t="shared" si="8"/>
        <v>111.34621433437896</v>
      </c>
      <c r="AC55" s="136">
        <f t="shared" si="28"/>
        <v>111.34621433437906</v>
      </c>
      <c r="AD55" s="55">
        <v>0</v>
      </c>
      <c r="AE55" s="55">
        <f t="shared" si="9"/>
        <v>137.73847220732375</v>
      </c>
      <c r="AF55" s="52">
        <f t="shared" si="10"/>
        <v>41.321541662197127</v>
      </c>
      <c r="AG55" s="52">
        <f t="shared" si="11"/>
        <v>96.416930545126633</v>
      </c>
      <c r="AH55" s="52">
        <f t="shared" si="12"/>
        <v>108.10312071298928</v>
      </c>
      <c r="AI55" s="52">
        <f t="shared" si="13"/>
        <v>29.635351494334472</v>
      </c>
      <c r="AJ55" s="52">
        <f t="shared" si="14"/>
        <v>729.54951242444383</v>
      </c>
      <c r="AK55" s="52">
        <f t="shared" si="15"/>
        <v>137.73847220732364</v>
      </c>
      <c r="AL55" s="57">
        <f t="shared" si="16"/>
        <v>0</v>
      </c>
      <c r="AM55" s="157">
        <f t="shared" si="29"/>
        <v>1.0300000000000009</v>
      </c>
    </row>
    <row r="56" spans="1:39" x14ac:dyDescent="0.2">
      <c r="A56" s="27">
        <v>8</v>
      </c>
      <c r="B56" s="41">
        <v>62</v>
      </c>
      <c r="C56" s="53">
        <f t="shared" si="30"/>
        <v>0.30716219745613493</v>
      </c>
      <c r="D56" s="53">
        <f t="shared" si="4"/>
        <v>2.8873246560876683E-3</v>
      </c>
      <c r="E56" s="53">
        <f t="shared" si="17"/>
        <v>4.5641230920007089E-2</v>
      </c>
      <c r="F56" s="54">
        <f t="shared" si="31"/>
        <v>0.25863364188004018</v>
      </c>
      <c r="H56" s="27">
        <f t="shared" si="18"/>
        <v>8</v>
      </c>
      <c r="I56" s="55">
        <f t="shared" si="19"/>
        <v>1167.876613881632</v>
      </c>
      <c r="J56" s="52">
        <f t="shared" si="20"/>
        <v>39.420157202580199</v>
      </c>
      <c r="K56" s="55">
        <f t="shared" si="21"/>
        <v>829.15711257457258</v>
      </c>
      <c r="L56" s="55">
        <v>0</v>
      </c>
      <c r="M56" s="55">
        <v>0</v>
      </c>
      <c r="N56" s="55">
        <f t="shared" si="22"/>
        <v>26.46246103961402</v>
      </c>
      <c r="O56" s="52">
        <f t="shared" si="23"/>
        <v>67.076156397430125</v>
      </c>
      <c r="P56" s="52">
        <f t="shared" si="5"/>
        <v>233.5753227763264</v>
      </c>
      <c r="Q56" s="52">
        <f t="shared" si="32"/>
        <v>-6.0919208650924475</v>
      </c>
      <c r="R56" s="55">
        <f t="shared" si="6"/>
        <v>290.69296193768793</v>
      </c>
      <c r="S56" s="56">
        <f t="shared" si="24"/>
        <v>284.60104107259548</v>
      </c>
      <c r="T56" s="56">
        <f t="shared" si="25"/>
        <v>245.18088387001529</v>
      </c>
      <c r="U56" s="56">
        <f t="shared" si="26"/>
        <v>32.230139893337636</v>
      </c>
      <c r="V56" s="51">
        <f t="shared" si="33"/>
        <v>-535.66270297212611</v>
      </c>
      <c r="W56" s="136">
        <f>NPV($C$13,I57:$I$59)*(1+$C$13)</f>
        <v>2216.7915058645358</v>
      </c>
      <c r="X56" s="136">
        <f t="shared" si="27"/>
        <v>199.97900097899631</v>
      </c>
      <c r="Y56" s="51">
        <f t="shared" si="2"/>
        <v>199.97900097899628</v>
      </c>
      <c r="Z56" s="52">
        <f t="shared" si="3"/>
        <v>-335.68370199312983</v>
      </c>
      <c r="AA56" s="52">
        <f t="shared" si="7"/>
        <v>154.19856678989515</v>
      </c>
      <c r="AB56" s="136">
        <f t="shared" si="8"/>
        <v>108.51598890996711</v>
      </c>
      <c r="AC56" s="136">
        <f t="shared" si="28"/>
        <v>108.51598890996701</v>
      </c>
      <c r="AD56" s="55">
        <v>0</v>
      </c>
      <c r="AE56" s="55">
        <f t="shared" si="9"/>
        <v>130.40247428270033</v>
      </c>
      <c r="AF56" s="52">
        <f t="shared" si="10"/>
        <v>39.120742284810099</v>
      </c>
      <c r="AG56" s="52">
        <f t="shared" si="11"/>
        <v>91.281731997890233</v>
      </c>
      <c r="AH56" s="52">
        <f t="shared" si="12"/>
        <v>105.35532903880301</v>
      </c>
      <c r="AI56" s="52">
        <f t="shared" si="13"/>
        <v>25.047145243897319</v>
      </c>
      <c r="AJ56" s="52">
        <f t="shared" si="14"/>
        <v>569.25902476945623</v>
      </c>
      <c r="AK56" s="52">
        <f t="shared" si="15"/>
        <v>130.40247428270041</v>
      </c>
      <c r="AL56" s="57">
        <f t="shared" si="16"/>
        <v>0</v>
      </c>
      <c r="AM56" s="157">
        <f t="shared" si="29"/>
        <v>1.0299999999999991</v>
      </c>
    </row>
    <row r="57" spans="1:39" x14ac:dyDescent="0.2">
      <c r="A57" s="27">
        <v>9</v>
      </c>
      <c r="B57" s="41">
        <v>63</v>
      </c>
      <c r="C57" s="53">
        <f t="shared" si="30"/>
        <v>0.25863364188004018</v>
      </c>
      <c r="D57" s="53">
        <f t="shared" si="4"/>
        <v>2.7363439310908251E-3</v>
      </c>
      <c r="E57" s="53">
        <f t="shared" si="17"/>
        <v>3.83845946923424E-2</v>
      </c>
      <c r="F57" s="54">
        <f t="shared" si="31"/>
        <v>0.21751270325660693</v>
      </c>
      <c r="H57" s="27">
        <f t="shared" si="18"/>
        <v>9</v>
      </c>
      <c r="I57" s="55">
        <f t="shared" si="19"/>
        <v>1141.6675321413873</v>
      </c>
      <c r="J57" s="52">
        <f t="shared" si="20"/>
        <v>38.568998737811718</v>
      </c>
      <c r="K57" s="55">
        <f t="shared" si="21"/>
        <v>801.51575912779549</v>
      </c>
      <c r="L57" s="55">
        <v>0</v>
      </c>
      <c r="M57" s="55">
        <v>0</v>
      </c>
      <c r="N57" s="55">
        <f t="shared" si="22"/>
        <v>22.727289956364711</v>
      </c>
      <c r="O57" s="52">
        <f t="shared" si="23"/>
        <v>66.882273700958095</v>
      </c>
      <c r="P57" s="52">
        <f t="shared" si="5"/>
        <v>228.33350642827747</v>
      </c>
      <c r="Q57" s="52">
        <f t="shared" si="32"/>
        <v>-5.2418163480489284</v>
      </c>
      <c r="R57" s="55">
        <f t="shared" si="6"/>
        <v>294.35302444212954</v>
      </c>
      <c r="S57" s="56">
        <f t="shared" si="24"/>
        <v>289.11120809408061</v>
      </c>
      <c r="T57" s="56">
        <f t="shared" si="25"/>
        <v>250.54220935626898</v>
      </c>
      <c r="U57" s="56">
        <f t="shared" si="26"/>
        <v>31.561739054521929</v>
      </c>
      <c r="V57" s="51">
        <f t="shared" si="33"/>
        <v>-269.62863565049906</v>
      </c>
      <c r="W57" s="136">
        <f>NPV($C$13,I58:$I$59)*(1+$C$13)</f>
        <v>1107.3776929348428</v>
      </c>
      <c r="X57" s="136">
        <f t="shared" si="27"/>
        <v>99.897660268763303</v>
      </c>
      <c r="Y57" s="51">
        <f t="shared" si="2"/>
        <v>99.897660268763303</v>
      </c>
      <c r="Z57" s="52">
        <f t="shared" si="3"/>
        <v>-169.73097538173576</v>
      </c>
      <c r="AA57" s="52">
        <f t="shared" si="7"/>
        <v>165.95272661139407</v>
      </c>
      <c r="AB57" s="136">
        <f t="shared" si="8"/>
        <v>106.08071073960288</v>
      </c>
      <c r="AC57" s="136">
        <f t="shared" si="28"/>
        <v>106.08071073960285</v>
      </c>
      <c r="AD57" s="55">
        <v>0</v>
      </c>
      <c r="AE57" s="55">
        <f t="shared" si="9"/>
        <v>123.15848148268654</v>
      </c>
      <c r="AF57" s="52">
        <f t="shared" si="10"/>
        <v>36.947544444805963</v>
      </c>
      <c r="AG57" s="52">
        <f t="shared" si="11"/>
        <v>86.210937037880569</v>
      </c>
      <c r="AH57" s="52">
        <f t="shared" si="12"/>
        <v>102.99098130058532</v>
      </c>
      <c r="AI57" s="52">
        <f t="shared" si="13"/>
        <v>20.167500182101222</v>
      </c>
      <c r="AJ57" s="52">
        <f t="shared" si="14"/>
        <v>398.06448181001326</v>
      </c>
      <c r="AK57" s="52">
        <f t="shared" si="15"/>
        <v>123.15848148268657</v>
      </c>
      <c r="AL57" s="57">
        <f t="shared" si="16"/>
        <v>0</v>
      </c>
      <c r="AM57" s="157">
        <f t="shared" si="29"/>
        <v>1.0299999999999998</v>
      </c>
    </row>
    <row r="58" spans="1:39" x14ac:dyDescent="0.2">
      <c r="A58" s="33">
        <v>10</v>
      </c>
      <c r="B58" s="58">
        <v>64</v>
      </c>
      <c r="C58" s="59">
        <f t="shared" si="30"/>
        <v>0.21751270325660693</v>
      </c>
      <c r="D58" s="59">
        <f t="shared" si="4"/>
        <v>2.5927514228187547E-3</v>
      </c>
      <c r="E58" s="59">
        <f t="shared" si="17"/>
        <v>3.2237992775068225E-2</v>
      </c>
      <c r="F58" s="60">
        <f t="shared" si="31"/>
        <v>0.18268195905871995</v>
      </c>
      <c r="H58" s="27">
        <f t="shared" si="18"/>
        <v>10</v>
      </c>
      <c r="I58" s="55">
        <f t="shared" si="19"/>
        <v>1107.3776929348428</v>
      </c>
      <c r="J58" s="52">
        <f t="shared" si="20"/>
        <v>37.501325119370208</v>
      </c>
      <c r="K58" s="55">
        <f t="shared" si="21"/>
        <v>774.64448942390413</v>
      </c>
      <c r="L58" s="55">
        <v>0</v>
      </c>
      <c r="M58" s="55">
        <v>0</v>
      </c>
      <c r="N58" s="55">
        <f t="shared" si="22"/>
        <v>19.496086143219063</v>
      </c>
      <c r="O58" s="52">
        <f t="shared" si="23"/>
        <v>66.170942574227496</v>
      </c>
      <c r="P58" s="52">
        <v>0</v>
      </c>
      <c r="Q58" s="52">
        <f t="shared" si="32"/>
        <v>-228.33350642827747</v>
      </c>
      <c r="R58" s="55">
        <f t="shared" si="6"/>
        <v>512.90100634113981</v>
      </c>
      <c r="S58" s="56">
        <f t="shared" si="24"/>
        <v>284.56749991286233</v>
      </c>
      <c r="T58" s="56">
        <f t="shared" si="25"/>
        <v>247.06617479349208</v>
      </c>
      <c r="U58" s="56">
        <f t="shared" si="26"/>
        <v>30.651319926521882</v>
      </c>
      <c r="V58" s="51">
        <f>(Y59+M59+L59+K59)/(1+$C$13)+O59+N59-I59</f>
        <v>0</v>
      </c>
      <c r="W58" s="136">
        <f>NPV($C$13,I59:$I$59)*(1+$C$13)</f>
        <v>0</v>
      </c>
      <c r="X58" s="136">
        <f t="shared" si="27"/>
        <v>0</v>
      </c>
      <c r="Y58" s="51">
        <f>$Y$46*I59+V59/(1+$C$13)</f>
        <v>0</v>
      </c>
      <c r="Z58" s="52">
        <f t="shared" si="3"/>
        <v>0</v>
      </c>
      <c r="AA58" s="52">
        <f t="shared" si="7"/>
        <v>169.73097538173576</v>
      </c>
      <c r="AB58" s="136">
        <f t="shared" si="8"/>
        <v>102.8945900768262</v>
      </c>
      <c r="AC58" s="136">
        <f t="shared" si="28"/>
        <v>102.89459007682618</v>
      </c>
      <c r="AD58" s="55">
        <v>0</v>
      </c>
      <c r="AE58" s="55">
        <f t="shared" si="9"/>
        <v>114.83652453112657</v>
      </c>
      <c r="AF58" s="52">
        <f t="shared" si="10"/>
        <v>34.45095735933797</v>
      </c>
      <c r="AG58" s="52">
        <f t="shared" si="11"/>
        <v>80.385567171788608</v>
      </c>
      <c r="AH58" s="52">
        <f t="shared" si="12"/>
        <v>99.897660268763303</v>
      </c>
      <c r="AI58" s="52">
        <f t="shared" si="13"/>
        <v>14.938864262363268</v>
      </c>
      <c r="AJ58" s="52">
        <f t="shared" si="14"/>
        <v>0</v>
      </c>
      <c r="AK58" s="52">
        <f t="shared" si="15"/>
        <v>114.8365245311266</v>
      </c>
      <c r="AL58" s="57">
        <f t="shared" si="16"/>
        <v>0</v>
      </c>
      <c r="AM58" s="157">
        <f t="shared" si="29"/>
        <v>1.0299999999999998</v>
      </c>
    </row>
    <row r="59" spans="1:39" x14ac:dyDescent="0.2">
      <c r="H59" s="27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2"/>
      <c r="T59" s="42"/>
      <c r="U59" s="42"/>
      <c r="V59" s="42"/>
      <c r="W59" s="42"/>
      <c r="X59" s="134"/>
      <c r="Y59" s="42"/>
      <c r="Z59" s="41"/>
      <c r="AA59" s="41"/>
      <c r="AB59" s="52"/>
      <c r="AC59" s="137"/>
      <c r="AD59" s="41"/>
      <c r="AE59" s="41"/>
      <c r="AF59" s="41"/>
      <c r="AG59" s="52">
        <f>SUM(AG49:AG58)</f>
        <v>989.31770797110516</v>
      </c>
      <c r="AH59" s="41"/>
      <c r="AI59" s="41"/>
      <c r="AJ59" s="41"/>
      <c r="AK59" s="41"/>
      <c r="AL59" s="28"/>
      <c r="AM59" s="156"/>
    </row>
    <row r="60" spans="1:39" s="12" customFormat="1" ht="25.5" x14ac:dyDescent="0.2">
      <c r="H60" s="29" t="s">
        <v>117</v>
      </c>
      <c r="I60" s="93">
        <f>NPV($C$13,I49:I58)*(1+$C$13)</f>
        <v>10957.599228809086</v>
      </c>
      <c r="J60" s="94"/>
      <c r="K60" s="94">
        <f>NPV($C$13,K49:K58)</f>
        <v>7818.2072203469197</v>
      </c>
      <c r="L60" s="94">
        <f>NPV($C$13,L49:L58)</f>
        <v>0</v>
      </c>
      <c r="M60" s="94">
        <f>NPV($C$13,M49:M58)</f>
        <v>0</v>
      </c>
      <c r="N60" s="93">
        <f>NPV($C$13,N49:N58)*(1+$C$13)</f>
        <v>657.54648182691767</v>
      </c>
      <c r="O60" s="93">
        <f>NPV($C$13,O49:O58)*(1+$C$13)</f>
        <v>1493.3494316671874</v>
      </c>
      <c r="P60" s="48"/>
      <c r="Q60" s="48"/>
      <c r="R60" s="48"/>
      <c r="S60" s="61"/>
      <c r="T60" s="61"/>
      <c r="U60" s="61"/>
      <c r="V60" s="61"/>
      <c r="W60" s="61"/>
      <c r="X60" s="134"/>
      <c r="Y60" s="50"/>
      <c r="Z60" s="48"/>
      <c r="AA60" s="48"/>
      <c r="AB60" s="52"/>
      <c r="AC60" s="137"/>
      <c r="AD60" s="48"/>
      <c r="AE60" s="48"/>
      <c r="AF60" s="61">
        <f>NPV($C$13,AF49:AF58)</f>
        <v>364.04136006020343</v>
      </c>
      <c r="AG60" s="48"/>
      <c r="AH60" s="48"/>
      <c r="AI60" s="48"/>
      <c r="AJ60" s="48"/>
      <c r="AK60" s="48"/>
      <c r="AL60" s="30"/>
      <c r="AM60" s="156"/>
    </row>
    <row r="61" spans="1:39" x14ac:dyDescent="0.2">
      <c r="H61" s="33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62"/>
      <c r="T61" s="63"/>
      <c r="U61" s="63"/>
      <c r="V61" s="62"/>
      <c r="W61" s="62"/>
      <c r="X61" s="62"/>
      <c r="Y61" s="62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34"/>
    </row>
    <row r="62" spans="1:39" x14ac:dyDescent="0.2">
      <c r="T62" s="64"/>
      <c r="U62" s="64"/>
    </row>
    <row r="63" spans="1:39" x14ac:dyDescent="0.2">
      <c r="H63" s="25" t="s">
        <v>140</v>
      </c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65"/>
    </row>
    <row r="64" spans="1:39" x14ac:dyDescent="0.2">
      <c r="H64" s="27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66"/>
    </row>
    <row r="65" spans="8:25" s="12" customFormat="1" ht="38.25" x14ac:dyDescent="0.2">
      <c r="H65" s="67" t="s">
        <v>98</v>
      </c>
      <c r="I65" s="68" t="s">
        <v>72</v>
      </c>
      <c r="J65" s="69" t="s">
        <v>111</v>
      </c>
      <c r="K65" s="68" t="s">
        <v>110</v>
      </c>
      <c r="L65" s="69" t="s">
        <v>113</v>
      </c>
      <c r="M65" s="68" t="s">
        <v>112</v>
      </c>
      <c r="N65" s="68" t="s">
        <v>114</v>
      </c>
      <c r="O65" s="69" t="s">
        <v>115</v>
      </c>
      <c r="P65" s="69" t="s">
        <v>174</v>
      </c>
      <c r="Q65" s="69" t="s">
        <v>185</v>
      </c>
      <c r="R65" s="69" t="s">
        <v>135</v>
      </c>
      <c r="S65" s="70" t="s">
        <v>186</v>
      </c>
      <c r="T65" s="31"/>
      <c r="U65" s="31"/>
      <c r="V65" s="31"/>
      <c r="W65" s="31"/>
      <c r="X65" s="31"/>
      <c r="Y65" s="31"/>
    </row>
    <row r="66" spans="8:25" x14ac:dyDescent="0.2">
      <c r="H66" s="29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66"/>
    </row>
    <row r="67" spans="8:25" x14ac:dyDescent="0.2">
      <c r="H67" s="27">
        <v>1</v>
      </c>
      <c r="I67" s="55">
        <f t="shared" ref="I67:O74" si="34">I49</f>
        <v>1382.5</v>
      </c>
      <c r="J67" s="55">
        <f t="shared" si="34"/>
        <v>1.9425000000000034</v>
      </c>
      <c r="K67" s="55">
        <f t="shared" si="34"/>
        <v>1065</v>
      </c>
      <c r="L67" s="55">
        <f t="shared" si="34"/>
        <v>0</v>
      </c>
      <c r="M67" s="55">
        <f t="shared" si="34"/>
        <v>0</v>
      </c>
      <c r="N67" s="55">
        <f t="shared" si="34"/>
        <v>350</v>
      </c>
      <c r="O67" s="55">
        <f t="shared" si="34"/>
        <v>967.74999999999989</v>
      </c>
      <c r="P67" s="52">
        <f>Q49</f>
        <v>276.5</v>
      </c>
      <c r="Q67" s="55">
        <f>R49</f>
        <v>-1274.8074999999999</v>
      </c>
      <c r="R67" s="52">
        <f t="shared" ref="R67:R76" si="35">AF49</f>
        <v>38.537466942522805</v>
      </c>
      <c r="S67" s="71">
        <f t="shared" ref="S67:S76" si="36">Q67-R67</f>
        <v>-1313.3449669425227</v>
      </c>
    </row>
    <row r="68" spans="8:25" x14ac:dyDescent="0.2">
      <c r="H68" s="27">
        <f t="shared" ref="H68:H76" si="37">H67+1</f>
        <v>2</v>
      </c>
      <c r="I68" s="55">
        <f t="shared" si="34"/>
        <v>1342.4417318999999</v>
      </c>
      <c r="J68" s="55">
        <f t="shared" si="34"/>
        <v>44.57187630219299</v>
      </c>
      <c r="K68" s="55">
        <f t="shared" si="34"/>
        <v>1023.0182973000001</v>
      </c>
      <c r="L68" s="55">
        <f t="shared" si="34"/>
        <v>0</v>
      </c>
      <c r="M68" s="55">
        <f t="shared" si="34"/>
        <v>0</v>
      </c>
      <c r="N68" s="55">
        <f t="shared" si="34"/>
        <v>64.747993500000007</v>
      </c>
      <c r="O68" s="55">
        <f t="shared" si="34"/>
        <v>68.464528326899995</v>
      </c>
      <c r="P68" s="52">
        <f t="shared" ref="P68:P76" si="38">Q50</f>
        <v>-8.0116536200000041</v>
      </c>
      <c r="Q68" s="55">
        <f t="shared" ref="Q68:Q76" si="39">R50</f>
        <v>238.79444269529284</v>
      </c>
      <c r="R68" s="52">
        <f t="shared" si="35"/>
        <v>50.050226130597139</v>
      </c>
      <c r="S68" s="71">
        <f t="shared" si="36"/>
        <v>188.74421656469571</v>
      </c>
    </row>
    <row r="69" spans="8:25" x14ac:dyDescent="0.2">
      <c r="H69" s="27">
        <f t="shared" si="37"/>
        <v>3</v>
      </c>
      <c r="I69" s="55">
        <f t="shared" si="34"/>
        <v>1309.2302527892236</v>
      </c>
      <c r="J69" s="55">
        <f t="shared" si="34"/>
        <v>43.612260543412674</v>
      </c>
      <c r="K69" s="55">
        <f t="shared" si="34"/>
        <v>985.18179761806448</v>
      </c>
      <c r="L69" s="55">
        <f t="shared" si="34"/>
        <v>0</v>
      </c>
      <c r="M69" s="55">
        <f t="shared" si="34"/>
        <v>0</v>
      </c>
      <c r="N69" s="55">
        <f t="shared" si="34"/>
        <v>55.87042330537227</v>
      </c>
      <c r="O69" s="55">
        <f t="shared" si="34"/>
        <v>68.10615775009542</v>
      </c>
      <c r="P69" s="52">
        <f t="shared" si="38"/>
        <v>-6.6422958221552335</v>
      </c>
      <c r="Q69" s="55">
        <f t="shared" si="39"/>
        <v>250.32643048125948</v>
      </c>
      <c r="R69" s="52">
        <f t="shared" si="35"/>
        <v>48.476806237061034</v>
      </c>
      <c r="S69" s="71">
        <f t="shared" si="36"/>
        <v>201.84962424419845</v>
      </c>
    </row>
    <row r="70" spans="8:25" x14ac:dyDescent="0.2">
      <c r="H70" s="27">
        <f t="shared" si="37"/>
        <v>4</v>
      </c>
      <c r="I70" s="55">
        <f t="shared" si="34"/>
        <v>1280.0726247499081</v>
      </c>
      <c r="J70" s="55">
        <f t="shared" si="34"/>
        <v>42.774422957678262</v>
      </c>
      <c r="K70" s="55">
        <f t="shared" si="34"/>
        <v>949.21320103788696</v>
      </c>
      <c r="L70" s="55">
        <f t="shared" si="34"/>
        <v>0</v>
      </c>
      <c r="M70" s="55">
        <f t="shared" si="34"/>
        <v>0</v>
      </c>
      <c r="N70" s="55">
        <f t="shared" si="34"/>
        <v>48.1834112201973</v>
      </c>
      <c r="O70" s="55">
        <f t="shared" si="34"/>
        <v>67.921165498280033</v>
      </c>
      <c r="P70" s="52">
        <f t="shared" si="38"/>
        <v>-5.8315256078631137</v>
      </c>
      <c r="Q70" s="55">
        <f t="shared" si="39"/>
        <v>263.3607955590852</v>
      </c>
      <c r="R70" s="52">
        <f t="shared" si="35"/>
        <v>46.865397774660764</v>
      </c>
      <c r="S70" s="71">
        <f t="shared" si="36"/>
        <v>216.49539778442443</v>
      </c>
    </row>
    <row r="71" spans="8:25" x14ac:dyDescent="0.2">
      <c r="H71" s="27">
        <f t="shared" si="37"/>
        <v>5</v>
      </c>
      <c r="I71" s="55">
        <f t="shared" si="34"/>
        <v>1245.8438152296333</v>
      </c>
      <c r="J71" s="55">
        <f t="shared" si="34"/>
        <v>41.787094272246343</v>
      </c>
      <c r="K71" s="55">
        <f t="shared" si="34"/>
        <v>916.38733964668597</v>
      </c>
      <c r="L71" s="55">
        <f t="shared" si="34"/>
        <v>0</v>
      </c>
      <c r="M71" s="55">
        <f t="shared" si="34"/>
        <v>0</v>
      </c>
      <c r="N71" s="55">
        <f t="shared" si="34"/>
        <v>41.528127174321121</v>
      </c>
      <c r="O71" s="55">
        <f t="shared" si="34"/>
        <v>67.427070597082647</v>
      </c>
      <c r="P71" s="52">
        <f t="shared" si="38"/>
        <v>-6.8457619040549957</v>
      </c>
      <c r="Q71" s="55">
        <f t="shared" si="39"/>
        <v>269.13413398784485</v>
      </c>
      <c r="R71" s="52">
        <f t="shared" si="35"/>
        <v>44.946977563876388</v>
      </c>
      <c r="S71" s="71">
        <f t="shared" si="36"/>
        <v>224.18715642396847</v>
      </c>
    </row>
    <row r="72" spans="8:25" x14ac:dyDescent="0.2">
      <c r="H72" s="27">
        <f t="shared" si="37"/>
        <v>6</v>
      </c>
      <c r="I72" s="55">
        <f t="shared" si="34"/>
        <v>1224.4076776249281</v>
      </c>
      <c r="J72" s="55">
        <f t="shared" si="34"/>
        <v>41.106529684498248</v>
      </c>
      <c r="K72" s="55">
        <f t="shared" si="34"/>
        <v>885.81782324763549</v>
      </c>
      <c r="L72" s="55">
        <f t="shared" si="34"/>
        <v>0</v>
      </c>
      <c r="M72" s="55">
        <f t="shared" si="34"/>
        <v>0</v>
      </c>
      <c r="N72" s="55">
        <f t="shared" si="34"/>
        <v>35.766533913094307</v>
      </c>
      <c r="O72" s="55">
        <f t="shared" si="34"/>
        <v>67.592250607818869</v>
      </c>
      <c r="P72" s="52">
        <f t="shared" si="38"/>
        <v>-4.2872275209410304</v>
      </c>
      <c r="Q72" s="55">
        <f t="shared" si="39"/>
        <v>280.62482706181879</v>
      </c>
      <c r="R72" s="52">
        <f t="shared" si="35"/>
        <v>43.275643016318647</v>
      </c>
      <c r="S72" s="71">
        <f t="shared" si="36"/>
        <v>237.34918404550015</v>
      </c>
    </row>
    <row r="73" spans="8:25" x14ac:dyDescent="0.2">
      <c r="H73" s="27">
        <f t="shared" si="37"/>
        <v>7</v>
      </c>
      <c r="I73" s="55">
        <f t="shared" si="34"/>
        <v>1198.3362182070941</v>
      </c>
      <c r="J73" s="55">
        <f t="shared" si="34"/>
        <v>40.348875279475948</v>
      </c>
      <c r="K73" s="55">
        <f t="shared" si="34"/>
        <v>857.71325207288589</v>
      </c>
      <c r="L73" s="55">
        <f t="shared" si="34"/>
        <v>0</v>
      </c>
      <c r="M73" s="55">
        <f t="shared" si="34"/>
        <v>0</v>
      </c>
      <c r="N73" s="55">
        <f t="shared" si="34"/>
        <v>30.779183686826048</v>
      </c>
      <c r="O73" s="55">
        <f t="shared" si="34"/>
        <v>67.476060729388692</v>
      </c>
      <c r="P73" s="52">
        <f t="shared" si="38"/>
        <v>-5.2142918835667729</v>
      </c>
      <c r="Q73" s="55">
        <f t="shared" si="39"/>
        <v>287.93088888103631</v>
      </c>
      <c r="R73" s="52">
        <f t="shared" si="35"/>
        <v>41.321541662197127</v>
      </c>
      <c r="S73" s="71">
        <f t="shared" si="36"/>
        <v>246.60934721883919</v>
      </c>
    </row>
    <row r="74" spans="8:25" x14ac:dyDescent="0.2">
      <c r="H74" s="27">
        <f t="shared" si="37"/>
        <v>8</v>
      </c>
      <c r="I74" s="55">
        <f t="shared" si="34"/>
        <v>1167.876613881632</v>
      </c>
      <c r="J74" s="55">
        <f t="shared" si="34"/>
        <v>39.420157202580199</v>
      </c>
      <c r="K74" s="55">
        <f t="shared" si="34"/>
        <v>829.15711257457258</v>
      </c>
      <c r="L74" s="55">
        <f t="shared" si="34"/>
        <v>0</v>
      </c>
      <c r="M74" s="55">
        <f t="shared" si="34"/>
        <v>0</v>
      </c>
      <c r="N74" s="55">
        <f t="shared" si="34"/>
        <v>26.46246103961402</v>
      </c>
      <c r="O74" s="55">
        <f t="shared" si="34"/>
        <v>67.076156397430125</v>
      </c>
      <c r="P74" s="52">
        <f t="shared" si="38"/>
        <v>-6.0919208650924475</v>
      </c>
      <c r="Q74" s="55">
        <f t="shared" si="39"/>
        <v>290.69296193768793</v>
      </c>
      <c r="R74" s="52">
        <f t="shared" si="35"/>
        <v>39.120742284810099</v>
      </c>
      <c r="S74" s="71">
        <f t="shared" si="36"/>
        <v>251.57221965287783</v>
      </c>
    </row>
    <row r="75" spans="8:25" x14ac:dyDescent="0.2">
      <c r="H75" s="27">
        <f t="shared" si="37"/>
        <v>9</v>
      </c>
      <c r="I75" s="55">
        <f t="shared" ref="I75:O75" si="40">I57</f>
        <v>1141.6675321413873</v>
      </c>
      <c r="J75" s="55">
        <f t="shared" si="40"/>
        <v>38.568998737811718</v>
      </c>
      <c r="K75" s="55">
        <f t="shared" si="40"/>
        <v>801.51575912779549</v>
      </c>
      <c r="L75" s="55">
        <f t="shared" si="40"/>
        <v>0</v>
      </c>
      <c r="M75" s="55">
        <f t="shared" si="40"/>
        <v>0</v>
      </c>
      <c r="N75" s="55">
        <f t="shared" si="40"/>
        <v>22.727289956364711</v>
      </c>
      <c r="O75" s="55">
        <f t="shared" si="40"/>
        <v>66.882273700958095</v>
      </c>
      <c r="P75" s="52">
        <f t="shared" si="38"/>
        <v>-5.2418163480489284</v>
      </c>
      <c r="Q75" s="55">
        <f t="shared" si="39"/>
        <v>294.35302444212954</v>
      </c>
      <c r="R75" s="52">
        <f t="shared" si="35"/>
        <v>36.947544444805963</v>
      </c>
      <c r="S75" s="71">
        <f t="shared" si="36"/>
        <v>257.4054799973236</v>
      </c>
    </row>
    <row r="76" spans="8:25" x14ac:dyDescent="0.2">
      <c r="H76" s="27">
        <f t="shared" si="37"/>
        <v>10</v>
      </c>
      <c r="I76" s="55">
        <f t="shared" ref="I76:O76" si="41">I58</f>
        <v>1107.3776929348428</v>
      </c>
      <c r="J76" s="55">
        <f t="shared" si="41"/>
        <v>37.501325119370208</v>
      </c>
      <c r="K76" s="55">
        <f t="shared" si="41"/>
        <v>774.64448942390413</v>
      </c>
      <c r="L76" s="55">
        <f t="shared" si="41"/>
        <v>0</v>
      </c>
      <c r="M76" s="55">
        <f t="shared" si="41"/>
        <v>0</v>
      </c>
      <c r="N76" s="55">
        <f t="shared" si="41"/>
        <v>19.496086143219063</v>
      </c>
      <c r="O76" s="55">
        <f t="shared" si="41"/>
        <v>66.170942574227496</v>
      </c>
      <c r="P76" s="52">
        <f t="shared" si="38"/>
        <v>-228.33350642827747</v>
      </c>
      <c r="Q76" s="55">
        <f t="shared" si="39"/>
        <v>512.90100634113981</v>
      </c>
      <c r="R76" s="52">
        <f t="shared" si="35"/>
        <v>34.45095735933797</v>
      </c>
      <c r="S76" s="71">
        <f t="shared" si="36"/>
        <v>478.45004898180184</v>
      </c>
    </row>
    <row r="77" spans="8:25" x14ac:dyDescent="0.2">
      <c r="H77" s="27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66"/>
    </row>
    <row r="78" spans="8:25" x14ac:dyDescent="0.2">
      <c r="H78" s="27"/>
      <c r="I78" s="41"/>
      <c r="J78" s="41"/>
      <c r="K78" s="41"/>
      <c r="L78" s="41"/>
      <c r="M78" s="41"/>
      <c r="N78" s="41"/>
      <c r="O78" s="41"/>
      <c r="P78" s="41" t="s">
        <v>188</v>
      </c>
      <c r="R78" s="41"/>
      <c r="S78" s="71">
        <f>SUM(S67:S76)</f>
        <v>989.3177079711071</v>
      </c>
    </row>
    <row r="79" spans="8:25" x14ac:dyDescent="0.2">
      <c r="H79" s="33"/>
      <c r="I79" s="58"/>
      <c r="J79" s="58"/>
      <c r="K79" s="58"/>
      <c r="L79" s="58"/>
      <c r="M79" s="58"/>
      <c r="N79" s="58"/>
      <c r="O79" s="58"/>
      <c r="P79" s="58" t="s">
        <v>189</v>
      </c>
      <c r="Q79" s="58"/>
      <c r="R79" s="142">
        <f>NPV($C$29,R67:R76)</f>
        <v>289.07078577471509</v>
      </c>
      <c r="S79" s="141">
        <f>NPV($C$29,S67:S76)</f>
        <v>197.46376825570064</v>
      </c>
      <c r="T79" s="140" t="s">
        <v>200</v>
      </c>
    </row>
    <row r="80" spans="8:25" x14ac:dyDescent="0.2">
      <c r="R80" s="139" t="s">
        <v>201</v>
      </c>
    </row>
    <row r="81" spans="8:25" x14ac:dyDescent="0.2">
      <c r="H81" s="25" t="s">
        <v>187</v>
      </c>
      <c r="I81" s="37"/>
      <c r="J81" s="37"/>
      <c r="K81" s="26"/>
      <c r="L81" s="25" t="s">
        <v>162</v>
      </c>
      <c r="M81" s="37"/>
      <c r="N81" s="37"/>
      <c r="O81" s="37"/>
      <c r="P81" s="37"/>
      <c r="Q81" s="37"/>
      <c r="R81" s="37"/>
      <c r="S81" s="65"/>
    </row>
    <row r="82" spans="8:25" x14ac:dyDescent="0.2">
      <c r="H82" s="27"/>
      <c r="I82" s="41"/>
      <c r="J82" s="41"/>
      <c r="K82" s="28"/>
      <c r="L82" s="27" t="s">
        <v>190</v>
      </c>
      <c r="M82" s="41"/>
      <c r="N82" s="72">
        <f>Y46</f>
        <v>9.0211010124294777E-2</v>
      </c>
      <c r="O82" s="41"/>
      <c r="P82" s="41"/>
      <c r="Q82" s="41"/>
      <c r="R82" s="41"/>
      <c r="S82" s="66"/>
    </row>
    <row r="83" spans="8:25" x14ac:dyDescent="0.2">
      <c r="H83" s="27"/>
      <c r="I83" s="41"/>
      <c r="J83" s="41"/>
      <c r="K83" s="28"/>
      <c r="L83" s="27"/>
      <c r="M83" s="41"/>
      <c r="N83" s="72"/>
      <c r="O83" s="41"/>
      <c r="P83" s="41"/>
      <c r="Q83" s="41"/>
      <c r="R83" s="41"/>
      <c r="S83" s="66"/>
    </row>
    <row r="84" spans="8:25" s="12" customFormat="1" ht="51" x14ac:dyDescent="0.2">
      <c r="H84" s="29" t="s">
        <v>98</v>
      </c>
      <c r="I84" s="48" t="s">
        <v>141</v>
      </c>
      <c r="J84" s="48" t="s">
        <v>179</v>
      </c>
      <c r="K84" s="30" t="s">
        <v>180</v>
      </c>
      <c r="L84" s="29" t="s">
        <v>181</v>
      </c>
      <c r="M84" s="48" t="s">
        <v>152</v>
      </c>
      <c r="N84" s="48" t="s">
        <v>153</v>
      </c>
      <c r="O84" s="48" t="s">
        <v>154</v>
      </c>
      <c r="P84" s="48" t="s">
        <v>156</v>
      </c>
      <c r="Q84" s="48" t="s">
        <v>155</v>
      </c>
      <c r="R84" s="48"/>
      <c r="S84" s="30" t="s">
        <v>163</v>
      </c>
      <c r="T84" s="31"/>
      <c r="U84" s="31"/>
      <c r="V84" s="31"/>
      <c r="W84" s="31"/>
      <c r="X84" s="31"/>
      <c r="Y84" s="31"/>
    </row>
    <row r="85" spans="8:25" x14ac:dyDescent="0.2">
      <c r="H85" s="27"/>
      <c r="I85" s="41"/>
      <c r="J85" s="41"/>
      <c r="K85" s="28"/>
      <c r="L85" s="27"/>
      <c r="M85" s="41"/>
      <c r="N85" s="41"/>
      <c r="O85" s="41"/>
      <c r="P85" s="41"/>
      <c r="Q85" s="41"/>
      <c r="R85" s="41"/>
      <c r="S85" s="28"/>
    </row>
    <row r="86" spans="8:25" x14ac:dyDescent="0.2">
      <c r="H86" s="27">
        <v>1</v>
      </c>
      <c r="I86" s="73">
        <f>C28</f>
        <v>1500</v>
      </c>
      <c r="J86" s="52">
        <f t="shared" ref="J86:J95" si="42">P48</f>
        <v>0</v>
      </c>
      <c r="K86" s="74">
        <f t="shared" ref="K86:K95" si="43">I86-J86</f>
        <v>1500</v>
      </c>
      <c r="L86" s="75">
        <f>K86*$C$13</f>
        <v>45</v>
      </c>
      <c r="M86" s="73">
        <f>L86*$C$14</f>
        <v>13.5</v>
      </c>
      <c r="N86" s="73">
        <f t="shared" ref="N86:N95" si="44">S49</f>
        <v>-998.30749999999978</v>
      </c>
      <c r="O86" s="73">
        <f t="shared" ref="O86:O95" si="45">AF49</f>
        <v>38.537466942522805</v>
      </c>
      <c r="P86" s="73">
        <f>L86-M86+N86-O86</f>
        <v>-1005.3449669425225</v>
      </c>
      <c r="Q86" s="73">
        <f>I86+P86</f>
        <v>494.65503305747745</v>
      </c>
      <c r="R86" s="41"/>
      <c r="S86" s="76">
        <f t="shared" ref="S86:S96" si="46">Z48</f>
        <v>-1.8189894035458565E-12</v>
      </c>
    </row>
    <row r="87" spans="8:25" x14ac:dyDescent="0.2">
      <c r="H87" s="27">
        <f t="shared" ref="H87:H95" si="47">H86+1</f>
        <v>2</v>
      </c>
      <c r="I87" s="73">
        <f>Q86</f>
        <v>494.65503305747745</v>
      </c>
      <c r="J87" s="52">
        <f t="shared" si="42"/>
        <v>276.5</v>
      </c>
      <c r="K87" s="74">
        <f t="shared" si="43"/>
        <v>218.15503305747745</v>
      </c>
      <c r="L87" s="75">
        <f t="shared" ref="L87:L95" si="48">K87*$C$13</f>
        <v>6.544650991724323</v>
      </c>
      <c r="M87" s="73">
        <f t="shared" ref="M87:M95" si="49">L87*$C$14</f>
        <v>1.9633952975172968</v>
      </c>
      <c r="N87" s="73">
        <f t="shared" si="44"/>
        <v>230.78278907529284</v>
      </c>
      <c r="O87" s="73">
        <f t="shared" si="45"/>
        <v>50.050226130597139</v>
      </c>
      <c r="P87" s="73">
        <f t="shared" ref="P87:P95" si="50">L87-M87+N87-O87</f>
        <v>185.31381863890272</v>
      </c>
      <c r="Q87" s="73">
        <f t="shared" ref="Q87:Q95" si="51">I87+P87</f>
        <v>679.96885169638017</v>
      </c>
      <c r="R87" s="41"/>
      <c r="S87" s="76">
        <f t="shared" si="46"/>
        <v>-1126.7657231417443</v>
      </c>
    </row>
    <row r="88" spans="8:25" x14ac:dyDescent="0.2">
      <c r="H88" s="27">
        <f t="shared" si="47"/>
        <v>3</v>
      </c>
      <c r="I88" s="73">
        <f t="shared" ref="I88:I95" si="52">Q87</f>
        <v>679.96885169638017</v>
      </c>
      <c r="J88" s="52">
        <f t="shared" si="42"/>
        <v>268.48834638</v>
      </c>
      <c r="K88" s="74">
        <f t="shared" si="43"/>
        <v>411.48050531638017</v>
      </c>
      <c r="L88" s="75">
        <f t="shared" si="48"/>
        <v>12.344415159491405</v>
      </c>
      <c r="M88" s="73">
        <f t="shared" si="49"/>
        <v>3.703324547847421</v>
      </c>
      <c r="N88" s="73">
        <f t="shared" si="44"/>
        <v>243.68413465910425</v>
      </c>
      <c r="O88" s="73">
        <f t="shared" si="45"/>
        <v>48.476806237061034</v>
      </c>
      <c r="P88" s="73">
        <f t="shared" si="50"/>
        <v>203.84841903368721</v>
      </c>
      <c r="Q88" s="73">
        <f t="shared" si="51"/>
        <v>883.81727073006732</v>
      </c>
      <c r="R88" s="41"/>
      <c r="S88" s="76">
        <f t="shared" si="46"/>
        <v>-1062.8170211684419</v>
      </c>
    </row>
    <row r="89" spans="8:25" x14ac:dyDescent="0.2">
      <c r="H89" s="27">
        <f t="shared" si="47"/>
        <v>4</v>
      </c>
      <c r="I89" s="73">
        <f t="shared" si="52"/>
        <v>883.81727073006732</v>
      </c>
      <c r="J89" s="52">
        <f t="shared" si="42"/>
        <v>261.84605055784476</v>
      </c>
      <c r="K89" s="74">
        <f t="shared" si="43"/>
        <v>621.9712201722225</v>
      </c>
      <c r="L89" s="75">
        <f t="shared" si="48"/>
        <v>18.659136605166676</v>
      </c>
      <c r="M89" s="73">
        <f t="shared" si="49"/>
        <v>5.597740981550003</v>
      </c>
      <c r="N89" s="73">
        <f t="shared" si="44"/>
        <v>257.52926995122209</v>
      </c>
      <c r="O89" s="73">
        <f t="shared" si="45"/>
        <v>46.865397774660764</v>
      </c>
      <c r="P89" s="73">
        <f t="shared" si="50"/>
        <v>223.72526780017796</v>
      </c>
      <c r="Q89" s="73">
        <f t="shared" si="51"/>
        <v>1107.5425385302453</v>
      </c>
      <c r="R89" s="41"/>
      <c r="S89" s="76">
        <f t="shared" si="46"/>
        <v>-980.72224063287445</v>
      </c>
    </row>
    <row r="90" spans="8:25" x14ac:dyDescent="0.2">
      <c r="H90" s="27">
        <f t="shared" si="47"/>
        <v>5</v>
      </c>
      <c r="I90" s="73">
        <f t="shared" si="52"/>
        <v>1107.5425385302453</v>
      </c>
      <c r="J90" s="52">
        <f t="shared" si="42"/>
        <v>256.01452494998165</v>
      </c>
      <c r="K90" s="74">
        <f t="shared" si="43"/>
        <v>851.52801358026363</v>
      </c>
      <c r="L90" s="75">
        <f t="shared" si="48"/>
        <v>25.545840407407908</v>
      </c>
      <c r="M90" s="73">
        <f t="shared" si="49"/>
        <v>7.6637521222223723</v>
      </c>
      <c r="N90" s="73">
        <f t="shared" si="44"/>
        <v>262.28837208378985</v>
      </c>
      <c r="O90" s="73">
        <f t="shared" si="45"/>
        <v>44.946977563876388</v>
      </c>
      <c r="P90" s="73">
        <f t="shared" si="50"/>
        <v>235.22348280509902</v>
      </c>
      <c r="Q90" s="73">
        <f t="shared" si="51"/>
        <v>1342.7660213353442</v>
      </c>
      <c r="R90" s="41"/>
      <c r="S90" s="76">
        <f t="shared" si="46"/>
        <v>-879.41096326385491</v>
      </c>
    </row>
    <row r="91" spans="8:25" x14ac:dyDescent="0.2">
      <c r="H91" s="27">
        <f t="shared" si="47"/>
        <v>6</v>
      </c>
      <c r="I91" s="73">
        <f t="shared" si="52"/>
        <v>1342.7660213353442</v>
      </c>
      <c r="J91" s="52">
        <f t="shared" si="42"/>
        <v>249.16876304592665</v>
      </c>
      <c r="K91" s="74">
        <f t="shared" si="43"/>
        <v>1093.5972582894176</v>
      </c>
      <c r="L91" s="75">
        <f t="shared" si="48"/>
        <v>32.807917748682527</v>
      </c>
      <c r="M91" s="73">
        <f t="shared" si="49"/>
        <v>9.8423753246047578</v>
      </c>
      <c r="N91" s="73">
        <f t="shared" si="44"/>
        <v>276.33759954087776</v>
      </c>
      <c r="O91" s="73">
        <f t="shared" si="45"/>
        <v>43.275643016318647</v>
      </c>
      <c r="P91" s="73">
        <f t="shared" si="50"/>
        <v>256.02749894863689</v>
      </c>
      <c r="Q91" s="73">
        <f t="shared" si="51"/>
        <v>1598.7935202839813</v>
      </c>
      <c r="R91" s="41"/>
      <c r="S91" s="76">
        <f t="shared" si="46"/>
        <v>-766.94584972631969</v>
      </c>
    </row>
    <row r="92" spans="8:25" x14ac:dyDescent="0.2">
      <c r="H92" s="27">
        <f t="shared" si="47"/>
        <v>7</v>
      </c>
      <c r="I92" s="73">
        <f t="shared" si="52"/>
        <v>1598.7935202839813</v>
      </c>
      <c r="J92" s="52">
        <f t="shared" si="42"/>
        <v>244.88153552498562</v>
      </c>
      <c r="K92" s="74">
        <f t="shared" si="43"/>
        <v>1353.9119847589957</v>
      </c>
      <c r="L92" s="75">
        <f t="shared" si="48"/>
        <v>40.617359542769869</v>
      </c>
      <c r="M92" s="73">
        <f t="shared" si="49"/>
        <v>12.185207862830961</v>
      </c>
      <c r="N92" s="73">
        <f t="shared" si="44"/>
        <v>282.71659699746954</v>
      </c>
      <c r="O92" s="73">
        <f t="shared" si="45"/>
        <v>41.321541662197127</v>
      </c>
      <c r="P92" s="73">
        <f t="shared" si="50"/>
        <v>269.82720701521129</v>
      </c>
      <c r="Q92" s="73">
        <f t="shared" si="51"/>
        <v>1868.6207272991926</v>
      </c>
      <c r="R92" s="41"/>
      <c r="S92" s="76">
        <f t="shared" si="46"/>
        <v>-634.86039357317077</v>
      </c>
    </row>
    <row r="93" spans="8:25" x14ac:dyDescent="0.2">
      <c r="H93" s="27">
        <f t="shared" si="47"/>
        <v>8</v>
      </c>
      <c r="I93" s="73">
        <f t="shared" si="52"/>
        <v>1868.6207272991926</v>
      </c>
      <c r="J93" s="52">
        <f t="shared" si="42"/>
        <v>239.66724364141885</v>
      </c>
      <c r="K93" s="74">
        <f t="shared" si="43"/>
        <v>1628.9534836577736</v>
      </c>
      <c r="L93" s="75">
        <f t="shared" si="48"/>
        <v>48.86860450973321</v>
      </c>
      <c r="M93" s="73">
        <f t="shared" si="49"/>
        <v>14.660581352919962</v>
      </c>
      <c r="N93" s="73">
        <f t="shared" si="44"/>
        <v>284.60104107259548</v>
      </c>
      <c r="O93" s="73">
        <f t="shared" si="45"/>
        <v>39.120742284810099</v>
      </c>
      <c r="P93" s="73">
        <f t="shared" si="50"/>
        <v>279.68832194459861</v>
      </c>
      <c r="Q93" s="73">
        <f t="shared" si="51"/>
        <v>2148.3090492437914</v>
      </c>
      <c r="R93" s="41"/>
      <c r="S93" s="76">
        <f t="shared" si="46"/>
        <v>-489.88226878302498</v>
      </c>
    </row>
    <row r="94" spans="8:25" x14ac:dyDescent="0.2">
      <c r="H94" s="27">
        <f t="shared" si="47"/>
        <v>9</v>
      </c>
      <c r="I94" s="73">
        <f t="shared" si="52"/>
        <v>2148.3090492437914</v>
      </c>
      <c r="J94" s="52">
        <f t="shared" si="42"/>
        <v>233.5753227763264</v>
      </c>
      <c r="K94" s="74">
        <f t="shared" si="43"/>
        <v>1914.733726467465</v>
      </c>
      <c r="L94" s="75">
        <f t="shared" si="48"/>
        <v>57.442011794023948</v>
      </c>
      <c r="M94" s="73">
        <f t="shared" si="49"/>
        <v>17.232603538207183</v>
      </c>
      <c r="N94" s="73">
        <f t="shared" si="44"/>
        <v>289.11120809408061</v>
      </c>
      <c r="O94" s="73">
        <f t="shared" si="45"/>
        <v>36.947544444805963</v>
      </c>
      <c r="P94" s="73">
        <f t="shared" si="50"/>
        <v>292.37307190509142</v>
      </c>
      <c r="Q94" s="73">
        <f t="shared" si="51"/>
        <v>2440.6821211488827</v>
      </c>
      <c r="R94" s="41"/>
      <c r="S94" s="76">
        <f t="shared" si="46"/>
        <v>-335.68370199312983</v>
      </c>
    </row>
    <row r="95" spans="8:25" x14ac:dyDescent="0.2">
      <c r="H95" s="27">
        <f t="shared" si="47"/>
        <v>10</v>
      </c>
      <c r="I95" s="73">
        <f t="shared" si="52"/>
        <v>2440.6821211488827</v>
      </c>
      <c r="J95" s="52">
        <f t="shared" si="42"/>
        <v>228.33350642827747</v>
      </c>
      <c r="K95" s="74">
        <f t="shared" si="43"/>
        <v>2212.3486147206054</v>
      </c>
      <c r="L95" s="75">
        <f t="shared" si="48"/>
        <v>66.370458441618155</v>
      </c>
      <c r="M95" s="73">
        <f t="shared" si="49"/>
        <v>19.911137532485444</v>
      </c>
      <c r="N95" s="73">
        <f t="shared" si="44"/>
        <v>284.56749991286233</v>
      </c>
      <c r="O95" s="73">
        <f t="shared" si="45"/>
        <v>34.45095735933797</v>
      </c>
      <c r="P95" s="73">
        <f t="shared" si="50"/>
        <v>296.57586346265708</v>
      </c>
      <c r="Q95" s="73">
        <f t="shared" si="51"/>
        <v>2737.25798461154</v>
      </c>
      <c r="R95" s="41"/>
      <c r="S95" s="76">
        <f t="shared" si="46"/>
        <v>-169.73097538173576</v>
      </c>
    </row>
    <row r="96" spans="8:25" x14ac:dyDescent="0.2">
      <c r="H96" s="33"/>
      <c r="I96" s="77"/>
      <c r="J96" s="58"/>
      <c r="K96" s="78"/>
      <c r="L96" s="79">
        <f>SUM(L86:L95)</f>
        <v>354.200395200618</v>
      </c>
      <c r="M96" s="77">
        <f>SUM(M86:M95)</f>
        <v>106.2601185601854</v>
      </c>
      <c r="N96" s="77"/>
      <c r="O96" s="77"/>
      <c r="P96" s="77"/>
      <c r="Q96" s="58" t="str">
        <f>IF(Q95=C28+AG59+L96-M96,"checks out","check failed")</f>
        <v>checks out</v>
      </c>
      <c r="R96" s="58"/>
      <c r="S96" s="80">
        <f t="shared" si="46"/>
        <v>0</v>
      </c>
    </row>
    <row r="97" spans="8:17" x14ac:dyDescent="0.2">
      <c r="Q97" s="81"/>
    </row>
    <row r="100" spans="8:17" x14ac:dyDescent="0.2">
      <c r="H100" s="25" t="s">
        <v>143</v>
      </c>
      <c r="I100" s="82"/>
      <c r="J100" s="82"/>
      <c r="K100" s="83" t="s">
        <v>144</v>
      </c>
      <c r="L100" s="82"/>
      <c r="M100" s="82"/>
      <c r="N100" s="82"/>
      <c r="O100" s="84"/>
    </row>
    <row r="101" spans="8:17" x14ac:dyDescent="0.2">
      <c r="H101" s="40"/>
      <c r="I101" s="85"/>
      <c r="J101" s="85"/>
      <c r="K101" s="86" t="s">
        <v>145</v>
      </c>
      <c r="L101" s="85"/>
      <c r="M101" s="85"/>
      <c r="N101" s="85"/>
      <c r="O101" s="87"/>
    </row>
    <row r="102" spans="8:17" x14ac:dyDescent="0.2">
      <c r="H102" s="40" t="s">
        <v>146</v>
      </c>
      <c r="I102" s="85"/>
      <c r="J102" s="85"/>
      <c r="K102" s="88">
        <f>I86</f>
        <v>1500</v>
      </c>
      <c r="L102" s="85"/>
      <c r="M102" s="85"/>
      <c r="N102" s="85"/>
      <c r="O102" s="87"/>
    </row>
    <row r="103" spans="8:17" x14ac:dyDescent="0.2">
      <c r="H103" s="40" t="s">
        <v>147</v>
      </c>
      <c r="I103" s="85"/>
      <c r="J103" s="85"/>
      <c r="K103" s="85" t="s">
        <v>142</v>
      </c>
      <c r="L103" s="85" t="s">
        <v>148</v>
      </c>
      <c r="M103" s="85"/>
      <c r="N103" s="85"/>
      <c r="O103" s="87"/>
    </row>
    <row r="104" spans="8:17" x14ac:dyDescent="0.2">
      <c r="H104" s="40" t="s">
        <v>48</v>
      </c>
      <c r="I104" s="85"/>
      <c r="J104" s="85"/>
      <c r="K104" s="158">
        <f>S79</f>
        <v>197.46376825570064</v>
      </c>
      <c r="L104" s="85"/>
      <c r="M104" s="85"/>
      <c r="N104" s="85"/>
      <c r="O104" s="87"/>
    </row>
    <row r="105" spans="8:17" x14ac:dyDescent="0.2">
      <c r="H105" s="40" t="s">
        <v>149</v>
      </c>
      <c r="I105" s="85"/>
      <c r="J105" s="85"/>
      <c r="K105" s="159">
        <f>R79*C26</f>
        <v>202.34955004230056</v>
      </c>
      <c r="L105" s="160" t="s">
        <v>206</v>
      </c>
      <c r="M105" s="85"/>
      <c r="N105" s="85"/>
      <c r="O105" s="87"/>
    </row>
    <row r="106" spans="8:17" x14ac:dyDescent="0.2">
      <c r="H106" s="89" t="s">
        <v>150</v>
      </c>
      <c r="I106" s="90"/>
      <c r="J106" s="90"/>
      <c r="K106" s="91">
        <f>K102+K104+K105</f>
        <v>1899.8133182980011</v>
      </c>
      <c r="L106" s="90"/>
      <c r="M106" s="90"/>
      <c r="N106" s="90"/>
      <c r="O106" s="92"/>
    </row>
  </sheetData>
  <mergeCells count="2">
    <mergeCell ref="W46:X46"/>
    <mergeCell ref="AB46:AC46"/>
  </mergeCells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36" workbookViewId="0">
      <selection activeCell="J53" sqref="J53"/>
    </sheetView>
  </sheetViews>
  <sheetFormatPr defaultRowHeight="12.75" x14ac:dyDescent="0.2"/>
  <cols>
    <col min="1" max="1" width="25.5703125" style="9" customWidth="1"/>
    <col min="2" max="2" width="12" style="9" customWidth="1"/>
    <col min="3" max="3" width="10.42578125" style="9" customWidth="1"/>
    <col min="4" max="4" width="9.85546875" style="9" customWidth="1"/>
    <col min="5" max="5" width="9.5703125" style="9" customWidth="1"/>
    <col min="6" max="6" width="9.42578125" style="9" customWidth="1"/>
    <col min="7" max="7" width="10.85546875" style="9" customWidth="1"/>
    <col min="8" max="8" width="8.7109375" style="9" customWidth="1"/>
    <col min="9" max="9" width="10.7109375" style="9" customWidth="1"/>
    <col min="10" max="10" width="11.5703125" style="9" customWidth="1"/>
    <col min="11" max="11" width="9.85546875" style="9" customWidth="1"/>
    <col min="12" max="12" width="11.28515625" style="9" bestFit="1" customWidth="1"/>
    <col min="13" max="13" width="11.85546875" style="9" customWidth="1"/>
    <col min="14" max="14" width="11.140625" style="9" bestFit="1" customWidth="1"/>
    <col min="15" max="15" width="12.140625" style="9" bestFit="1" customWidth="1"/>
    <col min="16" max="16384" width="9.140625" style="9"/>
  </cols>
  <sheetData>
    <row r="1" spans="1:11" x14ac:dyDescent="0.2">
      <c r="K1" s="9" t="s">
        <v>65</v>
      </c>
    </row>
    <row r="3" spans="1:11" x14ac:dyDescent="0.2">
      <c r="A3" s="9" t="s">
        <v>37</v>
      </c>
      <c r="B3" s="95">
        <v>2000000</v>
      </c>
    </row>
    <row r="4" spans="1:11" x14ac:dyDescent="0.2">
      <c r="A4" s="9" t="s">
        <v>40</v>
      </c>
      <c r="B4" s="95">
        <v>20000000</v>
      </c>
    </row>
    <row r="5" spans="1:11" x14ac:dyDescent="0.2">
      <c r="A5" s="9" t="s">
        <v>157</v>
      </c>
      <c r="B5" s="95">
        <v>10</v>
      </c>
      <c r="C5" s="9" t="s">
        <v>41</v>
      </c>
    </row>
    <row r="7" spans="1:11" x14ac:dyDescent="0.2">
      <c r="A7" s="9" t="s">
        <v>1</v>
      </c>
      <c r="B7" s="95">
        <v>0</v>
      </c>
      <c r="C7" s="9" t="s">
        <v>15</v>
      </c>
    </row>
    <row r="8" spans="1:11" x14ac:dyDescent="0.2">
      <c r="A8" s="9" t="s">
        <v>0</v>
      </c>
      <c r="B8" s="95">
        <v>1000</v>
      </c>
    </row>
    <row r="10" spans="1:11" x14ac:dyDescent="0.2">
      <c r="A10" s="9" t="s">
        <v>2</v>
      </c>
    </row>
    <row r="11" spans="1:11" x14ac:dyDescent="0.2">
      <c r="A11" s="9" t="s">
        <v>3</v>
      </c>
      <c r="B11" s="18">
        <v>90</v>
      </c>
      <c r="C11" s="9" t="s">
        <v>24</v>
      </c>
    </row>
    <row r="12" spans="1:11" x14ac:dyDescent="0.2">
      <c r="A12" s="10" t="s">
        <v>4</v>
      </c>
      <c r="B12" s="96">
        <v>1.2E-2</v>
      </c>
      <c r="C12" s="9" t="s">
        <v>25</v>
      </c>
    </row>
    <row r="14" spans="1:11" x14ac:dyDescent="0.2">
      <c r="A14" s="9" t="s">
        <v>5</v>
      </c>
      <c r="B14" s="21">
        <v>0.12</v>
      </c>
    </row>
    <row r="16" spans="1:11" x14ac:dyDescent="0.2">
      <c r="A16" s="9" t="s">
        <v>6</v>
      </c>
    </row>
    <row r="17" spans="1:11" x14ac:dyDescent="0.2">
      <c r="A17" s="9" t="s">
        <v>7</v>
      </c>
      <c r="B17" s="18">
        <v>75</v>
      </c>
      <c r="C17" s="9" t="s">
        <v>26</v>
      </c>
    </row>
    <row r="18" spans="1:11" x14ac:dyDescent="0.2">
      <c r="A18" s="9" t="s">
        <v>8</v>
      </c>
      <c r="B18" s="96">
        <v>1.0999999999999999E-2</v>
      </c>
      <c r="C18" s="9" t="s">
        <v>27</v>
      </c>
    </row>
    <row r="20" spans="1:11" x14ac:dyDescent="0.2">
      <c r="A20" s="9" t="s">
        <v>9</v>
      </c>
      <c r="B20" s="21">
        <v>0.15</v>
      </c>
    </row>
    <row r="21" spans="1:11" x14ac:dyDescent="0.2">
      <c r="A21" s="9" t="s">
        <v>10</v>
      </c>
      <c r="B21" s="21">
        <v>0.3</v>
      </c>
    </row>
    <row r="22" spans="1:11" x14ac:dyDescent="0.2">
      <c r="B22" s="11"/>
    </row>
    <row r="23" spans="1:11" x14ac:dyDescent="0.2">
      <c r="A23" s="9" t="s">
        <v>12</v>
      </c>
      <c r="B23" s="21">
        <v>0.08</v>
      </c>
    </row>
    <row r="24" spans="1:11" x14ac:dyDescent="0.2">
      <c r="A24" s="9" t="s">
        <v>193</v>
      </c>
      <c r="B24" s="11">
        <v>0.04</v>
      </c>
    </row>
    <row r="25" spans="1:11" x14ac:dyDescent="0.2">
      <c r="A25" s="9" t="s">
        <v>13</v>
      </c>
      <c r="B25" s="21">
        <v>0.12</v>
      </c>
      <c r="C25" s="9" t="s">
        <v>16</v>
      </c>
    </row>
    <row r="26" spans="1:11" x14ac:dyDescent="0.2">
      <c r="B26" s="11"/>
    </row>
    <row r="27" spans="1:11" x14ac:dyDescent="0.2">
      <c r="A27" s="9" t="s">
        <v>164</v>
      </c>
      <c r="B27" s="21">
        <v>0.01</v>
      </c>
    </row>
    <row r="28" spans="1:11" x14ac:dyDescent="0.2">
      <c r="B28" s="11"/>
    </row>
    <row r="29" spans="1:11" x14ac:dyDescent="0.2">
      <c r="A29" s="9" t="s">
        <v>39</v>
      </c>
      <c r="B29" s="11"/>
    </row>
    <row r="30" spans="1:11" x14ac:dyDescent="0.2">
      <c r="A30" s="9" t="s">
        <v>17</v>
      </c>
      <c r="B30" s="11"/>
    </row>
    <row r="31" spans="1:11" x14ac:dyDescent="0.2">
      <c r="B31" s="11"/>
    </row>
    <row r="32" spans="1:11" s="12" customFormat="1" ht="38.25" x14ac:dyDescent="0.2">
      <c r="A32" s="150" t="s">
        <v>11</v>
      </c>
      <c r="B32" s="151" t="s">
        <v>125</v>
      </c>
      <c r="C32" s="152" t="s">
        <v>19</v>
      </c>
      <c r="D32" s="152" t="s">
        <v>120</v>
      </c>
      <c r="E32" s="152" t="s">
        <v>126</v>
      </c>
      <c r="F32" s="152" t="s">
        <v>122</v>
      </c>
      <c r="G32" s="152" t="s">
        <v>121</v>
      </c>
      <c r="H32" s="152" t="s">
        <v>35</v>
      </c>
      <c r="I32" s="152" t="s">
        <v>123</v>
      </c>
      <c r="J32" s="152" t="s">
        <v>124</v>
      </c>
      <c r="K32" s="153" t="s">
        <v>127</v>
      </c>
    </row>
    <row r="33" spans="1:11" x14ac:dyDescent="0.2">
      <c r="A33" s="100">
        <v>1</v>
      </c>
      <c r="B33" s="101">
        <f>B8</f>
        <v>1000</v>
      </c>
      <c r="C33" s="101">
        <f>B4</f>
        <v>20000000</v>
      </c>
      <c r="D33" s="102">
        <f>$B$7/$B$8*B33</f>
        <v>0</v>
      </c>
      <c r="E33" s="101">
        <f>(C33+D33)*$B$23*(1-$B$25/2)</f>
        <v>1504000</v>
      </c>
      <c r="F33" s="101">
        <f>-E33*$B$20</f>
        <v>-225600</v>
      </c>
      <c r="G33" s="101">
        <f>(-(C33+D33)*$B$12*(1+$B$23/2*(1-$B$20))*(1-$B$25/2)-$B$11*B33)/(1-$B$20)</f>
        <v>-380318.11764705885</v>
      </c>
      <c r="H33" s="101">
        <f>-G33*$B$20</f>
        <v>57047.717647058824</v>
      </c>
      <c r="I33" s="101">
        <f>-(C33+D33)*(1+$B$23*(1-$B$20)/2-$B$12/2)*$B$25</f>
        <v>-2467200</v>
      </c>
      <c r="J33" s="102">
        <v>0</v>
      </c>
      <c r="K33" s="103">
        <f>SUM(C33:J33)</f>
        <v>18487929.599999998</v>
      </c>
    </row>
    <row r="34" spans="1:11" x14ac:dyDescent="0.2">
      <c r="A34" s="100">
        <f>A33+1</f>
        <v>2</v>
      </c>
      <c r="B34" s="101">
        <f>B33*(1-$B$25)</f>
        <v>880</v>
      </c>
      <c r="C34" s="101">
        <f t="shared" ref="C34:C42" si="0">K33</f>
        <v>18487929.599999998</v>
      </c>
      <c r="D34" s="102">
        <f>$B$7/$B$8*B34</f>
        <v>0</v>
      </c>
      <c r="E34" s="101">
        <f>(C34+D34)*$B$23*(1-$B$25/2)</f>
        <v>1390292.3059199997</v>
      </c>
      <c r="F34" s="101">
        <f t="shared" ref="F34:F42" si="1">-E34*$B$20</f>
        <v>-208543.84588799995</v>
      </c>
      <c r="G34" s="101">
        <f>(-(C34+D34)*$B$12*(1+$B$23/2*(1-$B$20))*(1-$B$25/2)-$B$11*B34)/(1-$B$20)</f>
        <v>-346863.92546846112</v>
      </c>
      <c r="H34" s="101">
        <f>-G34*$B$20</f>
        <v>52029.588820269164</v>
      </c>
      <c r="I34" s="101">
        <f>-(C34+D34)*(1+$B$23*(1-$B$20)/2-$B$12/2)*$B$25</f>
        <v>-2280670.9954559994</v>
      </c>
      <c r="J34" s="102">
        <v>0</v>
      </c>
      <c r="K34" s="103">
        <f t="shared" ref="K34:K41" si="2">SUM(C34:J34)</f>
        <v>17094172.727927808</v>
      </c>
    </row>
    <row r="35" spans="1:11" x14ac:dyDescent="0.2">
      <c r="A35" s="100">
        <f t="shared" ref="A35:A42" si="3">A34+1</f>
        <v>3</v>
      </c>
      <c r="B35" s="101">
        <f t="shared" ref="B35:B42" si="4">B34*(1-$B$25)</f>
        <v>774.4</v>
      </c>
      <c r="C35" s="101">
        <f t="shared" si="0"/>
        <v>17094172.727927808</v>
      </c>
      <c r="D35" s="102">
        <f t="shared" ref="D35:D42" si="5">$B$7/$B$8*B35</f>
        <v>0</v>
      </c>
      <c r="E35" s="101">
        <f t="shared" ref="E35:E42" si="6">(C35+D35)*$B$23*(1-$B$25/2)</f>
        <v>1285481.7891401711</v>
      </c>
      <c r="F35" s="101">
        <f t="shared" si="1"/>
        <v>-192822.26837102565</v>
      </c>
      <c r="G35" s="101">
        <f t="shared" ref="G35:G42" si="7">(-(C35+D35)*$B$12*(1+$B$23/2*(1-$B$20))*(1-$B$25/2)-$B$11*B35)/(1-$B$20)</f>
        <v>-316557.91234781238</v>
      </c>
      <c r="H35" s="101">
        <f t="shared" ref="H35:H42" si="8">-G35*$B$20</f>
        <v>47483.686852171857</v>
      </c>
      <c r="I35" s="101">
        <f t="shared" ref="I35:I42" si="9">-(C35+D35)*(1+$B$23*(1-$B$20)/2-$B$12/2)*$B$25</f>
        <v>-2108737.1477171741</v>
      </c>
      <c r="J35" s="102">
        <v>0</v>
      </c>
      <c r="K35" s="103">
        <f t="shared" si="2"/>
        <v>15809020.875484139</v>
      </c>
    </row>
    <row r="36" spans="1:11" x14ac:dyDescent="0.2">
      <c r="A36" s="100">
        <f t="shared" si="3"/>
        <v>4</v>
      </c>
      <c r="B36" s="101">
        <f t="shared" si="4"/>
        <v>681.47199999999998</v>
      </c>
      <c r="C36" s="101">
        <f t="shared" si="0"/>
        <v>15809020.875484139</v>
      </c>
      <c r="D36" s="102">
        <f t="shared" si="5"/>
        <v>0</v>
      </c>
      <c r="E36" s="101">
        <f t="shared" si="6"/>
        <v>1188838.3698364072</v>
      </c>
      <c r="F36" s="101">
        <f t="shared" si="1"/>
        <v>-178325.75547546108</v>
      </c>
      <c r="G36" s="101">
        <f t="shared" si="7"/>
        <v>-289083.8954842668</v>
      </c>
      <c r="H36" s="101">
        <f t="shared" si="8"/>
        <v>43362.584322640017</v>
      </c>
      <c r="I36" s="101">
        <f t="shared" si="9"/>
        <v>-1950200.8151997232</v>
      </c>
      <c r="J36" s="102">
        <v>0</v>
      </c>
      <c r="K36" s="103">
        <f t="shared" si="2"/>
        <v>14623611.363483736</v>
      </c>
    </row>
    <row r="37" spans="1:11" x14ac:dyDescent="0.2">
      <c r="A37" s="100">
        <f t="shared" si="3"/>
        <v>5</v>
      </c>
      <c r="B37" s="101">
        <f t="shared" si="4"/>
        <v>599.69535999999994</v>
      </c>
      <c r="C37" s="101">
        <f t="shared" si="0"/>
        <v>14623611.363483736</v>
      </c>
      <c r="D37" s="102">
        <f t="shared" si="5"/>
        <v>0</v>
      </c>
      <c r="E37" s="101">
        <f t="shared" si="6"/>
        <v>1099695.5745339768</v>
      </c>
      <c r="F37" s="101">
        <f t="shared" si="1"/>
        <v>-164954.33618009652</v>
      </c>
      <c r="G37" s="101">
        <f t="shared" si="7"/>
        <v>-264159.25412967033</v>
      </c>
      <c r="H37" s="101">
        <f t="shared" si="8"/>
        <v>39623.888119450545</v>
      </c>
      <c r="I37" s="101">
        <f t="shared" si="9"/>
        <v>-1803968.6977993536</v>
      </c>
      <c r="J37" s="102">
        <v>0</v>
      </c>
      <c r="K37" s="103">
        <f t="shared" si="2"/>
        <v>13529848.538028043</v>
      </c>
    </row>
    <row r="38" spans="1:11" x14ac:dyDescent="0.2">
      <c r="A38" s="100">
        <f t="shared" si="3"/>
        <v>6</v>
      </c>
      <c r="B38" s="101">
        <f t="shared" si="4"/>
        <v>527.73191679999991</v>
      </c>
      <c r="C38" s="101">
        <f t="shared" si="0"/>
        <v>13529848.538028043</v>
      </c>
      <c r="D38" s="102">
        <f t="shared" si="5"/>
        <v>0</v>
      </c>
      <c r="E38" s="101">
        <f t="shared" si="6"/>
        <v>1017444.6100597088</v>
      </c>
      <c r="F38" s="101">
        <f t="shared" si="1"/>
        <v>-152616.69150895631</v>
      </c>
      <c r="G38" s="101">
        <f t="shared" si="7"/>
        <v>-241531.21356736569</v>
      </c>
      <c r="H38" s="101">
        <f t="shared" si="8"/>
        <v>36229.682035104852</v>
      </c>
      <c r="I38" s="101">
        <f t="shared" si="9"/>
        <v>-1669042.1156511393</v>
      </c>
      <c r="J38" s="102">
        <v>0</v>
      </c>
      <c r="K38" s="103">
        <f t="shared" si="2"/>
        <v>12520332.809395395</v>
      </c>
    </row>
    <row r="39" spans="1:11" x14ac:dyDescent="0.2">
      <c r="A39" s="100">
        <f t="shared" si="3"/>
        <v>7</v>
      </c>
      <c r="B39" s="101">
        <f t="shared" si="4"/>
        <v>464.4040867839999</v>
      </c>
      <c r="C39" s="101">
        <f t="shared" si="0"/>
        <v>12520332.809395395</v>
      </c>
      <c r="D39" s="102">
        <f t="shared" si="5"/>
        <v>0</v>
      </c>
      <c r="E39" s="101">
        <f t="shared" si="6"/>
        <v>941529.0272665337</v>
      </c>
      <c r="F39" s="101">
        <f t="shared" si="1"/>
        <v>-141229.35408998004</v>
      </c>
      <c r="G39" s="101">
        <f t="shared" si="7"/>
        <v>-220973.5528701169</v>
      </c>
      <c r="H39" s="101">
        <f t="shared" si="8"/>
        <v>33146.032930517533</v>
      </c>
      <c r="I39" s="101">
        <f t="shared" si="9"/>
        <v>-1544508.255367016</v>
      </c>
      <c r="J39" s="102">
        <v>0</v>
      </c>
      <c r="K39" s="103">
        <f t="shared" si="2"/>
        <v>11588296.707265332</v>
      </c>
    </row>
    <row r="40" spans="1:11" x14ac:dyDescent="0.2">
      <c r="A40" s="100">
        <f t="shared" si="3"/>
        <v>8</v>
      </c>
      <c r="B40" s="101">
        <f t="shared" si="4"/>
        <v>408.6755963699199</v>
      </c>
      <c r="C40" s="101">
        <f t="shared" si="0"/>
        <v>11588296.707265332</v>
      </c>
      <c r="D40" s="102">
        <f t="shared" si="5"/>
        <v>0</v>
      </c>
      <c r="E40" s="101">
        <f t="shared" si="6"/>
        <v>871439.91238635289</v>
      </c>
      <c r="F40" s="101">
        <f t="shared" si="1"/>
        <v>-130715.98685795293</v>
      </c>
      <c r="G40" s="101">
        <f t="shared" si="7"/>
        <v>-202283.68715813666</v>
      </c>
      <c r="H40" s="101">
        <f t="shared" si="8"/>
        <v>30342.553073720497</v>
      </c>
      <c r="I40" s="101">
        <f t="shared" si="9"/>
        <v>-1429532.2818082513</v>
      </c>
      <c r="J40" s="102">
        <v>0</v>
      </c>
      <c r="K40" s="103">
        <f t="shared" si="2"/>
        <v>10727547.216901064</v>
      </c>
    </row>
    <row r="41" spans="1:11" x14ac:dyDescent="0.2">
      <c r="A41" s="100">
        <f t="shared" si="3"/>
        <v>9</v>
      </c>
      <c r="B41" s="101">
        <f t="shared" si="4"/>
        <v>359.63452480552951</v>
      </c>
      <c r="C41" s="101">
        <f t="shared" si="0"/>
        <v>10727547.216901064</v>
      </c>
      <c r="D41" s="102">
        <f t="shared" si="5"/>
        <v>0</v>
      </c>
      <c r="E41" s="101">
        <f t="shared" si="6"/>
        <v>806711.55071095994</v>
      </c>
      <c r="F41" s="101">
        <f t="shared" si="1"/>
        <v>-121006.73260664399</v>
      </c>
      <c r="G41" s="101">
        <f t="shared" si="7"/>
        <v>-185280.08087972653</v>
      </c>
      <c r="H41" s="101">
        <f t="shared" si="8"/>
        <v>27792.012131958978</v>
      </c>
      <c r="I41" s="101">
        <f t="shared" si="9"/>
        <v>-1323350.2246769152</v>
      </c>
      <c r="J41" s="102">
        <v>0</v>
      </c>
      <c r="K41" s="103">
        <f t="shared" si="2"/>
        <v>9932413.7415806968</v>
      </c>
    </row>
    <row r="42" spans="1:11" x14ac:dyDescent="0.2">
      <c r="A42" s="104">
        <f t="shared" si="3"/>
        <v>10</v>
      </c>
      <c r="B42" s="105">
        <f t="shared" si="4"/>
        <v>316.47838182886596</v>
      </c>
      <c r="C42" s="105">
        <f t="shared" si="0"/>
        <v>9932413.7415806968</v>
      </c>
      <c r="D42" s="106">
        <f t="shared" si="5"/>
        <v>0</v>
      </c>
      <c r="E42" s="105">
        <f t="shared" si="6"/>
        <v>746917.51336686837</v>
      </c>
      <c r="F42" s="105">
        <f t="shared" si="1"/>
        <v>-112037.62700503026</v>
      </c>
      <c r="G42" s="105">
        <f t="shared" si="7"/>
        <v>-169799.95375035206</v>
      </c>
      <c r="H42" s="105">
        <f t="shared" si="8"/>
        <v>25469.993062552807</v>
      </c>
      <c r="I42" s="105">
        <f t="shared" si="9"/>
        <v>-1225262.5591613946</v>
      </c>
      <c r="J42" s="106">
        <f>-(SUM(C42:I42))</f>
        <v>-9197701.1080933418</v>
      </c>
      <c r="K42" s="107">
        <f>SUM(C42:J42)</f>
        <v>0</v>
      </c>
    </row>
    <row r="45" spans="1:11" s="12" customFormat="1" ht="38.25" x14ac:dyDescent="0.2">
      <c r="A45" s="150" t="s">
        <v>11</v>
      </c>
      <c r="B45" s="152" t="s">
        <v>165</v>
      </c>
      <c r="C45" s="152" t="s">
        <v>182</v>
      </c>
      <c r="D45" s="152" t="s">
        <v>183</v>
      </c>
      <c r="E45" s="152" t="s">
        <v>128</v>
      </c>
      <c r="F45" s="152" t="s">
        <v>129</v>
      </c>
      <c r="G45" s="152" t="s">
        <v>184</v>
      </c>
      <c r="H45" s="152" t="s">
        <v>32</v>
      </c>
      <c r="I45" s="152" t="s">
        <v>34</v>
      </c>
      <c r="J45" s="152" t="s">
        <v>131</v>
      </c>
      <c r="K45" s="153" t="s">
        <v>64</v>
      </c>
    </row>
    <row r="46" spans="1:11" x14ac:dyDescent="0.2">
      <c r="A46" s="100">
        <v>1</v>
      </c>
      <c r="B46" s="101">
        <f>C33*$B$27</f>
        <v>200000</v>
      </c>
      <c r="C46" s="101">
        <f t="shared" ref="C46:C55" si="10">K33*$B$27</f>
        <v>184879.29599999997</v>
      </c>
      <c r="D46" s="102">
        <f>B46*$B$24</f>
        <v>8000</v>
      </c>
      <c r="E46" s="101">
        <f>-G33</f>
        <v>380318.11764705885</v>
      </c>
      <c r="F46" s="101">
        <f t="shared" ref="F46:F55" si="11">-$B$17*B33-$B$18*(C33+D33+K33)/2</f>
        <v>-286683.61279999994</v>
      </c>
      <c r="G46" s="101">
        <f>-$B$21*D46</f>
        <v>-2400</v>
      </c>
      <c r="H46" s="101">
        <f>-E46*($B$21)</f>
        <v>-114095.43529411765</v>
      </c>
      <c r="I46" s="101">
        <f>-$B$21*F46</f>
        <v>86005.083839999977</v>
      </c>
      <c r="J46" s="161">
        <f>SUM(D46:I46)+B46-C46</f>
        <v>86264.857392941252</v>
      </c>
      <c r="K46" s="162">
        <f>-(SUM(G46:I46))*0.7</f>
        <v>21343.246017882368</v>
      </c>
    </row>
    <row r="47" spans="1:11" x14ac:dyDescent="0.2">
      <c r="A47" s="100">
        <f t="shared" ref="A47:A55" si="12">A46+1</f>
        <v>2</v>
      </c>
      <c r="B47" s="101">
        <f t="shared" ref="B47:B55" si="13">C34*$B$27</f>
        <v>184879.29599999997</v>
      </c>
      <c r="C47" s="101">
        <f t="shared" si="10"/>
        <v>170941.72727927807</v>
      </c>
      <c r="D47" s="102">
        <f t="shared" ref="D47:D55" si="14">B47*$B$24</f>
        <v>7395.1718399999991</v>
      </c>
      <c r="E47" s="101">
        <f t="shared" ref="E47:E55" si="15">-G34</f>
        <v>346863.92546846112</v>
      </c>
      <c r="F47" s="101">
        <f t="shared" si="11"/>
        <v>-261701.56280360292</v>
      </c>
      <c r="G47" s="101">
        <f t="shared" ref="G47:G55" si="16">-$B$21*D47</f>
        <v>-2218.5515519999994</v>
      </c>
      <c r="H47" s="101">
        <f t="shared" ref="H47:H55" si="17">-E47*($B$21)</f>
        <v>-104059.17764053833</v>
      </c>
      <c r="I47" s="101">
        <f t="shared" ref="I47:I55" si="18">-$B$21*F47</f>
        <v>78510.468841080874</v>
      </c>
      <c r="J47" s="102">
        <f t="shared" ref="J47:J55" si="19">SUM(D47:I47)+B47-C47</f>
        <v>78727.842874122667</v>
      </c>
      <c r="K47" s="103">
        <f t="shared" ref="K47:K55" si="20">-(SUM(G47:I47))*0.7</f>
        <v>19437.082246020218</v>
      </c>
    </row>
    <row r="48" spans="1:11" x14ac:dyDescent="0.2">
      <c r="A48" s="100">
        <f t="shared" si="12"/>
        <v>3</v>
      </c>
      <c r="B48" s="101">
        <f t="shared" si="13"/>
        <v>170941.72727927807</v>
      </c>
      <c r="C48" s="101">
        <f t="shared" si="10"/>
        <v>158090.20875484138</v>
      </c>
      <c r="D48" s="102">
        <f t="shared" si="14"/>
        <v>6837.669091171123</v>
      </c>
      <c r="E48" s="101">
        <f t="shared" si="15"/>
        <v>316557.91234781238</v>
      </c>
      <c r="F48" s="101">
        <f t="shared" si="11"/>
        <v>-239047.56481876571</v>
      </c>
      <c r="G48" s="101">
        <f t="shared" si="16"/>
        <v>-2051.3007273513367</v>
      </c>
      <c r="H48" s="101">
        <f t="shared" si="17"/>
        <v>-94967.373704343714</v>
      </c>
      <c r="I48" s="101">
        <f t="shared" si="18"/>
        <v>71714.269445629703</v>
      </c>
      <c r="J48" s="102">
        <f t="shared" si="19"/>
        <v>71895.130158589134</v>
      </c>
      <c r="K48" s="103">
        <f t="shared" si="20"/>
        <v>17713.083490245743</v>
      </c>
    </row>
    <row r="49" spans="1:11" x14ac:dyDescent="0.2">
      <c r="A49" s="100">
        <f t="shared" si="12"/>
        <v>4</v>
      </c>
      <c r="B49" s="101">
        <f t="shared" si="13"/>
        <v>158090.20875484138</v>
      </c>
      <c r="C49" s="101">
        <f t="shared" si="10"/>
        <v>146236.11363483735</v>
      </c>
      <c r="D49" s="102">
        <f t="shared" si="14"/>
        <v>6323.6083501936555</v>
      </c>
      <c r="E49" s="101">
        <f t="shared" si="15"/>
        <v>289083.8954842668</v>
      </c>
      <c r="F49" s="101">
        <f t="shared" si="11"/>
        <v>-218489.8773143233</v>
      </c>
      <c r="G49" s="101">
        <f t="shared" si="16"/>
        <v>-1897.0825050580966</v>
      </c>
      <c r="H49" s="101">
        <f t="shared" si="17"/>
        <v>-86725.168645280035</v>
      </c>
      <c r="I49" s="101">
        <f t="shared" si="18"/>
        <v>65546.963194296986</v>
      </c>
      <c r="J49" s="102">
        <f t="shared" si="19"/>
        <v>65696.433684100048</v>
      </c>
      <c r="K49" s="103">
        <f t="shared" si="20"/>
        <v>16152.701569228795</v>
      </c>
    </row>
    <row r="50" spans="1:11" x14ac:dyDescent="0.2">
      <c r="A50" s="100">
        <f t="shared" si="12"/>
        <v>5</v>
      </c>
      <c r="B50" s="101">
        <f t="shared" si="13"/>
        <v>146236.11363483735</v>
      </c>
      <c r="C50" s="101">
        <f t="shared" si="10"/>
        <v>135298.48538028044</v>
      </c>
      <c r="D50" s="102">
        <f t="shared" si="14"/>
        <v>5849.4445453934941</v>
      </c>
      <c r="E50" s="101">
        <f t="shared" si="15"/>
        <v>264159.25412967033</v>
      </c>
      <c r="F50" s="101">
        <f t="shared" si="11"/>
        <v>-199821.18145831479</v>
      </c>
      <c r="G50" s="101">
        <f t="shared" si="16"/>
        <v>-1754.8333636180482</v>
      </c>
      <c r="H50" s="101">
        <f t="shared" si="17"/>
        <v>-79247.77623890109</v>
      </c>
      <c r="I50" s="101">
        <f t="shared" si="18"/>
        <v>59946.354437494432</v>
      </c>
      <c r="J50" s="102">
        <f t="shared" si="19"/>
        <v>60068.890306281246</v>
      </c>
      <c r="K50" s="103">
        <f t="shared" si="20"/>
        <v>14739.378615517291</v>
      </c>
    </row>
    <row r="51" spans="1:11" x14ac:dyDescent="0.2">
      <c r="A51" s="100">
        <f t="shared" si="12"/>
        <v>6</v>
      </c>
      <c r="B51" s="101">
        <f t="shared" si="13"/>
        <v>135298.48538028044</v>
      </c>
      <c r="C51" s="101">
        <f t="shared" si="10"/>
        <v>125203.32809395395</v>
      </c>
      <c r="D51" s="102">
        <f t="shared" si="14"/>
        <v>5411.9394152112181</v>
      </c>
      <c r="E51" s="101">
        <f t="shared" si="15"/>
        <v>241531.21356736569</v>
      </c>
      <c r="F51" s="101">
        <f t="shared" si="11"/>
        <v>-182855.89117082889</v>
      </c>
      <c r="G51" s="101">
        <f t="shared" si="16"/>
        <v>-1623.5818245633654</v>
      </c>
      <c r="H51" s="101">
        <f t="shared" si="17"/>
        <v>-72459.364070209704</v>
      </c>
      <c r="I51" s="101">
        <f t="shared" si="18"/>
        <v>54856.767351248665</v>
      </c>
      <c r="J51" s="102">
        <f t="shared" si="19"/>
        <v>54956.240554550081</v>
      </c>
      <c r="K51" s="103">
        <f t="shared" si="20"/>
        <v>13458.324980467085</v>
      </c>
    </row>
    <row r="52" spans="1:11" x14ac:dyDescent="0.2">
      <c r="A52" s="100">
        <f t="shared" si="12"/>
        <v>7</v>
      </c>
      <c r="B52" s="101">
        <f t="shared" si="13"/>
        <v>125203.32809395395</v>
      </c>
      <c r="C52" s="101">
        <f t="shared" si="10"/>
        <v>115882.96707265332</v>
      </c>
      <c r="D52" s="102">
        <f t="shared" si="14"/>
        <v>5008.133123758158</v>
      </c>
      <c r="E52" s="101">
        <f t="shared" si="15"/>
        <v>220973.5528701169</v>
      </c>
      <c r="F52" s="101">
        <f t="shared" si="11"/>
        <v>-167427.76885043399</v>
      </c>
      <c r="G52" s="101">
        <f t="shared" si="16"/>
        <v>-1502.4399371274474</v>
      </c>
      <c r="H52" s="101">
        <f t="shared" si="17"/>
        <v>-66292.065861035066</v>
      </c>
      <c r="I52" s="101">
        <f t="shared" si="18"/>
        <v>50228.330655130194</v>
      </c>
      <c r="J52" s="102">
        <f t="shared" si="19"/>
        <v>50308.103021709394</v>
      </c>
      <c r="K52" s="103">
        <f t="shared" si="20"/>
        <v>12296.322600122623</v>
      </c>
    </row>
    <row r="53" spans="1:11" x14ac:dyDescent="0.2">
      <c r="A53" s="100">
        <f t="shared" si="12"/>
        <v>8</v>
      </c>
      <c r="B53" s="101">
        <f t="shared" si="13"/>
        <v>115882.96707265332</v>
      </c>
      <c r="C53" s="101">
        <f t="shared" si="10"/>
        <v>107275.47216901064</v>
      </c>
      <c r="D53" s="102">
        <f t="shared" si="14"/>
        <v>4635.3186829061333</v>
      </c>
      <c r="E53" s="101">
        <f t="shared" si="15"/>
        <v>202283.68715813666</v>
      </c>
      <c r="F53" s="101">
        <f t="shared" si="11"/>
        <v>-153387.81131065916</v>
      </c>
      <c r="G53" s="101">
        <f t="shared" si="16"/>
        <v>-1390.5956048718399</v>
      </c>
      <c r="H53" s="101">
        <f t="shared" si="17"/>
        <v>-60685.106147440994</v>
      </c>
      <c r="I53" s="101">
        <f t="shared" si="18"/>
        <v>46016.343393197749</v>
      </c>
      <c r="J53" s="102">
        <f t="shared" si="19"/>
        <v>46079.331074911228</v>
      </c>
      <c r="K53" s="103">
        <f t="shared" si="20"/>
        <v>11241.550851380556</v>
      </c>
    </row>
    <row r="54" spans="1:11" x14ac:dyDescent="0.2">
      <c r="A54" s="100">
        <f t="shared" si="12"/>
        <v>9</v>
      </c>
      <c r="B54" s="101">
        <f t="shared" si="13"/>
        <v>107275.47216901064</v>
      </c>
      <c r="C54" s="101">
        <f t="shared" si="10"/>
        <v>99324.137415806967</v>
      </c>
      <c r="D54" s="102">
        <f t="shared" si="14"/>
        <v>4291.0188867604256</v>
      </c>
      <c r="E54" s="101">
        <f t="shared" si="15"/>
        <v>185280.08087972653</v>
      </c>
      <c r="F54" s="101">
        <f t="shared" si="11"/>
        <v>-140602.37463206437</v>
      </c>
      <c r="G54" s="101">
        <f t="shared" si="16"/>
        <v>-1287.3056660281277</v>
      </c>
      <c r="H54" s="101">
        <f t="shared" si="17"/>
        <v>-55584.024263917956</v>
      </c>
      <c r="I54" s="101">
        <f t="shared" si="18"/>
        <v>42180.712389619308</v>
      </c>
      <c r="J54" s="102">
        <f t="shared" si="19"/>
        <v>42229.442347299482</v>
      </c>
      <c r="K54" s="103">
        <f t="shared" si="20"/>
        <v>10283.432278228744</v>
      </c>
    </row>
    <row r="55" spans="1:11" x14ac:dyDescent="0.2">
      <c r="A55" s="104">
        <f t="shared" si="12"/>
        <v>10</v>
      </c>
      <c r="B55" s="105">
        <f t="shared" si="13"/>
        <v>99324.137415806967</v>
      </c>
      <c r="C55" s="105">
        <f t="shared" si="10"/>
        <v>0</v>
      </c>
      <c r="D55" s="106">
        <f t="shared" si="14"/>
        <v>3972.9654966322787</v>
      </c>
      <c r="E55" s="105">
        <f t="shared" si="15"/>
        <v>169799.95375035206</v>
      </c>
      <c r="F55" s="105">
        <f t="shared" si="11"/>
        <v>-78364.154215858784</v>
      </c>
      <c r="G55" s="105">
        <f t="shared" si="16"/>
        <v>-1191.8896489896836</v>
      </c>
      <c r="H55" s="105">
        <f t="shared" si="17"/>
        <v>-50939.986125105614</v>
      </c>
      <c r="I55" s="105">
        <f t="shared" si="18"/>
        <v>23509.246264757636</v>
      </c>
      <c r="J55" s="106">
        <f t="shared" si="19"/>
        <v>166110.27293759485</v>
      </c>
      <c r="K55" s="107">
        <f t="shared" si="20"/>
        <v>20035.840656536366</v>
      </c>
    </row>
    <row r="59" spans="1:11" x14ac:dyDescent="0.2">
      <c r="A59" s="9" t="s">
        <v>37</v>
      </c>
      <c r="B59" s="15">
        <f>B3</f>
        <v>2000000</v>
      </c>
    </row>
    <row r="60" spans="1:11" x14ac:dyDescent="0.2">
      <c r="A60" s="9" t="s">
        <v>38</v>
      </c>
      <c r="B60" s="15">
        <f>NPV(B14,J46:J55)</f>
        <v>404714.51898068038</v>
      </c>
    </row>
    <row r="61" spans="1:11" x14ac:dyDescent="0.2">
      <c r="A61" s="9" t="s">
        <v>63</v>
      </c>
      <c r="B61" s="15">
        <f>NPV(B14,K46:K55)</f>
        <v>92868.493938221436</v>
      </c>
    </row>
    <row r="62" spans="1:11" ht="13.5" thickBot="1" x14ac:dyDescent="0.25">
      <c r="A62" s="9" t="s">
        <v>43</v>
      </c>
      <c r="B62" s="16">
        <f>SUM(B59:B61)</f>
        <v>2497583.0129189021</v>
      </c>
    </row>
    <row r="63" spans="1:11" ht="13.5" thickTop="1" x14ac:dyDescent="0.2"/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6"/>
  <sheetViews>
    <sheetView topLeftCell="A42" workbookViewId="0">
      <selection activeCell="A42" sqref="A42"/>
    </sheetView>
  </sheetViews>
  <sheetFormatPr defaultRowHeight="12.75" x14ac:dyDescent="0.2"/>
  <cols>
    <col min="1" max="1" width="20.85546875" customWidth="1"/>
    <col min="2" max="2" width="12.7109375" customWidth="1"/>
    <col min="3" max="3" width="13.85546875" customWidth="1"/>
    <col min="4" max="4" width="13" customWidth="1"/>
    <col min="5" max="9" width="13.7109375" customWidth="1"/>
    <col min="10" max="10" width="14.42578125" customWidth="1"/>
    <col min="11" max="11" width="15.5703125" customWidth="1"/>
    <col min="12" max="12" width="11.28515625" customWidth="1"/>
    <col min="13" max="13" width="11.85546875" customWidth="1"/>
  </cols>
  <sheetData>
    <row r="3" spans="1:3" x14ac:dyDescent="0.2">
      <c r="A3" t="s">
        <v>37</v>
      </c>
      <c r="B3" s="145">
        <f>'Investment Product'!B59*1.04</f>
        <v>2080000</v>
      </c>
    </row>
    <row r="4" spans="1:3" x14ac:dyDescent="0.2">
      <c r="A4" t="s">
        <v>40</v>
      </c>
      <c r="B4" s="145">
        <f>'Investment Product'!K33</f>
        <v>18487929.599999998</v>
      </c>
      <c r="C4" s="8"/>
    </row>
    <row r="5" spans="1:3" x14ac:dyDescent="0.2">
      <c r="A5" s="9" t="s">
        <v>157</v>
      </c>
      <c r="B5" s="95">
        <v>9</v>
      </c>
      <c r="C5" t="s">
        <v>44</v>
      </c>
    </row>
    <row r="7" spans="1:3" x14ac:dyDescent="0.2">
      <c r="A7" t="s">
        <v>1</v>
      </c>
      <c r="B7" s="108">
        <v>0</v>
      </c>
      <c r="C7" t="s">
        <v>15</v>
      </c>
    </row>
    <row r="8" spans="1:3" x14ac:dyDescent="0.2">
      <c r="A8" t="s">
        <v>0</v>
      </c>
      <c r="B8" s="145">
        <f>'Investment Product'!B34</f>
        <v>880</v>
      </c>
    </row>
    <row r="10" spans="1:3" x14ac:dyDescent="0.2">
      <c r="A10" t="s">
        <v>2</v>
      </c>
    </row>
    <row r="11" spans="1:3" x14ac:dyDescent="0.2">
      <c r="A11" t="s">
        <v>3</v>
      </c>
      <c r="B11" s="109">
        <v>90</v>
      </c>
      <c r="C11" t="s">
        <v>24</v>
      </c>
    </row>
    <row r="12" spans="1:3" x14ac:dyDescent="0.2">
      <c r="A12" s="2" t="s">
        <v>4</v>
      </c>
      <c r="B12" s="110">
        <v>1.2E-2</v>
      </c>
      <c r="C12" t="s">
        <v>25</v>
      </c>
    </row>
    <row r="14" spans="1:3" x14ac:dyDescent="0.2">
      <c r="A14" t="s">
        <v>5</v>
      </c>
      <c r="B14" s="111">
        <v>0.12</v>
      </c>
    </row>
    <row r="16" spans="1:3" x14ac:dyDescent="0.2">
      <c r="A16" t="s">
        <v>6</v>
      </c>
    </row>
    <row r="17" spans="1:3" x14ac:dyDescent="0.2">
      <c r="A17" t="s">
        <v>7</v>
      </c>
      <c r="B17" s="112">
        <f>75+5*0</f>
        <v>75</v>
      </c>
      <c r="C17" t="s">
        <v>26</v>
      </c>
    </row>
    <row r="18" spans="1:3" x14ac:dyDescent="0.2">
      <c r="A18" t="s">
        <v>8</v>
      </c>
      <c r="B18" s="110">
        <v>1.0999999999999999E-2</v>
      </c>
      <c r="C18" t="s">
        <v>27</v>
      </c>
    </row>
    <row r="20" spans="1:3" x14ac:dyDescent="0.2">
      <c r="A20" t="s">
        <v>9</v>
      </c>
      <c r="B20" s="111">
        <v>0.15</v>
      </c>
    </row>
    <row r="21" spans="1:3" x14ac:dyDescent="0.2">
      <c r="A21" t="s">
        <v>10</v>
      </c>
      <c r="B21" s="111">
        <v>0.3</v>
      </c>
    </row>
    <row r="22" spans="1:3" x14ac:dyDescent="0.2">
      <c r="B22" s="3"/>
    </row>
    <row r="23" spans="1:3" x14ac:dyDescent="0.2">
      <c r="A23" t="s">
        <v>192</v>
      </c>
      <c r="B23" s="111">
        <v>0.08</v>
      </c>
    </row>
    <row r="24" spans="1:3" x14ac:dyDescent="0.2">
      <c r="A24" t="s">
        <v>191</v>
      </c>
      <c r="B24" s="3">
        <v>0.04</v>
      </c>
    </row>
    <row r="25" spans="1:3" x14ac:dyDescent="0.2">
      <c r="A25" t="s">
        <v>13</v>
      </c>
      <c r="B25" s="111">
        <v>0.12</v>
      </c>
      <c r="C25" t="s">
        <v>16</v>
      </c>
    </row>
    <row r="26" spans="1:3" x14ac:dyDescent="0.2">
      <c r="B26" s="3"/>
    </row>
    <row r="27" spans="1:3" x14ac:dyDescent="0.2">
      <c r="A27" t="s">
        <v>164</v>
      </c>
      <c r="B27" s="111">
        <v>0.01</v>
      </c>
    </row>
    <row r="28" spans="1:3" x14ac:dyDescent="0.2">
      <c r="B28" s="3"/>
    </row>
    <row r="29" spans="1:3" x14ac:dyDescent="0.2">
      <c r="A29" t="s">
        <v>39</v>
      </c>
      <c r="B29" s="3"/>
    </row>
    <row r="30" spans="1:3" x14ac:dyDescent="0.2">
      <c r="A30" t="s">
        <v>17</v>
      </c>
      <c r="B30" s="3"/>
    </row>
    <row r="33" spans="1:11" ht="37.5" customHeight="1" x14ac:dyDescent="0.2">
      <c r="A33" s="150" t="s">
        <v>11</v>
      </c>
      <c r="B33" s="152" t="s">
        <v>18</v>
      </c>
      <c r="C33" s="152" t="s">
        <v>19</v>
      </c>
      <c r="D33" s="152" t="s">
        <v>14</v>
      </c>
      <c r="E33" s="152" t="s">
        <v>21</v>
      </c>
      <c r="F33" s="152" t="s">
        <v>22</v>
      </c>
      <c r="G33" s="152" t="s">
        <v>28</v>
      </c>
      <c r="H33" s="152" t="s">
        <v>35</v>
      </c>
      <c r="I33" s="152" t="s">
        <v>23</v>
      </c>
      <c r="J33" s="152" t="s">
        <v>42</v>
      </c>
      <c r="K33" s="153" t="s">
        <v>20</v>
      </c>
    </row>
    <row r="34" spans="1:11" x14ac:dyDescent="0.2">
      <c r="A34" s="148">
        <v>1</v>
      </c>
      <c r="B34" s="167">
        <f>B8</f>
        <v>880</v>
      </c>
      <c r="C34" s="167">
        <f>$B$4</f>
        <v>18487929.599999998</v>
      </c>
      <c r="D34" s="168">
        <f>$B$7/$B$8*B34</f>
        <v>0</v>
      </c>
      <c r="E34" s="167">
        <f>(C34+D34)*$B$23*(1-$B$25/2)</f>
        <v>1390292.3059199997</v>
      </c>
      <c r="F34" s="167">
        <f>-E34*$B$20</f>
        <v>-208543.84588799995</v>
      </c>
      <c r="G34" s="167">
        <f>(-(C34+D34)*$B$12*(1+$B$23/2*(1-$B$20))*(1-$B$25/2)-$B$11*B34)/(1-$B$20)</f>
        <v>-346863.92546846112</v>
      </c>
      <c r="H34" s="167">
        <f>-G34*$B$20</f>
        <v>52029.588820269164</v>
      </c>
      <c r="I34" s="167">
        <f>-(C34+D34)*(1+$B$23*(1-$B$20)/2-$B$12/2)*$B$25</f>
        <v>-2280670.9954559994</v>
      </c>
      <c r="J34" s="169">
        <v>0</v>
      </c>
      <c r="K34" s="170">
        <f>SUM(C34:J34)</f>
        <v>17094172.727927808</v>
      </c>
    </row>
    <row r="35" spans="1:11" x14ac:dyDescent="0.2">
      <c r="A35" s="148">
        <f>A34+1</f>
        <v>2</v>
      </c>
      <c r="B35" s="167">
        <f>B34*(1-$B$25)</f>
        <v>774.4</v>
      </c>
      <c r="C35" s="167">
        <f t="shared" ref="C35:C42" si="0">K34</f>
        <v>17094172.727927808</v>
      </c>
      <c r="D35" s="168">
        <f>$B$7/$B$8*B35</f>
        <v>0</v>
      </c>
      <c r="E35" s="167">
        <f>(C35+D35)*$B$23*(1-$B$25/2)</f>
        <v>1285481.7891401711</v>
      </c>
      <c r="F35" s="167">
        <f t="shared" ref="F35:F42" si="1">-E35*$B$20</f>
        <v>-192822.26837102565</v>
      </c>
      <c r="G35" s="167">
        <f>(-(C35+D35)*$B$12*(1+$B$23/2*(1-$B$20))*(1-$B$25/2)-$B$11*B35)/(1-$B$20)</f>
        <v>-316557.91234781238</v>
      </c>
      <c r="H35" s="167">
        <f>-G35*$B$20</f>
        <v>47483.686852171857</v>
      </c>
      <c r="I35" s="167">
        <f>-(C35+D35)*(1+$B$23*(1-$B$20)/2-$B$12/2)*$B$25</f>
        <v>-2108737.1477171741</v>
      </c>
      <c r="J35" s="169">
        <v>0</v>
      </c>
      <c r="K35" s="170">
        <f t="shared" ref="K35:K42" si="2">SUM(C35:J35)</f>
        <v>15809020.875484139</v>
      </c>
    </row>
    <row r="36" spans="1:11" x14ac:dyDescent="0.2">
      <c r="A36" s="148">
        <f t="shared" ref="A36:A42" si="3">A35+1</f>
        <v>3</v>
      </c>
      <c r="B36" s="167">
        <f t="shared" ref="B36:B42" si="4">B35*(1-$B$25)</f>
        <v>681.47199999999998</v>
      </c>
      <c r="C36" s="167">
        <f t="shared" si="0"/>
        <v>15809020.875484139</v>
      </c>
      <c r="D36" s="168">
        <f t="shared" ref="D36:D42" si="5">$B$7/$B$8*B36</f>
        <v>0</v>
      </c>
      <c r="E36" s="167">
        <f t="shared" ref="E36:E42" si="6">(C36+D36)*$B$23*(1-$B$25/2)</f>
        <v>1188838.3698364072</v>
      </c>
      <c r="F36" s="167">
        <f t="shared" si="1"/>
        <v>-178325.75547546108</v>
      </c>
      <c r="G36" s="167">
        <f t="shared" ref="G36:G42" si="7">(-(C36+D36)*$B$12*(1+$B$23/2*(1-$B$20))*(1-$B$25/2)-$B$11*B36)/(1-$B$20)</f>
        <v>-289083.8954842668</v>
      </c>
      <c r="H36" s="167">
        <f t="shared" ref="H36:H42" si="8">-G36*$B$20</f>
        <v>43362.584322640017</v>
      </c>
      <c r="I36" s="167">
        <f t="shared" ref="I36:I42" si="9">-(C36+D36)*(1+$B$23*(1-$B$20)/2-$B$12/2)*$B$25</f>
        <v>-1950200.8151997232</v>
      </c>
      <c r="J36" s="169">
        <v>0</v>
      </c>
      <c r="K36" s="170">
        <f t="shared" si="2"/>
        <v>14623611.363483736</v>
      </c>
    </row>
    <row r="37" spans="1:11" x14ac:dyDescent="0.2">
      <c r="A37" s="148">
        <f t="shared" si="3"/>
        <v>4</v>
      </c>
      <c r="B37" s="167">
        <f t="shared" si="4"/>
        <v>599.69535999999994</v>
      </c>
      <c r="C37" s="167">
        <f t="shared" si="0"/>
        <v>14623611.363483736</v>
      </c>
      <c r="D37" s="168">
        <f t="shared" si="5"/>
        <v>0</v>
      </c>
      <c r="E37" s="167">
        <f t="shared" si="6"/>
        <v>1099695.5745339768</v>
      </c>
      <c r="F37" s="167">
        <f t="shared" si="1"/>
        <v>-164954.33618009652</v>
      </c>
      <c r="G37" s="167">
        <f t="shared" si="7"/>
        <v>-264159.25412967033</v>
      </c>
      <c r="H37" s="167">
        <f t="shared" si="8"/>
        <v>39623.888119450545</v>
      </c>
      <c r="I37" s="167">
        <f t="shared" si="9"/>
        <v>-1803968.6977993536</v>
      </c>
      <c r="J37" s="169">
        <v>0</v>
      </c>
      <c r="K37" s="170">
        <f t="shared" si="2"/>
        <v>13529848.538028043</v>
      </c>
    </row>
    <row r="38" spans="1:11" x14ac:dyDescent="0.2">
      <c r="A38" s="148">
        <f t="shared" si="3"/>
        <v>5</v>
      </c>
      <c r="B38" s="167">
        <f t="shared" si="4"/>
        <v>527.73191679999991</v>
      </c>
      <c r="C38" s="167">
        <f t="shared" si="0"/>
        <v>13529848.538028043</v>
      </c>
      <c r="D38" s="168">
        <f t="shared" si="5"/>
        <v>0</v>
      </c>
      <c r="E38" s="167">
        <f t="shared" si="6"/>
        <v>1017444.6100597088</v>
      </c>
      <c r="F38" s="167">
        <f t="shared" si="1"/>
        <v>-152616.69150895631</v>
      </c>
      <c r="G38" s="167">
        <f t="shared" si="7"/>
        <v>-241531.21356736569</v>
      </c>
      <c r="H38" s="167">
        <f t="shared" si="8"/>
        <v>36229.682035104852</v>
      </c>
      <c r="I38" s="167">
        <f t="shared" si="9"/>
        <v>-1669042.1156511393</v>
      </c>
      <c r="J38" s="169">
        <v>0</v>
      </c>
      <c r="K38" s="170">
        <f t="shared" si="2"/>
        <v>12520332.809395395</v>
      </c>
    </row>
    <row r="39" spans="1:11" x14ac:dyDescent="0.2">
      <c r="A39" s="148">
        <f t="shared" si="3"/>
        <v>6</v>
      </c>
      <c r="B39" s="167">
        <f t="shared" si="4"/>
        <v>464.4040867839999</v>
      </c>
      <c r="C39" s="167">
        <f t="shared" si="0"/>
        <v>12520332.809395395</v>
      </c>
      <c r="D39" s="168">
        <f t="shared" si="5"/>
        <v>0</v>
      </c>
      <c r="E39" s="167">
        <f t="shared" si="6"/>
        <v>941529.0272665337</v>
      </c>
      <c r="F39" s="167">
        <f t="shared" si="1"/>
        <v>-141229.35408998004</v>
      </c>
      <c r="G39" s="167">
        <f t="shared" si="7"/>
        <v>-220973.5528701169</v>
      </c>
      <c r="H39" s="167">
        <f t="shared" si="8"/>
        <v>33146.032930517533</v>
      </c>
      <c r="I39" s="167">
        <f t="shared" si="9"/>
        <v>-1544508.255367016</v>
      </c>
      <c r="J39" s="169">
        <v>0</v>
      </c>
      <c r="K39" s="170">
        <f t="shared" si="2"/>
        <v>11588296.707265332</v>
      </c>
    </row>
    <row r="40" spans="1:11" x14ac:dyDescent="0.2">
      <c r="A40" s="148">
        <f t="shared" si="3"/>
        <v>7</v>
      </c>
      <c r="B40" s="167">
        <f t="shared" si="4"/>
        <v>408.6755963699199</v>
      </c>
      <c r="C40" s="167">
        <f t="shared" si="0"/>
        <v>11588296.707265332</v>
      </c>
      <c r="D40" s="168">
        <f t="shared" si="5"/>
        <v>0</v>
      </c>
      <c r="E40" s="167">
        <f t="shared" si="6"/>
        <v>871439.91238635289</v>
      </c>
      <c r="F40" s="167">
        <f t="shared" si="1"/>
        <v>-130715.98685795293</v>
      </c>
      <c r="G40" s="167">
        <f t="shared" si="7"/>
        <v>-202283.68715813666</v>
      </c>
      <c r="H40" s="167">
        <f t="shared" si="8"/>
        <v>30342.553073720497</v>
      </c>
      <c r="I40" s="167">
        <f t="shared" si="9"/>
        <v>-1429532.2818082513</v>
      </c>
      <c r="J40" s="169">
        <v>0</v>
      </c>
      <c r="K40" s="170">
        <f t="shared" si="2"/>
        <v>10727547.216901064</v>
      </c>
    </row>
    <row r="41" spans="1:11" x14ac:dyDescent="0.2">
      <c r="A41" s="148">
        <f t="shared" si="3"/>
        <v>8</v>
      </c>
      <c r="B41" s="167">
        <f t="shared" si="4"/>
        <v>359.63452480552951</v>
      </c>
      <c r="C41" s="167">
        <f t="shared" si="0"/>
        <v>10727547.216901064</v>
      </c>
      <c r="D41" s="168">
        <f t="shared" si="5"/>
        <v>0</v>
      </c>
      <c r="E41" s="167">
        <f t="shared" si="6"/>
        <v>806711.55071095994</v>
      </c>
      <c r="F41" s="167">
        <f t="shared" si="1"/>
        <v>-121006.73260664399</v>
      </c>
      <c r="G41" s="167">
        <f t="shared" si="7"/>
        <v>-185280.08087972653</v>
      </c>
      <c r="H41" s="167">
        <f t="shared" si="8"/>
        <v>27792.012131958978</v>
      </c>
      <c r="I41" s="167">
        <f t="shared" si="9"/>
        <v>-1323350.2246769152</v>
      </c>
      <c r="J41" s="169">
        <v>0</v>
      </c>
      <c r="K41" s="170">
        <f t="shared" si="2"/>
        <v>9932413.7415806968</v>
      </c>
    </row>
    <row r="42" spans="1:11" x14ac:dyDescent="0.2">
      <c r="A42" s="149">
        <f t="shared" si="3"/>
        <v>9</v>
      </c>
      <c r="B42" s="171">
        <f t="shared" si="4"/>
        <v>316.47838182886596</v>
      </c>
      <c r="C42" s="171">
        <f t="shared" si="0"/>
        <v>9932413.7415806968</v>
      </c>
      <c r="D42" s="172">
        <f t="shared" si="5"/>
        <v>0</v>
      </c>
      <c r="E42" s="171">
        <f t="shared" si="6"/>
        <v>746917.51336686837</v>
      </c>
      <c r="F42" s="171">
        <f t="shared" si="1"/>
        <v>-112037.62700503026</v>
      </c>
      <c r="G42" s="171">
        <f t="shared" si="7"/>
        <v>-169799.95375035206</v>
      </c>
      <c r="H42" s="171">
        <f t="shared" si="8"/>
        <v>25469.993062552807</v>
      </c>
      <c r="I42" s="171">
        <f t="shared" si="9"/>
        <v>-1225262.5591613946</v>
      </c>
      <c r="J42" s="172">
        <f>-(SUM(C42:I42))</f>
        <v>-9197701.1080933418</v>
      </c>
      <c r="K42" s="173">
        <f t="shared" si="2"/>
        <v>0</v>
      </c>
    </row>
    <row r="43" spans="1:11" x14ac:dyDescent="0.2">
      <c r="B43" s="1"/>
      <c r="C43" s="1"/>
      <c r="D43" s="4"/>
      <c r="E43" s="1"/>
      <c r="F43" s="1"/>
      <c r="G43" s="1"/>
      <c r="H43" s="1"/>
      <c r="I43" s="1"/>
      <c r="J43" s="4"/>
      <c r="K43" s="4"/>
    </row>
    <row r="47" spans="1:11" x14ac:dyDescent="0.2">
      <c r="A47" s="113"/>
      <c r="B47" s="114" t="s">
        <v>167</v>
      </c>
      <c r="C47" s="114" t="s">
        <v>167</v>
      </c>
      <c r="D47" s="114" t="s">
        <v>31</v>
      </c>
      <c r="E47" s="114"/>
      <c r="F47" s="114"/>
      <c r="G47" s="114" t="s">
        <v>33</v>
      </c>
      <c r="H47" s="114"/>
      <c r="I47" s="114"/>
      <c r="J47" s="114"/>
      <c r="K47" s="115"/>
    </row>
    <row r="48" spans="1:11" x14ac:dyDescent="0.2">
      <c r="A48" s="116" t="s">
        <v>11</v>
      </c>
      <c r="B48" s="117" t="s">
        <v>168</v>
      </c>
      <c r="C48" s="117" t="s">
        <v>169</v>
      </c>
      <c r="D48" s="117" t="s">
        <v>170</v>
      </c>
      <c r="E48" s="117" t="s">
        <v>29</v>
      </c>
      <c r="F48" s="117" t="s">
        <v>30</v>
      </c>
      <c r="G48" s="117" t="s">
        <v>170</v>
      </c>
      <c r="H48" s="117" t="s">
        <v>32</v>
      </c>
      <c r="I48" s="117" t="s">
        <v>34</v>
      </c>
      <c r="J48" s="117" t="s">
        <v>36</v>
      </c>
      <c r="K48" s="119" t="s">
        <v>64</v>
      </c>
    </row>
    <row r="49" spans="1:11" x14ac:dyDescent="0.2">
      <c r="A49" s="116">
        <v>1</v>
      </c>
      <c r="B49" s="120">
        <f>C34*$B$27</f>
        <v>184879.29599999997</v>
      </c>
      <c r="C49" s="120">
        <f t="shared" ref="C49:C57" si="10">K34*$B$27</f>
        <v>170941.72727927807</v>
      </c>
      <c r="D49" s="120">
        <f>B49*$B$24</f>
        <v>7395.1718399999991</v>
      </c>
      <c r="E49" s="120">
        <f>-G34</f>
        <v>346863.92546846112</v>
      </c>
      <c r="F49" s="121">
        <f t="shared" ref="F49:F57" si="11">-$B$17*B34-$B$18*(C34+D34+K34)/2</f>
        <v>-261701.56280360292</v>
      </c>
      <c r="G49" s="120">
        <f>-$B$21*D49</f>
        <v>-2218.5515519999994</v>
      </c>
      <c r="H49" s="121">
        <f>-E49*($B$21)</f>
        <v>-104059.17764053833</v>
      </c>
      <c r="I49" s="120">
        <f>-$B$21*F49</f>
        <v>78510.468841080874</v>
      </c>
      <c r="J49" s="120">
        <f>SUM(D49:I49)+B49-C49</f>
        <v>78727.842874122667</v>
      </c>
      <c r="K49" s="122">
        <f>-(SUM(G49:I49))*0.7</f>
        <v>19437.082246020218</v>
      </c>
    </row>
    <row r="50" spans="1:11" x14ac:dyDescent="0.2">
      <c r="A50" s="116">
        <f t="shared" ref="A50:A57" si="12">A49+1</f>
        <v>2</v>
      </c>
      <c r="B50" s="120">
        <f t="shared" ref="B50:B57" si="13">C35*$B$27</f>
        <v>170941.72727927807</v>
      </c>
      <c r="C50" s="120">
        <f t="shared" si="10"/>
        <v>158090.20875484138</v>
      </c>
      <c r="D50" s="120">
        <f t="shared" ref="D50:D57" si="14">B50*$B$24</f>
        <v>6837.669091171123</v>
      </c>
      <c r="E50" s="120">
        <f t="shared" ref="E50:E57" si="15">-G35</f>
        <v>316557.91234781238</v>
      </c>
      <c r="F50" s="121">
        <f t="shared" si="11"/>
        <v>-239047.56481876571</v>
      </c>
      <c r="G50" s="120">
        <f t="shared" ref="G50:G57" si="16">-$B$21*D50</f>
        <v>-2051.3007273513367</v>
      </c>
      <c r="H50" s="121">
        <f t="shared" ref="H50:H57" si="17">-E50*($B$21)</f>
        <v>-94967.373704343714</v>
      </c>
      <c r="I50" s="120">
        <f t="shared" ref="I50:I57" si="18">-$B$21*F50</f>
        <v>71714.269445629703</v>
      </c>
      <c r="J50" s="120">
        <f t="shared" ref="J50:J57" si="19">SUM(D50:I50)+B50-C50</f>
        <v>71895.130158589134</v>
      </c>
      <c r="K50" s="122">
        <f t="shared" ref="K50:K56" si="20">-(SUM(G50:I50))*0.7</f>
        <v>17713.083490245743</v>
      </c>
    </row>
    <row r="51" spans="1:11" x14ac:dyDescent="0.2">
      <c r="A51" s="116">
        <f t="shared" si="12"/>
        <v>3</v>
      </c>
      <c r="B51" s="120">
        <f t="shared" si="13"/>
        <v>158090.20875484138</v>
      </c>
      <c r="C51" s="120">
        <f t="shared" si="10"/>
        <v>146236.11363483735</v>
      </c>
      <c r="D51" s="120">
        <f t="shared" si="14"/>
        <v>6323.6083501936555</v>
      </c>
      <c r="E51" s="120">
        <f t="shared" si="15"/>
        <v>289083.8954842668</v>
      </c>
      <c r="F51" s="121">
        <f t="shared" si="11"/>
        <v>-218489.8773143233</v>
      </c>
      <c r="G51" s="120">
        <f t="shared" si="16"/>
        <v>-1897.0825050580966</v>
      </c>
      <c r="H51" s="121">
        <f t="shared" si="17"/>
        <v>-86725.168645280035</v>
      </c>
      <c r="I51" s="120">
        <f t="shared" si="18"/>
        <v>65546.963194296986</v>
      </c>
      <c r="J51" s="120">
        <f t="shared" si="19"/>
        <v>65696.433684100048</v>
      </c>
      <c r="K51" s="122">
        <f t="shared" si="20"/>
        <v>16152.701569228795</v>
      </c>
    </row>
    <row r="52" spans="1:11" x14ac:dyDescent="0.2">
      <c r="A52" s="116">
        <f t="shared" si="12"/>
        <v>4</v>
      </c>
      <c r="B52" s="120">
        <f t="shared" si="13"/>
        <v>146236.11363483735</v>
      </c>
      <c r="C52" s="120">
        <f t="shared" si="10"/>
        <v>135298.48538028044</v>
      </c>
      <c r="D52" s="120">
        <f t="shared" si="14"/>
        <v>5849.4445453934941</v>
      </c>
      <c r="E52" s="120">
        <f t="shared" si="15"/>
        <v>264159.25412967033</v>
      </c>
      <c r="F52" s="121">
        <f t="shared" si="11"/>
        <v>-199821.18145831479</v>
      </c>
      <c r="G52" s="120">
        <f t="shared" si="16"/>
        <v>-1754.8333636180482</v>
      </c>
      <c r="H52" s="121">
        <f t="shared" si="17"/>
        <v>-79247.77623890109</v>
      </c>
      <c r="I52" s="120">
        <f t="shared" si="18"/>
        <v>59946.354437494432</v>
      </c>
      <c r="J52" s="120">
        <f t="shared" si="19"/>
        <v>60068.890306281246</v>
      </c>
      <c r="K52" s="122">
        <f t="shared" si="20"/>
        <v>14739.378615517291</v>
      </c>
    </row>
    <row r="53" spans="1:11" x14ac:dyDescent="0.2">
      <c r="A53" s="116">
        <f t="shared" si="12"/>
        <v>5</v>
      </c>
      <c r="B53" s="120">
        <f t="shared" si="13"/>
        <v>135298.48538028044</v>
      </c>
      <c r="C53" s="120">
        <f t="shared" si="10"/>
        <v>125203.32809395395</v>
      </c>
      <c r="D53" s="120">
        <f t="shared" si="14"/>
        <v>5411.9394152112181</v>
      </c>
      <c r="E53" s="120">
        <f t="shared" si="15"/>
        <v>241531.21356736569</v>
      </c>
      <c r="F53" s="121">
        <f t="shared" si="11"/>
        <v>-182855.89117082889</v>
      </c>
      <c r="G53" s="120">
        <f t="shared" si="16"/>
        <v>-1623.5818245633654</v>
      </c>
      <c r="H53" s="121">
        <f t="shared" si="17"/>
        <v>-72459.364070209704</v>
      </c>
      <c r="I53" s="120">
        <f t="shared" si="18"/>
        <v>54856.767351248665</v>
      </c>
      <c r="J53" s="120">
        <f t="shared" si="19"/>
        <v>54956.240554550081</v>
      </c>
      <c r="K53" s="122">
        <f t="shared" si="20"/>
        <v>13458.324980467085</v>
      </c>
    </row>
    <row r="54" spans="1:11" x14ac:dyDescent="0.2">
      <c r="A54" s="116">
        <f t="shared" si="12"/>
        <v>6</v>
      </c>
      <c r="B54" s="120">
        <f t="shared" si="13"/>
        <v>125203.32809395395</v>
      </c>
      <c r="C54" s="120">
        <f t="shared" si="10"/>
        <v>115882.96707265332</v>
      </c>
      <c r="D54" s="120">
        <f t="shared" si="14"/>
        <v>5008.133123758158</v>
      </c>
      <c r="E54" s="120">
        <f t="shared" si="15"/>
        <v>220973.5528701169</v>
      </c>
      <c r="F54" s="121">
        <f t="shared" si="11"/>
        <v>-167427.76885043399</v>
      </c>
      <c r="G54" s="120">
        <f t="shared" si="16"/>
        <v>-1502.4399371274474</v>
      </c>
      <c r="H54" s="121">
        <f t="shared" si="17"/>
        <v>-66292.065861035066</v>
      </c>
      <c r="I54" s="120">
        <f t="shared" si="18"/>
        <v>50228.330655130194</v>
      </c>
      <c r="J54" s="120">
        <f t="shared" si="19"/>
        <v>50308.103021709394</v>
      </c>
      <c r="K54" s="122">
        <f t="shared" si="20"/>
        <v>12296.322600122623</v>
      </c>
    </row>
    <row r="55" spans="1:11" x14ac:dyDescent="0.2">
      <c r="A55" s="116">
        <f t="shared" si="12"/>
        <v>7</v>
      </c>
      <c r="B55" s="120">
        <f t="shared" si="13"/>
        <v>115882.96707265332</v>
      </c>
      <c r="C55" s="120">
        <f t="shared" si="10"/>
        <v>107275.47216901064</v>
      </c>
      <c r="D55" s="120">
        <f t="shared" si="14"/>
        <v>4635.3186829061333</v>
      </c>
      <c r="E55" s="120">
        <f t="shared" si="15"/>
        <v>202283.68715813666</v>
      </c>
      <c r="F55" s="121">
        <f t="shared" si="11"/>
        <v>-153387.81131065916</v>
      </c>
      <c r="G55" s="120">
        <f t="shared" si="16"/>
        <v>-1390.5956048718399</v>
      </c>
      <c r="H55" s="121">
        <f t="shared" si="17"/>
        <v>-60685.106147440994</v>
      </c>
      <c r="I55" s="120">
        <f t="shared" si="18"/>
        <v>46016.343393197749</v>
      </c>
      <c r="J55" s="120">
        <f t="shared" si="19"/>
        <v>46079.331074911228</v>
      </c>
      <c r="K55" s="122">
        <f t="shared" si="20"/>
        <v>11241.550851380556</v>
      </c>
    </row>
    <row r="56" spans="1:11" x14ac:dyDescent="0.2">
      <c r="A56" s="116">
        <f t="shared" si="12"/>
        <v>8</v>
      </c>
      <c r="B56" s="120">
        <f t="shared" si="13"/>
        <v>107275.47216901064</v>
      </c>
      <c r="C56" s="120">
        <f t="shared" si="10"/>
        <v>99324.137415806967</v>
      </c>
      <c r="D56" s="120">
        <f t="shared" si="14"/>
        <v>4291.0188867604256</v>
      </c>
      <c r="E56" s="120">
        <f t="shared" si="15"/>
        <v>185280.08087972653</v>
      </c>
      <c r="F56" s="121">
        <f t="shared" si="11"/>
        <v>-140602.37463206437</v>
      </c>
      <c r="G56" s="120">
        <f t="shared" si="16"/>
        <v>-1287.3056660281277</v>
      </c>
      <c r="H56" s="121">
        <f t="shared" si="17"/>
        <v>-55584.024263917956</v>
      </c>
      <c r="I56" s="120">
        <f t="shared" si="18"/>
        <v>42180.712389619308</v>
      </c>
      <c r="J56" s="120">
        <f t="shared" si="19"/>
        <v>42229.442347299482</v>
      </c>
      <c r="K56" s="122">
        <f t="shared" si="20"/>
        <v>10283.432278228744</v>
      </c>
    </row>
    <row r="57" spans="1:11" x14ac:dyDescent="0.2">
      <c r="A57" s="118">
        <f t="shared" si="12"/>
        <v>9</v>
      </c>
      <c r="B57" s="123">
        <f t="shared" si="13"/>
        <v>99324.137415806967</v>
      </c>
      <c r="C57" s="123">
        <f t="shared" si="10"/>
        <v>0</v>
      </c>
      <c r="D57" s="123">
        <f t="shared" si="14"/>
        <v>3972.9654966322787</v>
      </c>
      <c r="E57" s="123">
        <f t="shared" si="15"/>
        <v>169799.95375035206</v>
      </c>
      <c r="F57" s="124">
        <f t="shared" si="11"/>
        <v>-78364.154215858784</v>
      </c>
      <c r="G57" s="123">
        <f t="shared" si="16"/>
        <v>-1191.8896489896836</v>
      </c>
      <c r="H57" s="124">
        <f t="shared" si="17"/>
        <v>-50939.986125105614</v>
      </c>
      <c r="I57" s="123">
        <f t="shared" si="18"/>
        <v>23509.246264757636</v>
      </c>
      <c r="J57" s="123">
        <f t="shared" si="19"/>
        <v>166110.27293759485</v>
      </c>
      <c r="K57" s="125">
        <f>-(SUM(G57:I57))*0.7</f>
        <v>20035.840656536366</v>
      </c>
    </row>
    <row r="58" spans="1:11" x14ac:dyDescent="0.2">
      <c r="B58" s="6"/>
      <c r="C58" s="6"/>
      <c r="D58" s="6"/>
      <c r="E58" s="6"/>
      <c r="F58" s="7"/>
      <c r="G58" s="6"/>
      <c r="H58" s="7"/>
      <c r="I58" s="6"/>
      <c r="J58" s="6"/>
      <c r="K58" s="6"/>
    </row>
    <row r="62" spans="1:11" x14ac:dyDescent="0.2">
      <c r="A62" t="s">
        <v>37</v>
      </c>
      <c r="B62" s="163">
        <f>B3+'Investment Product'!J46+'Investment Product'!K46</f>
        <v>2187608.1034108233</v>
      </c>
    </row>
    <row r="63" spans="1:11" x14ac:dyDescent="0.2">
      <c r="A63" t="s">
        <v>38</v>
      </c>
      <c r="B63" s="5">
        <f>NPV(B14,J49:J58)</f>
        <v>367015.40386542084</v>
      </c>
    </row>
    <row r="64" spans="1:11" x14ac:dyDescent="0.2">
      <c r="A64" t="s">
        <v>64</v>
      </c>
      <c r="B64" s="5">
        <f>NPV(B14,K49:K58)</f>
        <v>82669.467192925644</v>
      </c>
    </row>
    <row r="65" spans="1:2" ht="13.5" thickBot="1" x14ac:dyDescent="0.25">
      <c r="A65" t="s">
        <v>43</v>
      </c>
      <c r="B65" s="132">
        <f>SUM(B62:B64)</f>
        <v>2637292.9744691695</v>
      </c>
    </row>
    <row r="66" spans="1:2" ht="13.5" thickTop="1" x14ac:dyDescent="0.2"/>
  </sheetData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63"/>
  <sheetViews>
    <sheetView topLeftCell="A42" zoomScaleNormal="100" workbookViewId="0">
      <selection activeCell="C59" sqref="C59"/>
    </sheetView>
  </sheetViews>
  <sheetFormatPr defaultRowHeight="12.75" x14ac:dyDescent="0.2"/>
  <cols>
    <col min="1" max="1" width="21.28515625" style="9" customWidth="1"/>
    <col min="2" max="2" width="12.28515625" style="9" bestFit="1" customWidth="1"/>
    <col min="3" max="11" width="14" style="9" customWidth="1"/>
    <col min="12" max="12" width="11.28515625" style="9" customWidth="1"/>
    <col min="13" max="13" width="11.85546875" style="9" customWidth="1"/>
    <col min="14" max="15" width="9.140625" style="9"/>
    <col min="16" max="16" width="9.5703125" style="9" customWidth="1"/>
    <col min="17" max="16384" width="9.140625" style="9"/>
  </cols>
  <sheetData>
    <row r="3" spans="1:3" x14ac:dyDescent="0.2">
      <c r="A3" s="9" t="s">
        <v>37</v>
      </c>
      <c r="B3" s="145">
        <f>'Investment Product'!B59*1.04</f>
        <v>2080000</v>
      </c>
    </row>
    <row r="4" spans="1:3" x14ac:dyDescent="0.2">
      <c r="A4" s="9" t="s">
        <v>40</v>
      </c>
      <c r="B4" s="145">
        <f>'Investment Product'!K33-1000000*0</f>
        <v>18487929.599999998</v>
      </c>
    </row>
    <row r="5" spans="1:3" x14ac:dyDescent="0.2">
      <c r="A5" s="9" t="s">
        <v>157</v>
      </c>
      <c r="B5" s="95">
        <v>9</v>
      </c>
      <c r="C5" t="s">
        <v>44</v>
      </c>
    </row>
    <row r="7" spans="1:3" x14ac:dyDescent="0.2">
      <c r="A7" s="9" t="s">
        <v>1</v>
      </c>
      <c r="B7" s="95">
        <v>0</v>
      </c>
      <c r="C7" s="9" t="s">
        <v>15</v>
      </c>
    </row>
    <row r="8" spans="1:3" x14ac:dyDescent="0.2">
      <c r="A8" s="9" t="s">
        <v>0</v>
      </c>
      <c r="B8" s="146">
        <f>'Investment Product'!B34</f>
        <v>880</v>
      </c>
    </row>
    <row r="10" spans="1:3" x14ac:dyDescent="0.2">
      <c r="A10" s="9" t="s">
        <v>2</v>
      </c>
    </row>
    <row r="11" spans="1:3" x14ac:dyDescent="0.2">
      <c r="A11" s="9" t="s">
        <v>3</v>
      </c>
      <c r="B11" s="18">
        <v>90</v>
      </c>
      <c r="C11" s="9" t="s">
        <v>24</v>
      </c>
    </row>
    <row r="12" spans="1:3" x14ac:dyDescent="0.2">
      <c r="A12" s="10" t="s">
        <v>4</v>
      </c>
      <c r="B12" s="96">
        <v>1.2E-2</v>
      </c>
      <c r="C12" s="9" t="s">
        <v>25</v>
      </c>
    </row>
    <row r="14" spans="1:3" x14ac:dyDescent="0.2">
      <c r="A14" s="9" t="s">
        <v>5</v>
      </c>
      <c r="B14" s="21">
        <v>0.12</v>
      </c>
    </row>
    <row r="16" spans="1:3" x14ac:dyDescent="0.2">
      <c r="A16" s="9" t="s">
        <v>6</v>
      </c>
    </row>
    <row r="17" spans="1:11" x14ac:dyDescent="0.2">
      <c r="A17" s="9" t="s">
        <v>7</v>
      </c>
      <c r="B17" s="147">
        <f>75+5</f>
        <v>80</v>
      </c>
      <c r="C17" s="9" t="s">
        <v>26</v>
      </c>
    </row>
    <row r="18" spans="1:11" x14ac:dyDescent="0.2">
      <c r="A18" s="9" t="s">
        <v>8</v>
      </c>
      <c r="B18" s="96">
        <v>1.0999999999999999E-2</v>
      </c>
      <c r="C18" s="9" t="s">
        <v>27</v>
      </c>
    </row>
    <row r="20" spans="1:11" x14ac:dyDescent="0.2">
      <c r="A20" s="9" t="s">
        <v>9</v>
      </c>
      <c r="B20" s="21">
        <v>0.15</v>
      </c>
    </row>
    <row r="21" spans="1:11" x14ac:dyDescent="0.2">
      <c r="A21" s="9" t="s">
        <v>10</v>
      </c>
      <c r="B21" s="21">
        <v>0.3</v>
      </c>
    </row>
    <row r="22" spans="1:11" x14ac:dyDescent="0.2">
      <c r="B22" s="11"/>
    </row>
    <row r="23" spans="1:11" x14ac:dyDescent="0.2">
      <c r="A23" s="9" t="s">
        <v>12</v>
      </c>
      <c r="B23" s="21">
        <v>0.08</v>
      </c>
    </row>
    <row r="24" spans="1:11" x14ac:dyDescent="0.2">
      <c r="A24" t="s">
        <v>191</v>
      </c>
      <c r="B24" s="3">
        <v>0.04</v>
      </c>
    </row>
    <row r="25" spans="1:11" x14ac:dyDescent="0.2">
      <c r="A25" s="9" t="s">
        <v>13</v>
      </c>
      <c r="B25" s="21">
        <v>0.12</v>
      </c>
      <c r="C25" s="9" t="s">
        <v>16</v>
      </c>
    </row>
    <row r="26" spans="1:11" x14ac:dyDescent="0.2">
      <c r="B26" s="11"/>
    </row>
    <row r="27" spans="1:11" x14ac:dyDescent="0.2">
      <c r="A27" s="9" t="s">
        <v>164</v>
      </c>
      <c r="B27" s="21">
        <v>0.01</v>
      </c>
    </row>
    <row r="28" spans="1:11" x14ac:dyDescent="0.2">
      <c r="B28" s="11"/>
    </row>
    <row r="29" spans="1:11" x14ac:dyDescent="0.2">
      <c r="A29" s="9" t="s">
        <v>39</v>
      </c>
      <c r="B29" s="11"/>
    </row>
    <row r="30" spans="1:11" x14ac:dyDescent="0.2">
      <c r="A30" s="9" t="s">
        <v>17</v>
      </c>
      <c r="B30" s="11"/>
    </row>
    <row r="32" spans="1:11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21" ht="37.5" customHeight="1" x14ac:dyDescent="0.2">
      <c r="A33" s="164" t="s">
        <v>11</v>
      </c>
      <c r="B33" s="165" t="s">
        <v>18</v>
      </c>
      <c r="C33" s="165" t="s">
        <v>19</v>
      </c>
      <c r="D33" s="165" t="s">
        <v>14</v>
      </c>
      <c r="E33" s="165" t="s">
        <v>21</v>
      </c>
      <c r="F33" s="165" t="s">
        <v>22</v>
      </c>
      <c r="G33" s="165" t="s">
        <v>28</v>
      </c>
      <c r="H33" s="165" t="s">
        <v>35</v>
      </c>
      <c r="I33" s="165" t="s">
        <v>23</v>
      </c>
      <c r="J33" s="165" t="s">
        <v>42</v>
      </c>
      <c r="K33" s="166" t="s">
        <v>20</v>
      </c>
    </row>
    <row r="34" spans="1:21" x14ac:dyDescent="0.2">
      <c r="A34" s="100">
        <v>1</v>
      </c>
      <c r="B34" s="167">
        <f>B8</f>
        <v>880</v>
      </c>
      <c r="C34" s="167">
        <f>$B$4</f>
        <v>18487929.599999998</v>
      </c>
      <c r="D34" s="168">
        <f>$B$7/$B$8*B34</f>
        <v>0</v>
      </c>
      <c r="E34" s="167">
        <f>(C34+D34)*$B$23*(1-$B$25/2)</f>
        <v>1390292.3059199997</v>
      </c>
      <c r="F34" s="167">
        <f>-E34*$B$20</f>
        <v>-208543.84588799995</v>
      </c>
      <c r="G34" s="167">
        <f>(-(C34+D34)*$B$12*(1+$B$23/2*(1-$B$20))*(1-$B$25/2)-$B$11*B34)/(1-$B$20)</f>
        <v>-346863.92546846112</v>
      </c>
      <c r="H34" s="167">
        <f>-G34*$B$20</f>
        <v>52029.588820269164</v>
      </c>
      <c r="I34" s="167">
        <f>-(C34+D34)*(1+$B$23*(1-$B$20)/2-$B$12/2)*$B$25</f>
        <v>-2280670.9954559994</v>
      </c>
      <c r="J34" s="169">
        <v>0</v>
      </c>
      <c r="K34" s="170">
        <f>SUM(C34:J34)</f>
        <v>17094172.727927808</v>
      </c>
    </row>
    <row r="35" spans="1:21" x14ac:dyDescent="0.2">
      <c r="A35" s="100">
        <f>A34+1</f>
        <v>2</v>
      </c>
      <c r="B35" s="167">
        <f>B34*(1-$B$25)</f>
        <v>774.4</v>
      </c>
      <c r="C35" s="167">
        <f t="shared" ref="C35:C42" si="0">K34</f>
        <v>17094172.727927808</v>
      </c>
      <c r="D35" s="168">
        <f>$B$7/$B$8*B35</f>
        <v>0</v>
      </c>
      <c r="E35" s="167">
        <f>(C35+D35)*$B$23*(1-$B$25/2)</f>
        <v>1285481.7891401711</v>
      </c>
      <c r="F35" s="167">
        <f t="shared" ref="F35:F42" si="1">-E35*$B$20</f>
        <v>-192822.26837102565</v>
      </c>
      <c r="G35" s="167">
        <f>(-(C35+D35)*$B$12*(1+$B$23/2*(1-$B$20))*(1-$B$25/2)-$B$11*B35)/(1-$B$20)</f>
        <v>-316557.91234781238</v>
      </c>
      <c r="H35" s="167">
        <f>-G35*$B$20</f>
        <v>47483.686852171857</v>
      </c>
      <c r="I35" s="167">
        <f>-(C35+D35)*(1+$B$23*(1-$B$20)/2-$B$12/2)*$B$25</f>
        <v>-2108737.1477171741</v>
      </c>
      <c r="J35" s="169">
        <v>0</v>
      </c>
      <c r="K35" s="170">
        <f t="shared" ref="K35:K42" si="2">SUM(C35:J35)</f>
        <v>15809020.875484139</v>
      </c>
    </row>
    <row r="36" spans="1:21" x14ac:dyDescent="0.2">
      <c r="A36" s="100">
        <f t="shared" ref="A36:A42" si="3">A35+1</f>
        <v>3</v>
      </c>
      <c r="B36" s="167">
        <f t="shared" ref="B36:B42" si="4">B35*(1-$B$25)</f>
        <v>681.47199999999998</v>
      </c>
      <c r="C36" s="167">
        <f t="shared" si="0"/>
        <v>15809020.875484139</v>
      </c>
      <c r="D36" s="168">
        <f t="shared" ref="D36:D42" si="5">$B$7/$B$8*B36</f>
        <v>0</v>
      </c>
      <c r="E36" s="167">
        <f t="shared" ref="E36:E42" si="6">(C36+D36)*$B$23*(1-$B$25/2)</f>
        <v>1188838.3698364072</v>
      </c>
      <c r="F36" s="167">
        <f t="shared" si="1"/>
        <v>-178325.75547546108</v>
      </c>
      <c r="G36" s="167">
        <f t="shared" ref="G36:G42" si="7">(-(C36+D36)*$B$12*(1+$B$23/2*(1-$B$20))*(1-$B$25/2)-$B$11*B36)/(1-$B$20)</f>
        <v>-289083.8954842668</v>
      </c>
      <c r="H36" s="167">
        <f t="shared" ref="H36:H42" si="8">-G36*$B$20</f>
        <v>43362.584322640017</v>
      </c>
      <c r="I36" s="167">
        <f t="shared" ref="I36:I42" si="9">-(C36+D36)*(1+$B$23*(1-$B$20)/2-$B$12/2)*$B$25</f>
        <v>-1950200.8151997232</v>
      </c>
      <c r="J36" s="169">
        <v>0</v>
      </c>
      <c r="K36" s="170">
        <f t="shared" si="2"/>
        <v>14623611.363483736</v>
      </c>
    </row>
    <row r="37" spans="1:21" x14ac:dyDescent="0.2">
      <c r="A37" s="100">
        <f t="shared" si="3"/>
        <v>4</v>
      </c>
      <c r="B37" s="167">
        <f t="shared" si="4"/>
        <v>599.69535999999994</v>
      </c>
      <c r="C37" s="167">
        <f t="shared" si="0"/>
        <v>14623611.363483736</v>
      </c>
      <c r="D37" s="168">
        <f t="shared" si="5"/>
        <v>0</v>
      </c>
      <c r="E37" s="167">
        <f t="shared" si="6"/>
        <v>1099695.5745339768</v>
      </c>
      <c r="F37" s="167">
        <f t="shared" si="1"/>
        <v>-164954.33618009652</v>
      </c>
      <c r="G37" s="167">
        <f t="shared" si="7"/>
        <v>-264159.25412967033</v>
      </c>
      <c r="H37" s="167">
        <f t="shared" si="8"/>
        <v>39623.888119450545</v>
      </c>
      <c r="I37" s="167">
        <f t="shared" si="9"/>
        <v>-1803968.6977993536</v>
      </c>
      <c r="J37" s="169">
        <v>0</v>
      </c>
      <c r="K37" s="170">
        <f t="shared" si="2"/>
        <v>13529848.538028043</v>
      </c>
    </row>
    <row r="38" spans="1:21" x14ac:dyDescent="0.2">
      <c r="A38" s="100">
        <f t="shared" si="3"/>
        <v>5</v>
      </c>
      <c r="B38" s="167">
        <f t="shared" si="4"/>
        <v>527.73191679999991</v>
      </c>
      <c r="C38" s="167">
        <f t="shared" si="0"/>
        <v>13529848.538028043</v>
      </c>
      <c r="D38" s="168">
        <f t="shared" si="5"/>
        <v>0</v>
      </c>
      <c r="E38" s="167">
        <f t="shared" si="6"/>
        <v>1017444.6100597088</v>
      </c>
      <c r="F38" s="167">
        <f t="shared" si="1"/>
        <v>-152616.69150895631</v>
      </c>
      <c r="G38" s="167">
        <f t="shared" si="7"/>
        <v>-241531.21356736569</v>
      </c>
      <c r="H38" s="167">
        <f t="shared" si="8"/>
        <v>36229.682035104852</v>
      </c>
      <c r="I38" s="167">
        <f t="shared" si="9"/>
        <v>-1669042.1156511393</v>
      </c>
      <c r="J38" s="169">
        <v>0</v>
      </c>
      <c r="K38" s="170">
        <f t="shared" si="2"/>
        <v>12520332.809395395</v>
      </c>
    </row>
    <row r="39" spans="1:21" x14ac:dyDescent="0.2">
      <c r="A39" s="100">
        <f t="shared" si="3"/>
        <v>6</v>
      </c>
      <c r="B39" s="167">
        <f t="shared" si="4"/>
        <v>464.4040867839999</v>
      </c>
      <c r="C39" s="167">
        <f t="shared" si="0"/>
        <v>12520332.809395395</v>
      </c>
      <c r="D39" s="168">
        <f t="shared" si="5"/>
        <v>0</v>
      </c>
      <c r="E39" s="167">
        <f t="shared" si="6"/>
        <v>941529.0272665337</v>
      </c>
      <c r="F39" s="167">
        <f t="shared" si="1"/>
        <v>-141229.35408998004</v>
      </c>
      <c r="G39" s="167">
        <f t="shared" si="7"/>
        <v>-220973.5528701169</v>
      </c>
      <c r="H39" s="167">
        <f t="shared" si="8"/>
        <v>33146.032930517533</v>
      </c>
      <c r="I39" s="167">
        <f t="shared" si="9"/>
        <v>-1544508.255367016</v>
      </c>
      <c r="J39" s="169">
        <v>0</v>
      </c>
      <c r="K39" s="170">
        <f t="shared" si="2"/>
        <v>11588296.707265332</v>
      </c>
    </row>
    <row r="40" spans="1:21" x14ac:dyDescent="0.2">
      <c r="A40" s="100">
        <f t="shared" si="3"/>
        <v>7</v>
      </c>
      <c r="B40" s="167">
        <f t="shared" si="4"/>
        <v>408.6755963699199</v>
      </c>
      <c r="C40" s="167">
        <f t="shared" si="0"/>
        <v>11588296.707265332</v>
      </c>
      <c r="D40" s="168">
        <f t="shared" si="5"/>
        <v>0</v>
      </c>
      <c r="E40" s="167">
        <f t="shared" si="6"/>
        <v>871439.91238635289</v>
      </c>
      <c r="F40" s="167">
        <f t="shared" si="1"/>
        <v>-130715.98685795293</v>
      </c>
      <c r="G40" s="167">
        <f t="shared" si="7"/>
        <v>-202283.68715813666</v>
      </c>
      <c r="H40" s="167">
        <f t="shared" si="8"/>
        <v>30342.553073720497</v>
      </c>
      <c r="I40" s="167">
        <f t="shared" si="9"/>
        <v>-1429532.2818082513</v>
      </c>
      <c r="J40" s="169">
        <v>0</v>
      </c>
      <c r="K40" s="170">
        <f t="shared" si="2"/>
        <v>10727547.216901064</v>
      </c>
    </row>
    <row r="41" spans="1:21" x14ac:dyDescent="0.2">
      <c r="A41" s="100">
        <f t="shared" si="3"/>
        <v>8</v>
      </c>
      <c r="B41" s="167">
        <f t="shared" si="4"/>
        <v>359.63452480552951</v>
      </c>
      <c r="C41" s="167">
        <f t="shared" si="0"/>
        <v>10727547.216901064</v>
      </c>
      <c r="D41" s="168">
        <f t="shared" si="5"/>
        <v>0</v>
      </c>
      <c r="E41" s="167">
        <f t="shared" si="6"/>
        <v>806711.55071095994</v>
      </c>
      <c r="F41" s="167">
        <f t="shared" si="1"/>
        <v>-121006.73260664399</v>
      </c>
      <c r="G41" s="167">
        <f t="shared" si="7"/>
        <v>-185280.08087972653</v>
      </c>
      <c r="H41" s="167">
        <f t="shared" si="8"/>
        <v>27792.012131958978</v>
      </c>
      <c r="I41" s="167">
        <f t="shared" si="9"/>
        <v>-1323350.2246769152</v>
      </c>
      <c r="J41" s="169">
        <v>0</v>
      </c>
      <c r="K41" s="170">
        <f t="shared" si="2"/>
        <v>9932413.7415806968</v>
      </c>
    </row>
    <row r="42" spans="1:21" x14ac:dyDescent="0.2">
      <c r="A42" s="104">
        <f t="shared" si="3"/>
        <v>9</v>
      </c>
      <c r="B42" s="171">
        <f t="shared" si="4"/>
        <v>316.47838182886596</v>
      </c>
      <c r="C42" s="171">
        <f t="shared" si="0"/>
        <v>9932413.7415806968</v>
      </c>
      <c r="D42" s="172">
        <f t="shared" si="5"/>
        <v>0</v>
      </c>
      <c r="E42" s="171">
        <f t="shared" si="6"/>
        <v>746917.51336686837</v>
      </c>
      <c r="F42" s="171">
        <f t="shared" si="1"/>
        <v>-112037.62700503026</v>
      </c>
      <c r="G42" s="171">
        <f t="shared" si="7"/>
        <v>-169799.95375035206</v>
      </c>
      <c r="H42" s="171">
        <f t="shared" si="8"/>
        <v>25469.993062552807</v>
      </c>
      <c r="I42" s="171">
        <f t="shared" si="9"/>
        <v>-1225262.5591613946</v>
      </c>
      <c r="J42" s="172">
        <f>-(SUM(C42:I42))</f>
        <v>-9197701.1080933418</v>
      </c>
      <c r="K42" s="173">
        <f t="shared" si="2"/>
        <v>0</v>
      </c>
    </row>
    <row r="43" spans="1:21" x14ac:dyDescent="0.2">
      <c r="A43" s="13"/>
      <c r="B43" s="14"/>
      <c r="C43" s="14"/>
      <c r="D43" s="13"/>
      <c r="E43" s="14"/>
      <c r="F43" s="14"/>
      <c r="G43" s="14"/>
      <c r="H43" s="14"/>
      <c r="I43" s="14"/>
      <c r="J43" s="13"/>
      <c r="K43" s="13"/>
    </row>
    <row r="45" spans="1:21" s="12" customFormat="1" ht="38.25" x14ac:dyDescent="0.2">
      <c r="A45" s="97" t="s">
        <v>11</v>
      </c>
      <c r="B45" s="98" t="s">
        <v>165</v>
      </c>
      <c r="C45" s="98" t="s">
        <v>166</v>
      </c>
      <c r="D45" s="98" t="s">
        <v>171</v>
      </c>
      <c r="E45" s="98" t="s">
        <v>128</v>
      </c>
      <c r="F45" s="98" t="s">
        <v>129</v>
      </c>
      <c r="G45" s="98" t="s">
        <v>130</v>
      </c>
      <c r="H45" s="98" t="s">
        <v>32</v>
      </c>
      <c r="I45" s="98" t="s">
        <v>34</v>
      </c>
      <c r="J45" s="98" t="s">
        <v>131</v>
      </c>
      <c r="K45" s="99" t="s">
        <v>64</v>
      </c>
      <c r="L45" s="174" t="s">
        <v>165</v>
      </c>
      <c r="M45" s="174" t="s">
        <v>166</v>
      </c>
      <c r="N45" s="174" t="s">
        <v>171</v>
      </c>
      <c r="O45" s="174" t="s">
        <v>128</v>
      </c>
      <c r="P45" s="180" t="s">
        <v>129</v>
      </c>
      <c r="Q45" s="174" t="s">
        <v>130</v>
      </c>
      <c r="R45" s="174" t="s">
        <v>32</v>
      </c>
      <c r="S45" s="174" t="s">
        <v>34</v>
      </c>
      <c r="T45" s="174" t="s">
        <v>131</v>
      </c>
      <c r="U45" s="175" t="s">
        <v>64</v>
      </c>
    </row>
    <row r="46" spans="1:21" x14ac:dyDescent="0.2">
      <c r="A46" s="100">
        <v>1</v>
      </c>
      <c r="B46" s="101">
        <f>C34*$B$27</f>
        <v>184879.29599999997</v>
      </c>
      <c r="C46" s="101">
        <f t="shared" ref="C46:C54" si="10">K34*$B$27</f>
        <v>170941.72727927807</v>
      </c>
      <c r="D46" s="102">
        <f>B46*$B$24</f>
        <v>7395.1718399999991</v>
      </c>
      <c r="E46" s="101">
        <f>-G34</f>
        <v>346863.92546846112</v>
      </c>
      <c r="F46" s="101">
        <f t="shared" ref="F46:F54" si="11">-$B$17*B34-$B$18*(C34+D34+K34)/2</f>
        <v>-266101.56280360289</v>
      </c>
      <c r="G46" s="101">
        <f>-$B$21*D46</f>
        <v>-2218.5515519999994</v>
      </c>
      <c r="H46" s="101">
        <f>-E46*($B$21)</f>
        <v>-104059.17764053833</v>
      </c>
      <c r="I46" s="101">
        <f>-$B$21*F46</f>
        <v>79830.468841080859</v>
      </c>
      <c r="J46" s="102">
        <f>SUM(D46:I46)+B46-C46</f>
        <v>75647.842874122696</v>
      </c>
      <c r="K46" s="103">
        <f>-(SUM(G46:I46))*0.7</f>
        <v>18513.082246020229</v>
      </c>
      <c r="L46" s="176">
        <f>B46-'Inv Product as expected'!B49</f>
        <v>0</v>
      </c>
      <c r="M46" s="176">
        <f>C46-'Inv Product as expected'!C49</f>
        <v>0</v>
      </c>
      <c r="N46" s="176">
        <f>D46-'Inv Product as expected'!D49</f>
        <v>0</v>
      </c>
      <c r="O46" s="176">
        <f>E46-'Inv Product as expected'!E49</f>
        <v>0</v>
      </c>
      <c r="P46" s="176">
        <f>F46-'Inv Product as expected'!F49</f>
        <v>-4399.9999999999709</v>
      </c>
      <c r="Q46" s="176">
        <f>G46-'Inv Product as expected'!G49</f>
        <v>0</v>
      </c>
      <c r="R46" s="176">
        <f>H46-'Inv Product as expected'!H49</f>
        <v>0</v>
      </c>
      <c r="S46" s="176">
        <f>I46-'Inv Product as expected'!I49</f>
        <v>1319.9999999999854</v>
      </c>
      <c r="T46" s="176">
        <f>J46-'Inv Product as expected'!J49</f>
        <v>-3079.9999999999709</v>
      </c>
      <c r="U46" s="177">
        <f>K46-'Inv Product as expected'!K49</f>
        <v>-923.99999999998909</v>
      </c>
    </row>
    <row r="47" spans="1:21" x14ac:dyDescent="0.2">
      <c r="A47" s="100">
        <f t="shared" ref="A47:A54" si="12">A46+1</f>
        <v>2</v>
      </c>
      <c r="B47" s="101">
        <f t="shared" ref="B47:B54" si="13">C35*$B$27</f>
        <v>170941.72727927807</v>
      </c>
      <c r="C47" s="101">
        <f t="shared" si="10"/>
        <v>158090.20875484138</v>
      </c>
      <c r="D47" s="102">
        <f t="shared" ref="D47:D54" si="14">B47*$B$24</f>
        <v>6837.669091171123</v>
      </c>
      <c r="E47" s="101">
        <f t="shared" ref="E47:E54" si="15">-G35</f>
        <v>316557.91234781238</v>
      </c>
      <c r="F47" s="101">
        <f t="shared" si="11"/>
        <v>-242919.56481876571</v>
      </c>
      <c r="G47" s="101">
        <f t="shared" ref="G47:G54" si="16">-$B$21*D47</f>
        <v>-2051.3007273513367</v>
      </c>
      <c r="H47" s="101">
        <f t="shared" ref="H47:H54" si="17">-E47*($B$21)</f>
        <v>-94967.373704343714</v>
      </c>
      <c r="I47" s="101">
        <f t="shared" ref="I47:I54" si="18">-$B$21*F47</f>
        <v>72875.869445629709</v>
      </c>
      <c r="J47" s="102">
        <f t="shared" ref="J47:J54" si="19">SUM(D47:I47)+B47-C47</f>
        <v>69184.73015858914</v>
      </c>
      <c r="K47" s="103">
        <f t="shared" ref="K47:K54" si="20">-(SUM(G47:I47))*0.7</f>
        <v>16899.963490245736</v>
      </c>
      <c r="L47" s="176">
        <f>B47-'Inv Product as expected'!B50</f>
        <v>0</v>
      </c>
      <c r="M47" s="176">
        <f>C47-'Inv Product as expected'!C50</f>
        <v>0</v>
      </c>
      <c r="N47" s="176">
        <f>D47-'Inv Product as expected'!D50</f>
        <v>0</v>
      </c>
      <c r="O47" s="176">
        <f>E47-'Inv Product as expected'!E50</f>
        <v>0</v>
      </c>
      <c r="P47" s="176">
        <f>F47-'Inv Product as expected'!F50</f>
        <v>-3872</v>
      </c>
      <c r="Q47" s="176">
        <f>G47-'Inv Product as expected'!G50</f>
        <v>0</v>
      </c>
      <c r="R47" s="176">
        <f>H47-'Inv Product as expected'!H50</f>
        <v>0</v>
      </c>
      <c r="S47" s="176">
        <f>I47-'Inv Product as expected'!I50</f>
        <v>1161.6000000000058</v>
      </c>
      <c r="T47" s="176">
        <f>J47-'Inv Product as expected'!J50</f>
        <v>-2710.3999999999942</v>
      </c>
      <c r="U47" s="177">
        <f>K47-'Inv Product as expected'!K50</f>
        <v>-813.12000000000626</v>
      </c>
    </row>
    <row r="48" spans="1:21" x14ac:dyDescent="0.2">
      <c r="A48" s="100">
        <f t="shared" si="12"/>
        <v>3</v>
      </c>
      <c r="B48" s="101">
        <f t="shared" si="13"/>
        <v>158090.20875484138</v>
      </c>
      <c r="C48" s="101">
        <f t="shared" si="10"/>
        <v>146236.11363483735</v>
      </c>
      <c r="D48" s="102">
        <f t="shared" si="14"/>
        <v>6323.6083501936555</v>
      </c>
      <c r="E48" s="101">
        <f t="shared" si="15"/>
        <v>289083.8954842668</v>
      </c>
      <c r="F48" s="101">
        <f t="shared" si="11"/>
        <v>-221897.23731432331</v>
      </c>
      <c r="G48" s="101">
        <f t="shared" si="16"/>
        <v>-1897.0825050580966</v>
      </c>
      <c r="H48" s="101">
        <f t="shared" si="17"/>
        <v>-86725.168645280035</v>
      </c>
      <c r="I48" s="101">
        <f t="shared" si="18"/>
        <v>66569.171194296985</v>
      </c>
      <c r="J48" s="102">
        <f t="shared" si="19"/>
        <v>63311.281684100017</v>
      </c>
      <c r="K48" s="103">
        <f>-(SUM(G48:I48))*0.7</f>
        <v>15437.155969228797</v>
      </c>
      <c r="L48" s="176">
        <f>B48-'Inv Product as expected'!B51</f>
        <v>0</v>
      </c>
      <c r="M48" s="176">
        <f>C48-'Inv Product as expected'!C51</f>
        <v>0</v>
      </c>
      <c r="N48" s="176">
        <f>D48-'Inv Product as expected'!D51</f>
        <v>0</v>
      </c>
      <c r="O48" s="176">
        <f>E48-'Inv Product as expected'!E51</f>
        <v>0</v>
      </c>
      <c r="P48" s="176">
        <f>F48-'Inv Product as expected'!F51</f>
        <v>-3407.3600000000151</v>
      </c>
      <c r="Q48" s="176">
        <f>G48-'Inv Product as expected'!G51</f>
        <v>0</v>
      </c>
      <c r="R48" s="176">
        <f>H48-'Inv Product as expected'!H51</f>
        <v>0</v>
      </c>
      <c r="S48" s="176">
        <f>I48-'Inv Product as expected'!I51</f>
        <v>1022.2079999999987</v>
      </c>
      <c r="T48" s="176">
        <f>J48-'Inv Product as expected'!J51</f>
        <v>-2385.152000000031</v>
      </c>
      <c r="U48" s="177">
        <f>K48-'Inv Product as expected'!K51</f>
        <v>-715.54559999999765</v>
      </c>
    </row>
    <row r="49" spans="1:21" x14ac:dyDescent="0.2">
      <c r="A49" s="100">
        <f t="shared" si="12"/>
        <v>4</v>
      </c>
      <c r="B49" s="101">
        <f t="shared" si="13"/>
        <v>146236.11363483735</v>
      </c>
      <c r="C49" s="101">
        <f t="shared" si="10"/>
        <v>135298.48538028044</v>
      </c>
      <c r="D49" s="102">
        <f t="shared" si="14"/>
        <v>5849.4445453934941</v>
      </c>
      <c r="E49" s="101">
        <f t="shared" si="15"/>
        <v>264159.25412967033</v>
      </c>
      <c r="F49" s="101">
        <f t="shared" si="11"/>
        <v>-202819.65825831477</v>
      </c>
      <c r="G49" s="101">
        <f t="shared" si="16"/>
        <v>-1754.8333636180482</v>
      </c>
      <c r="H49" s="101">
        <f t="shared" si="17"/>
        <v>-79247.77623890109</v>
      </c>
      <c r="I49" s="101">
        <f t="shared" si="18"/>
        <v>60845.897477494429</v>
      </c>
      <c r="J49" s="102">
        <f t="shared" si="19"/>
        <v>57969.95654628129</v>
      </c>
      <c r="K49" s="103">
        <f t="shared" si="20"/>
        <v>14109.698487517295</v>
      </c>
      <c r="L49" s="176">
        <f>B49-'Inv Product as expected'!B52</f>
        <v>0</v>
      </c>
      <c r="M49" s="176">
        <f>C49-'Inv Product as expected'!C52</f>
        <v>0</v>
      </c>
      <c r="N49" s="176">
        <f>D49-'Inv Product as expected'!D52</f>
        <v>0</v>
      </c>
      <c r="O49" s="176">
        <f>E49-'Inv Product as expected'!E52</f>
        <v>0</v>
      </c>
      <c r="P49" s="176">
        <f>F49-'Inv Product as expected'!F52</f>
        <v>-2998.4767999999749</v>
      </c>
      <c r="Q49" s="176">
        <f>G49-'Inv Product as expected'!G52</f>
        <v>0</v>
      </c>
      <c r="R49" s="176">
        <f>H49-'Inv Product as expected'!H52</f>
        <v>0</v>
      </c>
      <c r="S49" s="176">
        <f>I49-'Inv Product as expected'!I52</f>
        <v>899.54303999999684</v>
      </c>
      <c r="T49" s="176">
        <f>J49-'Inv Product as expected'!J52</f>
        <v>-2098.9337599999562</v>
      </c>
      <c r="U49" s="177">
        <f>K49-'Inv Product as expected'!K52</f>
        <v>-629.68012799999633</v>
      </c>
    </row>
    <row r="50" spans="1:21" x14ac:dyDescent="0.2">
      <c r="A50" s="100">
        <f t="shared" si="12"/>
        <v>5</v>
      </c>
      <c r="B50" s="101">
        <f t="shared" si="13"/>
        <v>135298.48538028044</v>
      </c>
      <c r="C50" s="101">
        <f t="shared" si="10"/>
        <v>125203.32809395395</v>
      </c>
      <c r="D50" s="102">
        <f t="shared" si="14"/>
        <v>5411.9394152112181</v>
      </c>
      <c r="E50" s="101">
        <f t="shared" si="15"/>
        <v>241531.21356736569</v>
      </c>
      <c r="F50" s="101">
        <f t="shared" si="11"/>
        <v>-185494.55075482887</v>
      </c>
      <c r="G50" s="101">
        <f t="shared" si="16"/>
        <v>-1623.5818245633654</v>
      </c>
      <c r="H50" s="101">
        <f t="shared" si="17"/>
        <v>-72459.364070209704</v>
      </c>
      <c r="I50" s="101">
        <f t="shared" si="18"/>
        <v>55648.365226448659</v>
      </c>
      <c r="J50" s="102">
        <f t="shared" si="19"/>
        <v>53109.17884575011</v>
      </c>
      <c r="K50" s="103">
        <f t="shared" si="20"/>
        <v>12904.206467827091</v>
      </c>
      <c r="L50" s="176">
        <f>B50-'Inv Product as expected'!B53</f>
        <v>0</v>
      </c>
      <c r="M50" s="176">
        <f>C50-'Inv Product as expected'!C53</f>
        <v>0</v>
      </c>
      <c r="N50" s="176">
        <f>D50-'Inv Product as expected'!D53</f>
        <v>0</v>
      </c>
      <c r="O50" s="176">
        <f>E50-'Inv Product as expected'!E53</f>
        <v>0</v>
      </c>
      <c r="P50" s="176">
        <f>F50-'Inv Product as expected'!F53</f>
        <v>-2638.6595839999791</v>
      </c>
      <c r="Q50" s="176">
        <f>G50-'Inv Product as expected'!G53</f>
        <v>0</v>
      </c>
      <c r="R50" s="176">
        <f>H50-'Inv Product as expected'!H53</f>
        <v>0</v>
      </c>
      <c r="S50" s="176">
        <f>I50-'Inv Product as expected'!I53</f>
        <v>791.59787519999372</v>
      </c>
      <c r="T50" s="176">
        <f>J50-'Inv Product as expected'!J53</f>
        <v>-1847.0617087999708</v>
      </c>
      <c r="U50" s="177">
        <f>K50-'Inv Product as expected'!K53</f>
        <v>-554.11851263999415</v>
      </c>
    </row>
    <row r="51" spans="1:21" x14ac:dyDescent="0.2">
      <c r="A51" s="100">
        <f t="shared" si="12"/>
        <v>6</v>
      </c>
      <c r="B51" s="101">
        <f t="shared" si="13"/>
        <v>125203.32809395395</v>
      </c>
      <c r="C51" s="101">
        <f t="shared" si="10"/>
        <v>115882.96707265332</v>
      </c>
      <c r="D51" s="102">
        <f t="shared" si="14"/>
        <v>5008.133123758158</v>
      </c>
      <c r="E51" s="101">
        <f t="shared" si="15"/>
        <v>220973.5528701169</v>
      </c>
      <c r="F51" s="101">
        <f t="shared" si="11"/>
        <v>-169749.78928435399</v>
      </c>
      <c r="G51" s="101">
        <f t="shared" si="16"/>
        <v>-1502.4399371274474</v>
      </c>
      <c r="H51" s="101">
        <f t="shared" si="17"/>
        <v>-66292.065861035066</v>
      </c>
      <c r="I51" s="101">
        <f t="shared" si="18"/>
        <v>50924.936785306192</v>
      </c>
      <c r="J51" s="102">
        <f t="shared" si="19"/>
        <v>48682.688717965386</v>
      </c>
      <c r="K51" s="103">
        <f t="shared" si="20"/>
        <v>11808.698308999425</v>
      </c>
      <c r="L51" s="176">
        <f>B51-'Inv Product as expected'!B54</f>
        <v>0</v>
      </c>
      <c r="M51" s="176">
        <f>C51-'Inv Product as expected'!C54</f>
        <v>0</v>
      </c>
      <c r="N51" s="176">
        <f>D51-'Inv Product as expected'!D54</f>
        <v>0</v>
      </c>
      <c r="O51" s="176">
        <f>E51-'Inv Product as expected'!E54</f>
        <v>0</v>
      </c>
      <c r="P51" s="176">
        <f>F51-'Inv Product as expected'!F54</f>
        <v>-2322.020433919999</v>
      </c>
      <c r="Q51" s="176">
        <f>G51-'Inv Product as expected'!G54</f>
        <v>0</v>
      </c>
      <c r="R51" s="176">
        <f>H51-'Inv Product as expected'!H54</f>
        <v>0</v>
      </c>
      <c r="S51" s="176">
        <f>I51-'Inv Product as expected'!I54</f>
        <v>696.60613017599826</v>
      </c>
      <c r="T51" s="176">
        <f>J51-'Inv Product as expected'!J54</f>
        <v>-1625.4143037440081</v>
      </c>
      <c r="U51" s="177">
        <f>K51-'Inv Product as expected'!K54</f>
        <v>-487.62429112319842</v>
      </c>
    </row>
    <row r="52" spans="1:21" x14ac:dyDescent="0.2">
      <c r="A52" s="100">
        <f t="shared" si="12"/>
        <v>7</v>
      </c>
      <c r="B52" s="101">
        <f t="shared" si="13"/>
        <v>115882.96707265332</v>
      </c>
      <c r="C52" s="101">
        <f t="shared" si="10"/>
        <v>107275.47216901064</v>
      </c>
      <c r="D52" s="102">
        <f t="shared" si="14"/>
        <v>4635.3186829061333</v>
      </c>
      <c r="E52" s="101">
        <f t="shared" si="15"/>
        <v>202283.68715813666</v>
      </c>
      <c r="F52" s="101">
        <f t="shared" si="11"/>
        <v>-155431.18929250876</v>
      </c>
      <c r="G52" s="101">
        <f t="shared" si="16"/>
        <v>-1390.5956048718399</v>
      </c>
      <c r="H52" s="101">
        <f t="shared" si="17"/>
        <v>-60685.106147440994</v>
      </c>
      <c r="I52" s="101">
        <f t="shared" si="18"/>
        <v>46629.356787752629</v>
      </c>
      <c r="J52" s="102">
        <f t="shared" si="19"/>
        <v>44648.966487616504</v>
      </c>
      <c r="K52" s="103">
        <f t="shared" si="20"/>
        <v>10812.441475192139</v>
      </c>
      <c r="L52" s="176">
        <f>B52-'Inv Product as expected'!B55</f>
        <v>0</v>
      </c>
      <c r="M52" s="176">
        <f>C52-'Inv Product as expected'!C55</f>
        <v>0</v>
      </c>
      <c r="N52" s="176">
        <f>D52-'Inv Product as expected'!D55</f>
        <v>0</v>
      </c>
      <c r="O52" s="176">
        <f>E52-'Inv Product as expected'!E55</f>
        <v>0</v>
      </c>
      <c r="P52" s="176">
        <f>F52-'Inv Product as expected'!F55</f>
        <v>-2043.3779818495968</v>
      </c>
      <c r="Q52" s="176">
        <f>G52-'Inv Product as expected'!G55</f>
        <v>0</v>
      </c>
      <c r="R52" s="176">
        <f>H52-'Inv Product as expected'!H55</f>
        <v>0</v>
      </c>
      <c r="S52" s="176">
        <f>I52-'Inv Product as expected'!I55</f>
        <v>613.01339455488051</v>
      </c>
      <c r="T52" s="176">
        <f>J52-'Inv Product as expected'!J55</f>
        <v>-1430.3645872947236</v>
      </c>
      <c r="U52" s="177">
        <f>K52-'Inv Product as expected'!K55</f>
        <v>-429.10937618841672</v>
      </c>
    </row>
    <row r="53" spans="1:21" x14ac:dyDescent="0.2">
      <c r="A53" s="100">
        <f t="shared" si="12"/>
        <v>8</v>
      </c>
      <c r="B53" s="101">
        <f t="shared" si="13"/>
        <v>107275.47216901064</v>
      </c>
      <c r="C53" s="101">
        <f t="shared" si="10"/>
        <v>99324.137415806967</v>
      </c>
      <c r="D53" s="102">
        <f t="shared" si="14"/>
        <v>4291.0188867604256</v>
      </c>
      <c r="E53" s="101">
        <f t="shared" si="15"/>
        <v>185280.08087972653</v>
      </c>
      <c r="F53" s="101">
        <f t="shared" si="11"/>
        <v>-142400.54725609202</v>
      </c>
      <c r="G53" s="101">
        <f t="shared" si="16"/>
        <v>-1287.3056660281277</v>
      </c>
      <c r="H53" s="101">
        <f t="shared" si="17"/>
        <v>-55584.024263917956</v>
      </c>
      <c r="I53" s="101">
        <f t="shared" si="18"/>
        <v>42720.164176827602</v>
      </c>
      <c r="J53" s="102">
        <f t="shared" si="19"/>
        <v>40970.721510480129</v>
      </c>
      <c r="K53" s="103">
        <f t="shared" si="20"/>
        <v>9905.8160271829365</v>
      </c>
      <c r="L53" s="176">
        <f>B53-'Inv Product as expected'!B56</f>
        <v>0</v>
      </c>
      <c r="M53" s="176">
        <f>C53-'Inv Product as expected'!C56</f>
        <v>0</v>
      </c>
      <c r="N53" s="176">
        <f>D53-'Inv Product as expected'!D56</f>
        <v>0</v>
      </c>
      <c r="O53" s="176">
        <f>E53-'Inv Product as expected'!E56</f>
        <v>0</v>
      </c>
      <c r="P53" s="176">
        <f>F53-'Inv Product as expected'!F56</f>
        <v>-1798.1726240276475</v>
      </c>
      <c r="Q53" s="176">
        <f>G53-'Inv Product as expected'!G56</f>
        <v>0</v>
      </c>
      <c r="R53" s="176">
        <f>H53-'Inv Product as expected'!H56</f>
        <v>0</v>
      </c>
      <c r="S53" s="176">
        <f>I53-'Inv Product as expected'!I56</f>
        <v>539.45178720829426</v>
      </c>
      <c r="T53" s="176">
        <f>J53-'Inv Product as expected'!J56</f>
        <v>-1258.7208368193533</v>
      </c>
      <c r="U53" s="177">
        <f>K53-'Inv Product as expected'!K56</f>
        <v>-377.61625104580708</v>
      </c>
    </row>
    <row r="54" spans="1:21" x14ac:dyDescent="0.2">
      <c r="A54" s="104">
        <f t="shared" si="12"/>
        <v>9</v>
      </c>
      <c r="B54" s="105">
        <f t="shared" si="13"/>
        <v>99324.137415806967</v>
      </c>
      <c r="C54" s="105">
        <f t="shared" si="10"/>
        <v>0</v>
      </c>
      <c r="D54" s="106">
        <f t="shared" si="14"/>
        <v>3972.9654966322787</v>
      </c>
      <c r="E54" s="105">
        <f t="shared" si="15"/>
        <v>169799.95375035206</v>
      </c>
      <c r="F54" s="105">
        <f t="shared" si="11"/>
        <v>-79946.546125003108</v>
      </c>
      <c r="G54" s="105">
        <f t="shared" si="16"/>
        <v>-1191.8896489896836</v>
      </c>
      <c r="H54" s="105">
        <f t="shared" si="17"/>
        <v>-50939.986125105614</v>
      </c>
      <c r="I54" s="105">
        <f t="shared" si="18"/>
        <v>23983.963837500931</v>
      </c>
      <c r="J54" s="106">
        <f t="shared" si="19"/>
        <v>165002.59860119381</v>
      </c>
      <c r="K54" s="107">
        <f t="shared" si="20"/>
        <v>19703.538355616056</v>
      </c>
      <c r="L54" s="178">
        <f>B54-'Inv Product as expected'!B57</f>
        <v>0</v>
      </c>
      <c r="M54" s="178">
        <f>C54-'Inv Product as expected'!C57</f>
        <v>0</v>
      </c>
      <c r="N54" s="178">
        <f>D54-'Inv Product as expected'!D57</f>
        <v>0</v>
      </c>
      <c r="O54" s="178">
        <f>E54-'Inv Product as expected'!E57</f>
        <v>0</v>
      </c>
      <c r="P54" s="178">
        <f>F54-'Inv Product as expected'!F57</f>
        <v>-1582.391909144324</v>
      </c>
      <c r="Q54" s="178">
        <f>G54-'Inv Product as expected'!G57</f>
        <v>0</v>
      </c>
      <c r="R54" s="178">
        <f>H54-'Inv Product as expected'!H57</f>
        <v>0</v>
      </c>
      <c r="S54" s="178">
        <f>I54-'Inv Product as expected'!I57</f>
        <v>474.71757274329502</v>
      </c>
      <c r="T54" s="178">
        <f>J54-'Inv Product as expected'!J57</f>
        <v>-1107.6743364010472</v>
      </c>
      <c r="U54" s="179">
        <f>K54-'Inv Product as expected'!K57</f>
        <v>-332.30230092030979</v>
      </c>
    </row>
    <row r="55" spans="1:21" x14ac:dyDescent="0.2">
      <c r="A55" s="13"/>
      <c r="B55" s="14"/>
      <c r="C55" s="14"/>
      <c r="D55" s="13"/>
      <c r="E55" s="14"/>
      <c r="F55" s="14"/>
      <c r="G55" s="14"/>
      <c r="H55" s="14"/>
      <c r="I55" s="14"/>
      <c r="J55" s="13"/>
      <c r="K55" s="13"/>
    </row>
    <row r="59" spans="1:21" ht="27.75" customHeight="1" x14ac:dyDescent="0.2">
      <c r="A59" s="9" t="s">
        <v>37</v>
      </c>
      <c r="B59" s="15">
        <f>B3+'Investment Product'!J46+'Investment Product'!K46-10000</f>
        <v>2177608.1034108233</v>
      </c>
      <c r="C59" s="154" t="s">
        <v>208</v>
      </c>
      <c r="F59" s="184" t="s">
        <v>194</v>
      </c>
      <c r="G59" s="184"/>
      <c r="H59" s="184"/>
      <c r="I59" s="184"/>
      <c r="J59" s="133"/>
    </row>
    <row r="60" spans="1:21" x14ac:dyDescent="0.2">
      <c r="A60" s="9" t="s">
        <v>38</v>
      </c>
      <c r="B60" s="15">
        <f>NPV(B14,J46:J55)</f>
        <v>355646.67825586465</v>
      </c>
      <c r="F60" s="143">
        <f>'Investment Product'!F46</f>
        <v>-286683.61279999994</v>
      </c>
      <c r="G60" s="143">
        <f>-0.3*F60</f>
        <v>86005.083839999977</v>
      </c>
      <c r="H60" s="143">
        <f>-G60*0.7</f>
        <v>-60203.558687999983</v>
      </c>
      <c r="I60" s="143">
        <f>F60+G60+H60</f>
        <v>-260882.08764799996</v>
      </c>
      <c r="J60" s="133" t="s">
        <v>196</v>
      </c>
    </row>
    <row r="61" spans="1:21" x14ac:dyDescent="0.2">
      <c r="A61" s="9" t="s">
        <v>64</v>
      </c>
      <c r="B61" s="15">
        <f>NPV(B14,K46:K55)</f>
        <v>79258.84951005879</v>
      </c>
      <c r="F61" s="143">
        <v>-297673</v>
      </c>
      <c r="G61" s="143">
        <f>-0.3*F61</f>
        <v>89301.9</v>
      </c>
      <c r="H61" s="143">
        <f>-G61*0.7</f>
        <v>-62511.329999999994</v>
      </c>
      <c r="I61" s="143">
        <f>I60-I62</f>
        <v>-270882.43</v>
      </c>
      <c r="J61" s="133" t="s">
        <v>209</v>
      </c>
    </row>
    <row r="62" spans="1:21" ht="13.5" thickBot="1" x14ac:dyDescent="0.25">
      <c r="A62" s="9" t="s">
        <v>43</v>
      </c>
      <c r="B62" s="16">
        <f>SUM(B59:B61)</f>
        <v>2612513.6311767465</v>
      </c>
      <c r="F62" s="144">
        <f>F60-F61</f>
        <v>10989.387200000056</v>
      </c>
      <c r="G62" s="144">
        <f>-0.3*F62</f>
        <v>-3296.8161600000167</v>
      </c>
      <c r="H62" s="144">
        <f>-0.7*G62</f>
        <v>2307.7713120000117</v>
      </c>
      <c r="I62" s="144">
        <f>SUM(F62:H62)</f>
        <v>10000.342352000051</v>
      </c>
      <c r="J62" s="133" t="s">
        <v>195</v>
      </c>
    </row>
    <row r="63" spans="1:21" ht="13.5" thickTop="1" x14ac:dyDescent="0.2"/>
  </sheetData>
  <mergeCells count="1">
    <mergeCell ref="F59:I59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28"/>
  <sheetViews>
    <sheetView workbookViewId="0">
      <selection activeCell="C5" sqref="C5"/>
    </sheetView>
  </sheetViews>
  <sheetFormatPr defaultRowHeight="12.75" x14ac:dyDescent="0.2"/>
  <cols>
    <col min="1" max="1" width="34.42578125" customWidth="1"/>
    <col min="2" max="2" width="10.140625" bestFit="1" customWidth="1"/>
    <col min="3" max="3" width="15.85546875" customWidth="1"/>
    <col min="4" max="4" width="16.28515625" customWidth="1"/>
    <col min="5" max="5" width="20.28515625" customWidth="1"/>
    <col min="6" max="6" width="14.42578125" customWidth="1"/>
  </cols>
  <sheetData>
    <row r="3" spans="1:6" x14ac:dyDescent="0.2">
      <c r="A3" s="25" t="s">
        <v>54</v>
      </c>
      <c r="B3" s="114"/>
      <c r="C3" s="114"/>
      <c r="D3" s="114"/>
      <c r="E3" s="114"/>
      <c r="F3" s="115"/>
    </row>
    <row r="4" spans="1:6" x14ac:dyDescent="0.2">
      <c r="A4" s="116"/>
      <c r="B4" s="117" t="s">
        <v>45</v>
      </c>
      <c r="C4" s="117" t="s">
        <v>46</v>
      </c>
      <c r="D4" s="117" t="s">
        <v>47</v>
      </c>
      <c r="E4" s="117" t="s">
        <v>48</v>
      </c>
      <c r="F4" s="119" t="s">
        <v>49</v>
      </c>
    </row>
    <row r="5" spans="1:6" x14ac:dyDescent="0.2">
      <c r="A5" s="116" t="s">
        <v>50</v>
      </c>
      <c r="B5" s="126">
        <f>'Investment Product'!B59</f>
        <v>2000000</v>
      </c>
      <c r="C5" s="126">
        <f>'Investment Product'!B60+'Investment Product'!B61</f>
        <v>497583.0129189018</v>
      </c>
      <c r="D5" s="126">
        <f>SUM(B5:C5)</f>
        <v>2497583.0129189016</v>
      </c>
      <c r="E5" s="126">
        <v>0</v>
      </c>
      <c r="F5" s="127">
        <f>SUM(D5:E5)</f>
        <v>2497583.0129189016</v>
      </c>
    </row>
    <row r="6" spans="1:6" x14ac:dyDescent="0.2">
      <c r="A6" s="116" t="s">
        <v>52</v>
      </c>
      <c r="B6" s="126">
        <f>B5*1.04-B5</f>
        <v>80000</v>
      </c>
      <c r="C6" s="126">
        <f>C5*(1+'Investment Product'!B14)-C5</f>
        <v>59709.961550268286</v>
      </c>
      <c r="D6" s="126">
        <f>SUM(B6:C6)</f>
        <v>139709.96155026829</v>
      </c>
      <c r="E6" s="126">
        <v>0</v>
      </c>
      <c r="F6" s="127">
        <f>SUM(D6:E6)</f>
        <v>139709.96155026829</v>
      </c>
    </row>
    <row r="7" spans="1:6" x14ac:dyDescent="0.2">
      <c r="A7" s="116" t="s">
        <v>53</v>
      </c>
      <c r="B7" s="126">
        <f>'Investment Product'!J46+'Investment Product'!K46</f>
        <v>107608.10341082362</v>
      </c>
      <c r="C7" s="126">
        <f>-B7</f>
        <v>-107608.10341082362</v>
      </c>
      <c r="D7" s="126">
        <f>SUM(B7:C7)</f>
        <v>0</v>
      </c>
      <c r="E7" s="126"/>
      <c r="F7" s="127">
        <f>SUM(D7:E7)</f>
        <v>0</v>
      </c>
    </row>
    <row r="8" spans="1:6" x14ac:dyDescent="0.2">
      <c r="A8" s="116" t="s">
        <v>55</v>
      </c>
      <c r="B8" s="126">
        <f>SUM(B5:B7)</f>
        <v>2187608.1034108237</v>
      </c>
      <c r="C8" s="126">
        <f>SUM(C5:C7)</f>
        <v>449684.87105834647</v>
      </c>
      <c r="D8" s="126">
        <f>SUM(B8:C8)</f>
        <v>2637292.97446917</v>
      </c>
      <c r="E8" s="126">
        <v>0</v>
      </c>
      <c r="F8" s="127">
        <f>SUM(D8:E8)</f>
        <v>2637292.97446917</v>
      </c>
    </row>
    <row r="9" spans="1:6" x14ac:dyDescent="0.2">
      <c r="A9" s="116" t="s">
        <v>51</v>
      </c>
      <c r="B9" s="126">
        <f>'Inv Product as expected'!B62</f>
        <v>2187608.1034108233</v>
      </c>
      <c r="C9" s="126">
        <f>'Inv Product as expected'!B63+'Inv Product as expected'!B64</f>
        <v>449684.87105834647</v>
      </c>
      <c r="D9" s="126">
        <f>SUM(B9:C9)</f>
        <v>2637292.97446917</v>
      </c>
      <c r="E9" s="126">
        <v>0</v>
      </c>
      <c r="F9" s="127">
        <f>SUM(D9:E9)</f>
        <v>2637292.97446917</v>
      </c>
    </row>
    <row r="10" spans="1:6" x14ac:dyDescent="0.2">
      <c r="A10" s="116"/>
      <c r="B10" s="117"/>
      <c r="C10" s="117"/>
      <c r="D10" s="117"/>
      <c r="E10" s="126"/>
      <c r="F10" s="119"/>
    </row>
    <row r="11" spans="1:6" x14ac:dyDescent="0.2">
      <c r="A11" s="118" t="s">
        <v>62</v>
      </c>
      <c r="B11" s="128"/>
      <c r="C11" s="128"/>
      <c r="D11" s="128"/>
      <c r="E11" s="128"/>
      <c r="F11" s="129"/>
    </row>
    <row r="14" spans="1:6" x14ac:dyDescent="0.2">
      <c r="A14" s="25" t="s">
        <v>59</v>
      </c>
      <c r="B14" s="114"/>
      <c r="C14" s="114"/>
      <c r="D14" s="114"/>
      <c r="E14" s="114"/>
      <c r="F14" s="115"/>
    </row>
    <row r="15" spans="1:6" x14ac:dyDescent="0.2">
      <c r="A15" s="40"/>
      <c r="B15" s="117"/>
      <c r="C15" s="117"/>
      <c r="D15" s="117"/>
      <c r="E15" s="117"/>
      <c r="F15" s="119"/>
    </row>
    <row r="16" spans="1:6" x14ac:dyDescent="0.2">
      <c r="A16" s="27" t="s">
        <v>60</v>
      </c>
      <c r="B16" s="117"/>
      <c r="C16" s="117"/>
      <c r="D16" s="117"/>
      <c r="E16" s="117"/>
      <c r="F16" s="119"/>
    </row>
    <row r="17" spans="1:6" x14ac:dyDescent="0.2">
      <c r="A17" s="27" t="s">
        <v>61</v>
      </c>
      <c r="B17" s="117"/>
      <c r="C17" s="117"/>
      <c r="D17" s="117"/>
      <c r="E17" s="117"/>
      <c r="F17" s="119"/>
    </row>
    <row r="18" spans="1:6" x14ac:dyDescent="0.2">
      <c r="A18" s="40"/>
      <c r="B18" s="117"/>
      <c r="C18" s="117"/>
      <c r="D18" s="117"/>
      <c r="E18" s="117"/>
      <c r="F18" s="119"/>
    </row>
    <row r="19" spans="1:6" x14ac:dyDescent="0.2">
      <c r="A19" s="116"/>
      <c r="B19" s="117" t="s">
        <v>45</v>
      </c>
      <c r="C19" s="117" t="s">
        <v>46</v>
      </c>
      <c r="D19" s="117" t="s">
        <v>47</v>
      </c>
      <c r="E19" s="117" t="s">
        <v>48</v>
      </c>
      <c r="F19" s="119" t="s">
        <v>49</v>
      </c>
    </row>
    <row r="20" spans="1:6" x14ac:dyDescent="0.2">
      <c r="A20" s="116" t="s">
        <v>50</v>
      </c>
      <c r="B20" s="126">
        <f t="shared" ref="B20:F22" si="0">B5</f>
        <v>2000000</v>
      </c>
      <c r="C20" s="126">
        <f t="shared" si="0"/>
        <v>497583.0129189018</v>
      </c>
      <c r="D20" s="126">
        <f t="shared" si="0"/>
        <v>2497583.0129189016</v>
      </c>
      <c r="E20" s="126">
        <f t="shared" si="0"/>
        <v>0</v>
      </c>
      <c r="F20" s="127">
        <f t="shared" si="0"/>
        <v>2497583.0129189016</v>
      </c>
    </row>
    <row r="21" spans="1:6" x14ac:dyDescent="0.2">
      <c r="A21" s="116" t="s">
        <v>52</v>
      </c>
      <c r="B21" s="126">
        <f t="shared" si="0"/>
        <v>80000</v>
      </c>
      <c r="C21" s="126">
        <f t="shared" si="0"/>
        <v>59709.961550268286</v>
      </c>
      <c r="D21" s="126">
        <f t="shared" si="0"/>
        <v>139709.96155026829</v>
      </c>
      <c r="E21" s="126">
        <f t="shared" si="0"/>
        <v>0</v>
      </c>
      <c r="F21" s="127">
        <f t="shared" si="0"/>
        <v>139709.96155026829</v>
      </c>
    </row>
    <row r="22" spans="1:6" x14ac:dyDescent="0.2">
      <c r="A22" s="116" t="s">
        <v>53</v>
      </c>
      <c r="B22" s="126">
        <f>B7</f>
        <v>107608.10341082362</v>
      </c>
      <c r="C22" s="126">
        <f t="shared" si="0"/>
        <v>-107608.10341082362</v>
      </c>
      <c r="D22" s="126">
        <f t="shared" si="0"/>
        <v>0</v>
      </c>
      <c r="E22" s="126">
        <f t="shared" si="0"/>
        <v>0</v>
      </c>
      <c r="F22" s="127">
        <f t="shared" si="0"/>
        <v>0</v>
      </c>
    </row>
    <row r="23" spans="1:6" x14ac:dyDescent="0.2">
      <c r="A23" s="116" t="s">
        <v>55</v>
      </c>
      <c r="B23" s="126">
        <f>SUM(B20:B22)</f>
        <v>2187608.1034108237</v>
      </c>
      <c r="C23" s="126">
        <f>SUM(C20:C22)</f>
        <v>449684.87105834647</v>
      </c>
      <c r="D23" s="126">
        <f>SUM(B23:C23)</f>
        <v>2637292.97446917</v>
      </c>
      <c r="E23" s="126">
        <v>0</v>
      </c>
      <c r="F23" s="127">
        <f>SUM(D23:E23)</f>
        <v>2637292.97446917</v>
      </c>
    </row>
    <row r="24" spans="1:6" x14ac:dyDescent="0.2">
      <c r="A24" s="116" t="s">
        <v>56</v>
      </c>
      <c r="B24" s="126">
        <f>-10000</f>
        <v>-10000</v>
      </c>
      <c r="C24" s="126">
        <v>0</v>
      </c>
      <c r="D24" s="126">
        <f>SUM(B24:C24)</f>
        <v>-10000</v>
      </c>
      <c r="E24" s="126">
        <v>0</v>
      </c>
      <c r="F24" s="127">
        <f>SUM(D24:E24)</f>
        <v>-10000</v>
      </c>
    </row>
    <row r="25" spans="1:6" x14ac:dyDescent="0.2">
      <c r="A25" s="116" t="s">
        <v>57</v>
      </c>
      <c r="B25" s="126">
        <v>0</v>
      </c>
      <c r="C25" s="126">
        <f>'Inv Product  changed expense'!B60-'Inv Product as expected'!B63+'Inv Product  changed expense'!B61-'Inv Product as expected'!B64</f>
        <v>-14779.343292423044</v>
      </c>
      <c r="D25" s="126">
        <f>SUM(B25:C25)</f>
        <v>-14779.343292423044</v>
      </c>
      <c r="E25" s="126">
        <v>0</v>
      </c>
      <c r="F25" s="127">
        <f>SUM(D25:E25)</f>
        <v>-14779.343292423044</v>
      </c>
    </row>
    <row r="26" spans="1:6" x14ac:dyDescent="0.2">
      <c r="A26" s="116" t="s">
        <v>58</v>
      </c>
      <c r="B26" s="126">
        <f>B27-SUM(B23:B25)</f>
        <v>0</v>
      </c>
      <c r="C26" s="126">
        <f>C27-SUM(C23:C25)</f>
        <v>0</v>
      </c>
      <c r="D26" s="126">
        <f>D27-SUM(D23:D25)</f>
        <v>0</v>
      </c>
      <c r="E26" s="126">
        <f>E27-SUM(E23:E25)</f>
        <v>0</v>
      </c>
      <c r="F26" s="127">
        <f>F27-SUM(F23:F25)</f>
        <v>0</v>
      </c>
    </row>
    <row r="27" spans="1:6" x14ac:dyDescent="0.2">
      <c r="A27" s="118" t="s">
        <v>51</v>
      </c>
      <c r="B27" s="130">
        <f>'Inv Product  changed expense'!B59</f>
        <v>2177608.1034108233</v>
      </c>
      <c r="C27" s="130">
        <f>'Inv Product  changed expense'!B60+'Inv Product  changed expense'!B61</f>
        <v>434905.52776592341</v>
      </c>
      <c r="D27" s="130">
        <f>SUM(B27:C27)</f>
        <v>2612513.6311767465</v>
      </c>
      <c r="E27" s="130">
        <v>0</v>
      </c>
      <c r="F27" s="131">
        <f>SUM(D27:E27)</f>
        <v>2612513.6311767465</v>
      </c>
    </row>
    <row r="28" spans="1:6" x14ac:dyDescent="0.2">
      <c r="A28" s="181" t="s">
        <v>195</v>
      </c>
      <c r="B28" s="182">
        <f>SUM(B23:B26)-B27</f>
        <v>0</v>
      </c>
      <c r="C28" s="182">
        <f t="shared" ref="C28:F28" si="1">SUM(C23:C26)-C27</f>
        <v>0</v>
      </c>
      <c r="D28" s="182">
        <f t="shared" si="1"/>
        <v>0</v>
      </c>
      <c r="E28" s="182">
        <f t="shared" si="1"/>
        <v>0</v>
      </c>
      <c r="F28" s="182">
        <f t="shared" si="1"/>
        <v>0</v>
      </c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YRT</vt:lpstr>
      <vt:lpstr>Investment Product</vt:lpstr>
      <vt:lpstr>Inv Product as expected</vt:lpstr>
      <vt:lpstr>Inv Product  changed expense</vt:lpstr>
      <vt:lpstr>Inv Product analysis of change</vt:lpstr>
    </vt:vector>
  </TitlesOfParts>
  <Company>Wealth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Wealth Management</dc:creator>
  <cp:lastModifiedBy>Vincent Zhu</cp:lastModifiedBy>
  <dcterms:created xsi:type="dcterms:W3CDTF">2004-07-31T05:23:53Z</dcterms:created>
  <dcterms:modified xsi:type="dcterms:W3CDTF">2020-07-26T09:03:39Z</dcterms:modified>
</cp:coreProperties>
</file>