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-75" yWindow="15" windowWidth="12900" windowHeight="11760" firstSheet="1" activeTab="3"/>
  </bookViews>
  <sheets>
    <sheet name="Assumptions" sheetId="2" r:id="rId1"/>
    <sheet name="(a) Forecast (Template)" sheetId="4" r:id="rId2"/>
    <sheet name="(a) Forecast (Answer)" sheetId="3" r:id="rId3"/>
    <sheet name="(b) Profit Analysis (answer)" sheetId="16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8" i="3" l="1"/>
  <c r="E25" i="2"/>
  <c r="G6" i="16"/>
  <c r="H6" i="16"/>
  <c r="I6" i="16"/>
  <c r="C13" i="2"/>
  <c r="I25" i="16"/>
  <c r="I11" i="16"/>
  <c r="I26" i="16"/>
  <c r="I27" i="16"/>
  <c r="I14" i="16"/>
  <c r="H25" i="16"/>
  <c r="H11" i="16"/>
  <c r="H26" i="16"/>
  <c r="H27" i="16"/>
  <c r="H14" i="16"/>
  <c r="G25" i="16"/>
  <c r="G11" i="16"/>
  <c r="G26" i="16"/>
  <c r="G27" i="16"/>
  <c r="G14" i="16"/>
  <c r="D31" i="2"/>
  <c r="F6" i="16"/>
  <c r="F25" i="16"/>
  <c r="F11" i="16"/>
  <c r="F26" i="16"/>
  <c r="F27" i="16"/>
  <c r="F14" i="16"/>
  <c r="F5" i="3"/>
  <c r="L8" i="3"/>
  <c r="L5" i="3"/>
  <c r="G6" i="3"/>
  <c r="M8" i="3"/>
  <c r="M6" i="3"/>
  <c r="M5" i="3"/>
  <c r="H7" i="3"/>
  <c r="N8" i="3"/>
  <c r="N7" i="3"/>
  <c r="N6" i="3"/>
  <c r="N5" i="3"/>
  <c r="E4" i="3"/>
  <c r="K8" i="3"/>
  <c r="N4" i="3"/>
  <c r="M4" i="3"/>
  <c r="L4" i="3"/>
  <c r="K4" i="3"/>
  <c r="E6" i="16"/>
  <c r="E25" i="16"/>
  <c r="E11" i="16"/>
  <c r="E26" i="16"/>
  <c r="E27" i="16"/>
  <c r="J27" i="16"/>
  <c r="H8" i="4"/>
  <c r="G7" i="4"/>
  <c r="H7" i="4"/>
  <c r="F6" i="4"/>
  <c r="G6" i="4"/>
  <c r="H6" i="4"/>
  <c r="C6" i="4"/>
  <c r="C7" i="4"/>
  <c r="E5" i="4"/>
  <c r="F5" i="4"/>
  <c r="G5" i="4"/>
  <c r="M4" i="4"/>
  <c r="N4" i="4"/>
  <c r="O4" i="4"/>
  <c r="F4" i="4"/>
  <c r="G4" i="4"/>
  <c r="H4" i="4"/>
  <c r="E13" i="16"/>
  <c r="J4" i="3"/>
  <c r="J5" i="3"/>
  <c r="J6" i="3"/>
  <c r="C5" i="3"/>
  <c r="C6" i="3"/>
  <c r="F3" i="3"/>
  <c r="G3" i="3"/>
  <c r="H3" i="3"/>
  <c r="L3" i="3"/>
  <c r="M3" i="3"/>
  <c r="N3" i="3"/>
  <c r="F29" i="16"/>
  <c r="F12" i="16"/>
  <c r="F13" i="16"/>
  <c r="C18" i="2"/>
  <c r="F7" i="16"/>
  <c r="D9" i="2"/>
  <c r="E9" i="2"/>
  <c r="F9" i="2"/>
  <c r="G9" i="2"/>
  <c r="G18" i="2"/>
  <c r="F25" i="2"/>
  <c r="G25" i="2"/>
  <c r="D12" i="2"/>
  <c r="E12" i="2"/>
  <c r="F12" i="2"/>
  <c r="G12" i="2"/>
  <c r="D6" i="2"/>
  <c r="E6" i="2"/>
  <c r="F6" i="2"/>
  <c r="G6" i="2"/>
  <c r="G5" i="2"/>
  <c r="F31" i="2"/>
  <c r="G31" i="2"/>
  <c r="D20" i="2"/>
  <c r="E20" i="2"/>
  <c r="F20" i="2"/>
  <c r="G20" i="2"/>
  <c r="D15" i="2"/>
  <c r="E15" i="2"/>
  <c r="F15" i="2"/>
  <c r="G15" i="2"/>
  <c r="D17" i="2"/>
  <c r="E17" i="2"/>
  <c r="D11" i="2"/>
  <c r="E11" i="2"/>
  <c r="F11" i="2"/>
  <c r="G11" i="2"/>
  <c r="D8" i="2"/>
  <c r="E8" i="2"/>
  <c r="F8" i="2"/>
  <c r="G8" i="2"/>
  <c r="D7" i="2"/>
  <c r="E7" i="2"/>
  <c r="F7" i="2"/>
  <c r="G7" i="2"/>
  <c r="D5" i="2"/>
  <c r="E5" i="2"/>
  <c r="H17" i="3"/>
  <c r="G17" i="3"/>
  <c r="H6" i="3"/>
  <c r="G5" i="3"/>
  <c r="H5" i="3"/>
  <c r="F4" i="3"/>
  <c r="G4" i="3"/>
  <c r="H4" i="3"/>
  <c r="D13" i="2"/>
  <c r="E13" i="2"/>
  <c r="F13" i="2"/>
  <c r="G13" i="2"/>
  <c r="E29" i="16"/>
  <c r="G29" i="16"/>
  <c r="F17" i="3"/>
  <c r="E17" i="3"/>
  <c r="H5" i="4"/>
  <c r="H13" i="16"/>
  <c r="I29" i="16"/>
  <c r="H29" i="16"/>
  <c r="G12" i="16"/>
  <c r="G13" i="16"/>
  <c r="E12" i="16"/>
  <c r="E7" i="16"/>
  <c r="H12" i="16"/>
  <c r="E14" i="16"/>
  <c r="E18" i="2"/>
  <c r="F17" i="2"/>
  <c r="F18" i="2"/>
  <c r="D18" i="2"/>
  <c r="E12" i="3"/>
  <c r="E18" i="3"/>
  <c r="I12" i="16"/>
  <c r="I13" i="16"/>
  <c r="I7" i="16"/>
  <c r="H7" i="16"/>
  <c r="G15" i="4"/>
  <c r="E15" i="4"/>
  <c r="G7" i="16"/>
  <c r="E15" i="16"/>
  <c r="F15" i="16"/>
  <c r="I8" i="16"/>
  <c r="E31" i="3"/>
  <c r="E19" i="3"/>
  <c r="E8" i="16"/>
  <c r="E35" i="3"/>
  <c r="F12" i="3"/>
  <c r="F19" i="3"/>
  <c r="F8" i="16"/>
  <c r="F18" i="3"/>
  <c r="F34" i="4"/>
  <c r="F22" i="4"/>
  <c r="E34" i="4"/>
  <c r="E22" i="4"/>
  <c r="E24" i="4"/>
  <c r="H15" i="4"/>
  <c r="F15" i="4"/>
  <c r="E17" i="16"/>
  <c r="E19" i="16"/>
  <c r="E21" i="16"/>
  <c r="F17" i="16"/>
  <c r="F19" i="16"/>
  <c r="F21" i="16"/>
  <c r="E13" i="3"/>
  <c r="E14" i="3"/>
  <c r="F31" i="3"/>
  <c r="F35" i="3"/>
  <c r="H12" i="3"/>
  <c r="G12" i="3"/>
  <c r="G19" i="3"/>
  <c r="G8" i="16"/>
  <c r="G18" i="3"/>
  <c r="H19" i="3"/>
  <c r="H8" i="16"/>
  <c r="H18" i="3"/>
  <c r="F24" i="4"/>
  <c r="E26" i="4"/>
  <c r="E28" i="4"/>
  <c r="L8" i="16"/>
  <c r="H34" i="4"/>
  <c r="G34" i="4"/>
  <c r="G22" i="4"/>
  <c r="G24" i="4"/>
  <c r="G15" i="16"/>
  <c r="G17" i="16"/>
  <c r="L9" i="16"/>
  <c r="F13" i="3"/>
  <c r="F14" i="3"/>
  <c r="H31" i="3"/>
  <c r="G31" i="3"/>
  <c r="E32" i="3"/>
  <c r="G35" i="3"/>
  <c r="H35" i="3"/>
  <c r="G26" i="4"/>
  <c r="G28" i="4"/>
  <c r="H22" i="4"/>
  <c r="H24" i="4"/>
  <c r="F26" i="4"/>
  <c r="F28" i="4"/>
  <c r="G19" i="16"/>
  <c r="G21" i="16"/>
  <c r="H15" i="16"/>
  <c r="H17" i="16"/>
  <c r="L10" i="16"/>
  <c r="I15" i="16"/>
  <c r="I17" i="16"/>
  <c r="H13" i="3"/>
  <c r="H14" i="3"/>
  <c r="G13" i="3"/>
  <c r="G14" i="3"/>
  <c r="F32" i="3"/>
  <c r="F33" i="3"/>
  <c r="E33" i="3"/>
  <c r="E20" i="3"/>
  <c r="H26" i="4"/>
  <c r="H28" i="4"/>
  <c r="L11" i="16"/>
  <c r="I19" i="16"/>
  <c r="I21" i="16"/>
  <c r="H19" i="16"/>
  <c r="H21" i="16"/>
  <c r="F20" i="3"/>
  <c r="H32" i="3"/>
  <c r="H33" i="3"/>
  <c r="G32" i="3"/>
  <c r="G33" i="3"/>
  <c r="G20" i="3"/>
  <c r="G21" i="3"/>
  <c r="G23" i="3"/>
  <c r="G25" i="3"/>
  <c r="G27" i="3"/>
  <c r="H20" i="3"/>
  <c r="H21" i="3"/>
  <c r="H23" i="3"/>
  <c r="H25" i="3"/>
  <c r="H27" i="3"/>
  <c r="F21" i="3"/>
  <c r="F23" i="3"/>
  <c r="F25" i="3"/>
  <c r="F27" i="3"/>
  <c r="E21" i="3"/>
  <c r="E23" i="3"/>
  <c r="L5" i="16"/>
  <c r="L13" i="16"/>
  <c r="E25" i="3"/>
  <c r="E27" i="3"/>
</calcChain>
</file>

<file path=xl/sharedStrings.xml><?xml version="1.0" encoding="utf-8"?>
<sst xmlns="http://schemas.openxmlformats.org/spreadsheetml/2006/main" count="120" uniqueCount="66">
  <si>
    <t>Loss Ratio</t>
  </si>
  <si>
    <t>Lapse Rate</t>
  </si>
  <si>
    <t>Premium Growth</t>
  </si>
  <si>
    <t>IBNR</t>
  </si>
  <si>
    <t>Issue Year</t>
  </si>
  <si>
    <t>Projected Premium</t>
  </si>
  <si>
    <t>Premium</t>
  </si>
  <si>
    <t>Maintenance Expenses</t>
  </si>
  <si>
    <t>Renewal Commission</t>
  </si>
  <si>
    <t>Initial Commission</t>
  </si>
  <si>
    <t>Maintenace Expenes</t>
  </si>
  <si>
    <t>Policy Liability</t>
  </si>
  <si>
    <t>DAC</t>
  </si>
  <si>
    <t>Investment Income</t>
  </si>
  <si>
    <t>Capital Required</t>
  </si>
  <si>
    <t>Half yearly</t>
  </si>
  <si>
    <t>REVENUE</t>
  </si>
  <si>
    <t>Total Revenue</t>
  </si>
  <si>
    <t>EXPENSES</t>
  </si>
  <si>
    <t>Total Expenses</t>
  </si>
  <si>
    <t>Pre-Tax Profit</t>
  </si>
  <si>
    <t>Tax (at 30%)</t>
  </si>
  <si>
    <t>PROFIT and LOSS (Forecast)</t>
  </si>
  <si>
    <t>Capital Minimum</t>
  </si>
  <si>
    <t>Net Profit After Tax (NPAT)</t>
  </si>
  <si>
    <t>Supporting Information</t>
  </si>
  <si>
    <t>Analysis of Profit for Omega Life Ltd</t>
  </si>
  <si>
    <t>Forecast 2014 Profit (pre-tax)</t>
  </si>
  <si>
    <t>$</t>
  </si>
  <si>
    <t>Actual 2014 Profit (pre-tax)</t>
  </si>
  <si>
    <t>1) Number of New Business Sales</t>
  </si>
  <si>
    <t>2) Average size of New Business Sales</t>
  </si>
  <si>
    <t>3) Claims Experience</t>
  </si>
  <si>
    <t>4) Investment Income Experience</t>
  </si>
  <si>
    <t>Claims Incurred (excluding IBNR)</t>
  </si>
  <si>
    <t>Change in Policy Liability</t>
  </si>
  <si>
    <t>ASSUMPTIONS</t>
  </si>
  <si>
    <t>New Business</t>
  </si>
  <si>
    <t>No. of new Policies</t>
  </si>
  <si>
    <t>Average Premium Per Policy</t>
  </si>
  <si>
    <t>2013 Forecast</t>
  </si>
  <si>
    <t>2014 Actuals</t>
  </si>
  <si>
    <t>(1) Number of New Policies</t>
  </si>
  <si>
    <t>(2) Average New Policy Premium</t>
  </si>
  <si>
    <t>(3) Claims Experience</t>
  </si>
  <si>
    <t>(4) Investment Income Experience</t>
  </si>
  <si>
    <t>DAC Amortisation Period (years)</t>
  </si>
  <si>
    <t>Forecast</t>
  </si>
  <si>
    <t>Maintenance Expenses ($)</t>
  </si>
  <si>
    <t>Projection Year</t>
  </si>
  <si>
    <t>Marks</t>
  </si>
  <si>
    <t>Comments</t>
  </si>
  <si>
    <t>Simply the sum of the premiums provided by the analyst for each year</t>
  </si>
  <si>
    <t>Initial Premium x 30%</t>
  </si>
  <si>
    <t>Maintenance Expense Assump x Premium</t>
  </si>
  <si>
    <t>Loss ratio x premium x (1 - 0.25) (the latter allowing forIBNR)</t>
  </si>
  <si>
    <t>Elements of the policy liability are shown below</t>
  </si>
  <si>
    <t>30% tax on pre-tax profit</t>
  </si>
  <si>
    <t>0.25 x loss ratio x premiums</t>
  </si>
  <si>
    <t>Calculated based on run off of intial premium for each new business cohort</t>
  </si>
  <si>
    <t>Calculated as max(10m, 115% x premium)</t>
  </si>
  <si>
    <t>Calculate as 4% x (capital + premium - initial commission) + 4%/2 x (claims incurred + main expenses) or something similar. Student should comment on calc of investment income</t>
  </si>
  <si>
    <t>Shaded Cells show the change from the previous assumption set</t>
  </si>
  <si>
    <t>Impact on Pre-tax profit resulting from</t>
  </si>
  <si>
    <t>No mark if assumption is unreasonable</t>
  </si>
  <si>
    <t>Actual Profit should be the same as in b(i)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</si>
</sst>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3" xfId="0" applyBorder="1"/>
    <xf numFmtId="3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 textRotation="90"/>
    </xf>
    <xf numFmtId="0" fontId="3" fillId="0" borderId="0" xfId="0" applyFont="1"/>
    <xf numFmtId="164" fontId="0" fillId="0" borderId="0" xfId="0" applyNumberFormat="1"/>
    <xf numFmtId="9" fontId="2" fillId="0" borderId="0" xfId="1" applyFont="1"/>
    <xf numFmtId="0" fontId="3" fillId="0" borderId="8" xfId="0" applyFont="1" applyBorder="1"/>
    <xf numFmtId="0" fontId="0" fillId="0" borderId="11" xfId="0" applyBorder="1"/>
    <xf numFmtId="0" fontId="0" fillId="0" borderId="12" xfId="0" applyBorder="1"/>
    <xf numFmtId="0" fontId="3" fillId="0" borderId="11" xfId="0" applyFont="1" applyBorder="1"/>
    <xf numFmtId="0" fontId="0" fillId="0" borderId="11" xfId="0" applyFont="1" applyBorder="1"/>
    <xf numFmtId="0" fontId="2" fillId="0" borderId="11" xfId="0" applyFont="1" applyBorder="1"/>
    <xf numFmtId="0" fontId="0" fillId="0" borderId="13" xfId="0" applyBorder="1"/>
    <xf numFmtId="0" fontId="0" fillId="0" borderId="6" xfId="0" applyBorder="1"/>
    <xf numFmtId="0" fontId="0" fillId="0" borderId="15" xfId="0" applyBorder="1"/>
    <xf numFmtId="3" fontId="0" fillId="0" borderId="15" xfId="0" applyNumberFormat="1" applyFont="1" applyBorder="1"/>
    <xf numFmtId="3" fontId="2" fillId="0" borderId="16" xfId="0" applyNumberFormat="1" applyFont="1" applyBorder="1"/>
    <xf numFmtId="3" fontId="2" fillId="0" borderId="15" xfId="0" applyNumberFormat="1" applyFont="1" applyBorder="1"/>
    <xf numFmtId="0" fontId="3" fillId="0" borderId="10" xfId="0" applyFont="1" applyBorder="1"/>
    <xf numFmtId="0" fontId="0" fillId="0" borderId="12" xfId="0" applyFont="1" applyBorder="1"/>
    <xf numFmtId="0" fontId="2" fillId="0" borderId="12" xfId="0" applyFont="1" applyBorder="1"/>
    <xf numFmtId="0" fontId="2" fillId="0" borderId="13" xfId="0" applyFont="1" applyBorder="1"/>
    <xf numFmtId="3" fontId="2" fillId="0" borderId="3" xfId="0" applyNumberFormat="1" applyFont="1" applyBorder="1"/>
    <xf numFmtId="0" fontId="2" fillId="0" borderId="2" xfId="0" applyFont="1" applyBorder="1"/>
    <xf numFmtId="10" fontId="0" fillId="0" borderId="0" xfId="0" applyNumberFormat="1"/>
    <xf numFmtId="0" fontId="0" fillId="0" borderId="0" xfId="0" quotePrefix="1" applyAlignment="1">
      <alignment wrapText="1"/>
    </xf>
    <xf numFmtId="3" fontId="0" fillId="2" borderId="0" xfId="0" applyNumberFormat="1" applyFill="1"/>
    <xf numFmtId="9" fontId="0" fillId="2" borderId="0" xfId="0" applyNumberFormat="1" applyFill="1"/>
    <xf numFmtId="0" fontId="0" fillId="0" borderId="1" xfId="0" quotePrefix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0" xfId="0" applyNumberFormat="1" applyFill="1"/>
    <xf numFmtId="0" fontId="4" fillId="0" borderId="8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0" fillId="2" borderId="8" xfId="0" applyFill="1" applyBorder="1"/>
    <xf numFmtId="0" fontId="3" fillId="2" borderId="9" xfId="0" applyFont="1" applyFill="1" applyBorder="1"/>
    <xf numFmtId="0" fontId="0" fillId="2" borderId="11" xfId="0" applyFill="1" applyBorder="1"/>
    <xf numFmtId="0" fontId="0" fillId="2" borderId="0" xfId="0" applyFill="1" applyBorder="1"/>
    <xf numFmtId="0" fontId="0" fillId="2" borderId="12" xfId="0" applyFill="1" applyBorder="1"/>
    <xf numFmtId="3" fontId="0" fillId="2" borderId="0" xfId="0" applyNumberFormat="1" applyFill="1" applyBorder="1"/>
    <xf numFmtId="3" fontId="0" fillId="2" borderId="12" xfId="0" applyNumberFormat="1" applyFill="1" applyBorder="1"/>
    <xf numFmtId="0" fontId="0" fillId="2" borderId="14" xfId="0" applyFill="1" applyBorder="1"/>
    <xf numFmtId="3" fontId="0" fillId="2" borderId="14" xfId="0" applyNumberFormat="1" applyFill="1" applyBorder="1"/>
    <xf numFmtId="3" fontId="0" fillId="2" borderId="6" xfId="0" applyNumberFormat="1" applyFill="1" applyBorder="1"/>
    <xf numFmtId="0" fontId="0" fillId="2" borderId="6" xfId="0" applyFill="1" applyBorder="1"/>
    <xf numFmtId="0" fontId="0" fillId="2" borderId="13" xfId="0" applyFill="1" applyBorder="1"/>
    <xf numFmtId="0" fontId="3" fillId="2" borderId="10" xfId="0" applyFont="1" applyFill="1" applyBorder="1"/>
    <xf numFmtId="3" fontId="0" fillId="0" borderId="15" xfId="0" applyNumberFormat="1" applyFont="1" applyBorder="1" applyAlignment="1">
      <alignment wrapText="1"/>
    </xf>
    <xf numFmtId="3" fontId="2" fillId="0" borderId="16" xfId="0" applyNumberFormat="1" applyFont="1" applyBorder="1" applyAlignment="1">
      <alignment wrapText="1"/>
    </xf>
    <xf numFmtId="3" fontId="2" fillId="0" borderId="15" xfId="0" applyNumberFormat="1" applyFont="1" applyBorder="1" applyAlignment="1">
      <alignment wrapText="1"/>
    </xf>
    <xf numFmtId="0" fontId="0" fillId="0" borderId="15" xfId="0" applyBorder="1" applyAlignment="1">
      <alignment wrapText="1"/>
    </xf>
    <xf numFmtId="3" fontId="2" fillId="0" borderId="3" xfId="0" applyNumberFormat="1" applyFont="1" applyBorder="1" applyAlignment="1">
      <alignment wrapText="1"/>
    </xf>
    <xf numFmtId="0" fontId="0" fillId="0" borderId="3" xfId="0" applyBorder="1" applyAlignment="1">
      <alignment wrapText="1"/>
    </xf>
    <xf numFmtId="0" fontId="2" fillId="0" borderId="2" xfId="0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2" borderId="15" xfId="0" applyNumberFormat="1" applyFont="1" applyFill="1" applyBorder="1"/>
    <xf numFmtId="0" fontId="0" fillId="0" borderId="8" xfId="0" applyFill="1" applyBorder="1"/>
    <xf numFmtId="0" fontId="3" fillId="0" borderId="9" xfId="0" applyFont="1" applyFill="1" applyBorder="1"/>
    <xf numFmtId="0" fontId="0" fillId="0" borderId="11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5" xfId="0" applyFill="1" applyBorder="1"/>
    <xf numFmtId="0" fontId="0" fillId="0" borderId="4" xfId="0" applyFill="1" applyBorder="1"/>
    <xf numFmtId="3" fontId="0" fillId="0" borderId="11" xfId="0" applyNumberFormat="1" applyFill="1" applyBorder="1"/>
    <xf numFmtId="3" fontId="0" fillId="0" borderId="0" xfId="0" applyNumberFormat="1" applyFill="1" applyBorder="1"/>
    <xf numFmtId="3" fontId="0" fillId="0" borderId="12" xfId="0" applyNumberFormat="1" applyFill="1" applyBorder="1"/>
    <xf numFmtId="0" fontId="0" fillId="0" borderId="14" xfId="0" applyFill="1" applyBorder="1"/>
    <xf numFmtId="3" fontId="0" fillId="0" borderId="13" xfId="0" applyNumberFormat="1" applyFill="1" applyBorder="1"/>
    <xf numFmtId="3" fontId="0" fillId="0" borderId="14" xfId="0" applyNumberFormat="1" applyFill="1" applyBorder="1"/>
    <xf numFmtId="3" fontId="0" fillId="0" borderId="6" xfId="0" applyNumberFormat="1" applyFill="1" applyBorder="1"/>
    <xf numFmtId="165" fontId="0" fillId="0" borderId="0" xfId="2" applyNumberFormat="1" applyFont="1"/>
    <xf numFmtId="0" fontId="6" fillId="0" borderId="0" xfId="0" applyFont="1" applyAlignment="1">
      <alignment horizontal="center"/>
    </xf>
    <xf numFmtId="0" fontId="0" fillId="2" borderId="11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 textRotation="90"/>
    </xf>
    <xf numFmtId="0" fontId="0" fillId="0" borderId="13" xfId="0" applyFill="1" applyBorder="1" applyAlignment="1">
      <alignment horizontal="center" vertical="center" textRotation="90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 vertical="center" textRotation="90"/>
    </xf>
    <xf numFmtId="0" fontId="5" fillId="0" borderId="9" xfId="0" applyFont="1" applyFill="1" applyBorder="1" applyAlignment="1">
      <alignment vertical="center"/>
    </xf>
  </cellXfs>
  <cellStyles count="13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1:I34"/>
  <sheetViews>
    <sheetView zoomScale="80" zoomScaleNormal="80" zoomScalePageLayoutView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5" sqref="C25"/>
    </sheetView>
  </sheetViews>
  <sheetFormatPr defaultColWidth="8.85546875" defaultRowHeight="15" x14ac:dyDescent="0.25"/>
  <cols>
    <col min="2" max="2" width="37" customWidth="1"/>
    <col min="3" max="7" width="17.42578125" customWidth="1"/>
    <col min="8" max="10" width="15.85546875" customWidth="1"/>
  </cols>
  <sheetData>
    <row r="1" spans="2:9" ht="22.5" customHeight="1" x14ac:dyDescent="0.25">
      <c r="D1" s="81" t="s">
        <v>62</v>
      </c>
      <c r="E1" s="81"/>
      <c r="F1" s="81"/>
      <c r="G1" s="81"/>
    </row>
    <row r="2" spans="2:9" x14ac:dyDescent="0.25">
      <c r="B2" s="7" t="s">
        <v>36</v>
      </c>
      <c r="C2" s="4" t="s">
        <v>40</v>
      </c>
      <c r="D2" s="4" t="s">
        <v>41</v>
      </c>
      <c r="E2" s="4" t="s">
        <v>41</v>
      </c>
      <c r="F2" s="4" t="s">
        <v>41</v>
      </c>
      <c r="G2" s="4" t="s">
        <v>41</v>
      </c>
    </row>
    <row r="3" spans="2:9" ht="45" x14ac:dyDescent="0.25">
      <c r="B3" s="7"/>
      <c r="D3" s="29" t="s">
        <v>42</v>
      </c>
      <c r="E3" s="29" t="s">
        <v>43</v>
      </c>
      <c r="F3" s="29" t="s">
        <v>44</v>
      </c>
      <c r="G3" s="29" t="s">
        <v>45</v>
      </c>
    </row>
    <row r="5" spans="2:9" x14ac:dyDescent="0.25">
      <c r="B5" t="s">
        <v>0</v>
      </c>
      <c r="C5" s="3">
        <v>0.75</v>
      </c>
      <c r="D5" s="3">
        <f>C5</f>
        <v>0.75</v>
      </c>
      <c r="E5" s="3">
        <f t="shared" ref="E5:G5" si="0">D5</f>
        <v>0.75</v>
      </c>
      <c r="F5" s="31">
        <v>0.85</v>
      </c>
      <c r="G5" s="3">
        <f t="shared" si="0"/>
        <v>0.85</v>
      </c>
      <c r="I5" s="28"/>
    </row>
    <row r="6" spans="2:9" x14ac:dyDescent="0.25">
      <c r="B6" t="s">
        <v>9</v>
      </c>
      <c r="C6" s="3">
        <v>0.3</v>
      </c>
      <c r="D6" s="3">
        <f t="shared" ref="D6:G13" si="1">C6</f>
        <v>0.3</v>
      </c>
      <c r="E6" s="3">
        <f t="shared" si="1"/>
        <v>0.3</v>
      </c>
      <c r="F6" s="3">
        <f t="shared" si="1"/>
        <v>0.3</v>
      </c>
      <c r="G6" s="3">
        <f t="shared" si="1"/>
        <v>0.3</v>
      </c>
    </row>
    <row r="7" spans="2:9" x14ac:dyDescent="0.25">
      <c r="B7" t="s">
        <v>8</v>
      </c>
      <c r="C7" s="3">
        <v>0</v>
      </c>
      <c r="D7" s="3">
        <f t="shared" si="1"/>
        <v>0</v>
      </c>
      <c r="E7" s="3">
        <f t="shared" si="1"/>
        <v>0</v>
      </c>
      <c r="F7" s="3">
        <f t="shared" si="1"/>
        <v>0</v>
      </c>
      <c r="G7" s="3">
        <f t="shared" si="1"/>
        <v>0</v>
      </c>
    </row>
    <row r="8" spans="2:9" x14ac:dyDescent="0.25">
      <c r="B8" t="s">
        <v>10</v>
      </c>
      <c r="C8" s="3">
        <v>0.12</v>
      </c>
      <c r="D8" s="3">
        <f t="shared" si="1"/>
        <v>0.12</v>
      </c>
      <c r="E8" s="3">
        <f t="shared" si="1"/>
        <v>0.12</v>
      </c>
      <c r="F8" s="3">
        <f t="shared" si="1"/>
        <v>0.12</v>
      </c>
      <c r="G8" s="3">
        <f t="shared" si="1"/>
        <v>0.12</v>
      </c>
    </row>
    <row r="9" spans="2:9" x14ac:dyDescent="0.25">
      <c r="B9" t="s">
        <v>48</v>
      </c>
      <c r="C9" s="2">
        <v>1000000</v>
      </c>
      <c r="D9" s="2">
        <f t="shared" si="1"/>
        <v>1000000</v>
      </c>
      <c r="E9" s="2">
        <f t="shared" si="1"/>
        <v>1000000</v>
      </c>
      <c r="F9" s="2">
        <f t="shared" si="1"/>
        <v>1000000</v>
      </c>
      <c r="G9" s="2">
        <f t="shared" si="1"/>
        <v>1000000</v>
      </c>
    </row>
    <row r="10" spans="2:9" x14ac:dyDescent="0.25">
      <c r="C10" s="3"/>
      <c r="D10" s="3"/>
      <c r="E10" s="3"/>
      <c r="F10" s="3"/>
      <c r="G10" s="3"/>
    </row>
    <row r="11" spans="2:9" x14ac:dyDescent="0.25">
      <c r="B11" t="s">
        <v>1</v>
      </c>
      <c r="C11" s="3">
        <v>0.12</v>
      </c>
      <c r="D11" s="3">
        <f t="shared" si="1"/>
        <v>0.12</v>
      </c>
      <c r="E11" s="3">
        <f t="shared" si="1"/>
        <v>0.12</v>
      </c>
      <c r="F11" s="3">
        <f t="shared" si="1"/>
        <v>0.12</v>
      </c>
      <c r="G11" s="3">
        <f t="shared" si="1"/>
        <v>0.12</v>
      </c>
    </row>
    <row r="12" spans="2:9" x14ac:dyDescent="0.25">
      <c r="B12" t="s">
        <v>2</v>
      </c>
      <c r="C12" s="3">
        <v>0</v>
      </c>
      <c r="D12" s="3">
        <f t="shared" si="1"/>
        <v>0</v>
      </c>
      <c r="E12" s="3">
        <f t="shared" si="1"/>
        <v>0</v>
      </c>
      <c r="F12" s="3">
        <f t="shared" si="1"/>
        <v>0</v>
      </c>
      <c r="G12" s="3">
        <f t="shared" si="1"/>
        <v>0</v>
      </c>
    </row>
    <row r="13" spans="2:9" x14ac:dyDescent="0.25">
      <c r="B13" t="s">
        <v>3</v>
      </c>
      <c r="C13">
        <f>3/12</f>
        <v>0.25</v>
      </c>
      <c r="D13">
        <f t="shared" si="1"/>
        <v>0.25</v>
      </c>
      <c r="E13">
        <f t="shared" si="1"/>
        <v>0.25</v>
      </c>
      <c r="F13">
        <f t="shared" si="1"/>
        <v>0.25</v>
      </c>
      <c r="G13">
        <f t="shared" si="1"/>
        <v>0.25</v>
      </c>
    </row>
    <row r="15" spans="2:9" x14ac:dyDescent="0.25">
      <c r="B15" t="s">
        <v>46</v>
      </c>
      <c r="C15">
        <v>5</v>
      </c>
      <c r="D15">
        <f t="shared" ref="D15:G20" si="2">C15</f>
        <v>5</v>
      </c>
      <c r="E15">
        <f t="shared" si="2"/>
        <v>5</v>
      </c>
      <c r="F15">
        <f t="shared" si="2"/>
        <v>5</v>
      </c>
      <c r="G15">
        <f t="shared" si="2"/>
        <v>5</v>
      </c>
    </row>
    <row r="17" spans="2:7" x14ac:dyDescent="0.25">
      <c r="B17" t="s">
        <v>13</v>
      </c>
      <c r="C17" s="8">
        <v>0.04</v>
      </c>
      <c r="D17" s="8">
        <f t="shared" si="2"/>
        <v>0.04</v>
      </c>
      <c r="E17" s="8">
        <f t="shared" si="2"/>
        <v>0.04</v>
      </c>
      <c r="F17" s="8">
        <f t="shared" si="2"/>
        <v>0.04</v>
      </c>
      <c r="G17" s="35">
        <v>0.06</v>
      </c>
    </row>
    <row r="18" spans="2:7" x14ac:dyDescent="0.25">
      <c r="B18" t="s">
        <v>15</v>
      </c>
      <c r="C18" s="8">
        <f>(1+C17)^(1/2)-1</f>
        <v>1.9803902718557032E-2</v>
      </c>
      <c r="D18" s="8">
        <f>(1+D17)^(1/2)-1</f>
        <v>1.9803902718557032E-2</v>
      </c>
      <c r="E18" s="8">
        <f>(1+E17)^(1/2)-1</f>
        <v>1.9803902718557032E-2</v>
      </c>
      <c r="F18" s="8">
        <f>(1+F17)^(1/2)-1</f>
        <v>1.9803902718557032E-2</v>
      </c>
      <c r="G18" s="8">
        <f>(1+G17)^(1/2)-1</f>
        <v>2.9563014098699991E-2</v>
      </c>
    </row>
    <row r="20" spans="2:7" x14ac:dyDescent="0.25">
      <c r="B20" t="s">
        <v>23</v>
      </c>
      <c r="C20" s="2">
        <v>10000000</v>
      </c>
      <c r="D20" s="2">
        <f t="shared" si="2"/>
        <v>10000000</v>
      </c>
      <c r="E20" s="2">
        <f t="shared" si="2"/>
        <v>10000000</v>
      </c>
      <c r="F20" s="2">
        <f t="shared" si="2"/>
        <v>10000000</v>
      </c>
      <c r="G20" s="2">
        <f t="shared" si="2"/>
        <v>10000000</v>
      </c>
    </row>
    <row r="22" spans="2:7" x14ac:dyDescent="0.25">
      <c r="B22" s="7" t="s">
        <v>37</v>
      </c>
    </row>
    <row r="24" spans="2:7" x14ac:dyDescent="0.25">
      <c r="B24" s="4" t="s">
        <v>38</v>
      </c>
    </row>
    <row r="25" spans="2:7" x14ac:dyDescent="0.25">
      <c r="B25" s="4">
        <v>2014</v>
      </c>
      <c r="C25" s="2">
        <v>4000</v>
      </c>
      <c r="D25" s="30">
        <v>1500</v>
      </c>
      <c r="E25" s="2">
        <f t="shared" ref="E25:G25" si="3">D25</f>
        <v>1500</v>
      </c>
      <c r="F25" s="2">
        <f t="shared" si="3"/>
        <v>1500</v>
      </c>
      <c r="G25" s="2">
        <f t="shared" si="3"/>
        <v>1500</v>
      </c>
    </row>
    <row r="26" spans="2:7" x14ac:dyDescent="0.25">
      <c r="B26" s="4">
        <v>2015</v>
      </c>
      <c r="C26" s="2">
        <v>6000</v>
      </c>
      <c r="D26" s="2"/>
      <c r="E26" s="2"/>
      <c r="F26" s="2"/>
      <c r="G26" s="2"/>
    </row>
    <row r="27" spans="2:7" x14ac:dyDescent="0.25">
      <c r="B27" s="4">
        <v>2016</v>
      </c>
      <c r="C27" s="2">
        <v>9000</v>
      </c>
      <c r="D27" s="2"/>
      <c r="E27" s="2"/>
      <c r="F27" s="2"/>
      <c r="G27" s="2"/>
    </row>
    <row r="28" spans="2:7" x14ac:dyDescent="0.25">
      <c r="B28" s="4">
        <v>2017</v>
      </c>
      <c r="C28" s="2">
        <v>12000</v>
      </c>
      <c r="D28" s="2"/>
      <c r="E28" s="2"/>
      <c r="F28" s="2"/>
      <c r="G28" s="2"/>
    </row>
    <row r="29" spans="2:7" x14ac:dyDescent="0.25">
      <c r="B29" s="4"/>
      <c r="C29" s="2"/>
      <c r="D29" s="2"/>
      <c r="E29" s="2"/>
      <c r="F29" s="2"/>
      <c r="G29" s="2"/>
    </row>
    <row r="30" spans="2:7" x14ac:dyDescent="0.25">
      <c r="B30" t="s">
        <v>39</v>
      </c>
      <c r="C30" s="2"/>
      <c r="D30" s="2"/>
      <c r="E30" s="2"/>
      <c r="F30" s="2"/>
      <c r="G30" s="2"/>
    </row>
    <row r="31" spans="2:7" x14ac:dyDescent="0.25">
      <c r="B31" s="4">
        <v>2014</v>
      </c>
      <c r="C31" s="2">
        <v>800</v>
      </c>
      <c r="D31" s="2">
        <f t="shared" ref="D31:G31" si="4">C31</f>
        <v>800</v>
      </c>
      <c r="E31" s="30">
        <v>1400</v>
      </c>
      <c r="F31" s="2">
        <f t="shared" si="4"/>
        <v>1400</v>
      </c>
      <c r="G31" s="2">
        <f t="shared" si="4"/>
        <v>1400</v>
      </c>
    </row>
    <row r="32" spans="2:7" x14ac:dyDescent="0.25">
      <c r="B32" s="4">
        <v>2015</v>
      </c>
      <c r="C32" s="2">
        <v>950</v>
      </c>
      <c r="D32" s="2"/>
      <c r="E32" s="2"/>
      <c r="F32" s="2"/>
      <c r="G32" s="2"/>
    </row>
    <row r="33" spans="2:7" x14ac:dyDescent="0.25">
      <c r="B33" s="4">
        <v>2016</v>
      </c>
      <c r="C33" s="2">
        <v>1200</v>
      </c>
      <c r="D33" s="2"/>
      <c r="E33" s="2"/>
      <c r="F33" s="2"/>
      <c r="G33" s="2"/>
    </row>
    <row r="34" spans="2:7" x14ac:dyDescent="0.25">
      <c r="B34" s="4">
        <v>2017</v>
      </c>
      <c r="C34" s="2">
        <v>1350</v>
      </c>
      <c r="D34" s="2"/>
      <c r="E34" s="2"/>
      <c r="F34" s="2"/>
      <c r="G34" s="2"/>
    </row>
  </sheetData>
  <mergeCells count="1">
    <mergeCell ref="D1:G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2:O39"/>
  <sheetViews>
    <sheetView workbookViewId="0">
      <selection activeCell="L5" sqref="L5"/>
    </sheetView>
  </sheetViews>
  <sheetFormatPr defaultColWidth="8.85546875" defaultRowHeight="15" x14ac:dyDescent="0.25"/>
  <cols>
    <col min="1" max="1" width="5.42578125" customWidth="1"/>
    <col min="2" max="2" width="4.42578125" customWidth="1"/>
    <col min="3" max="3" width="29.85546875" customWidth="1"/>
    <col min="4" max="4" width="3" customWidth="1"/>
    <col min="5" max="8" width="14.140625" customWidth="1"/>
    <col min="10" max="10" width="29.7109375" customWidth="1"/>
    <col min="12" max="15" width="14.140625" customWidth="1"/>
  </cols>
  <sheetData>
    <row r="2" spans="2:15" ht="15.75" thickBot="1" x14ac:dyDescent="0.3">
      <c r="C2" s="7" t="s">
        <v>5</v>
      </c>
      <c r="D2" s="7"/>
      <c r="K2" s="7" t="s">
        <v>12</v>
      </c>
    </row>
    <row r="3" spans="2:15" ht="15.75" thickBot="1" x14ac:dyDescent="0.3">
      <c r="B3" s="44"/>
      <c r="C3" s="56"/>
      <c r="D3" s="45"/>
      <c r="E3" s="84" t="s">
        <v>49</v>
      </c>
      <c r="F3" s="85"/>
      <c r="G3" s="85"/>
      <c r="H3" s="86"/>
      <c r="J3" s="66"/>
      <c r="K3" s="67"/>
      <c r="L3" s="89" t="s">
        <v>49</v>
      </c>
      <c r="M3" s="90"/>
      <c r="N3" s="90"/>
      <c r="O3" s="91"/>
    </row>
    <row r="4" spans="2:15" ht="15.75" thickBot="1" x14ac:dyDescent="0.3">
      <c r="B4" s="46"/>
      <c r="C4" s="48"/>
      <c r="D4" s="47"/>
      <c r="E4" s="55">
        <v>2014</v>
      </c>
      <c r="F4" s="51">
        <f>E4+1</f>
        <v>2015</v>
      </c>
      <c r="G4" s="51">
        <f t="shared" ref="G4:H4" si="0">F4+1</f>
        <v>2016</v>
      </c>
      <c r="H4" s="54">
        <f t="shared" si="0"/>
        <v>2017</v>
      </c>
      <c r="J4" s="68"/>
      <c r="K4" s="69"/>
      <c r="L4" s="70">
        <v>2014</v>
      </c>
      <c r="M4" s="71">
        <f>L4+1</f>
        <v>2015</v>
      </c>
      <c r="N4" s="71">
        <f t="shared" ref="N4:O4" si="1">M4+1</f>
        <v>2016</v>
      </c>
      <c r="O4" s="72">
        <f t="shared" si="1"/>
        <v>2017</v>
      </c>
    </row>
    <row r="5" spans="2:15" x14ac:dyDescent="0.25">
      <c r="B5" s="82" t="s">
        <v>4</v>
      </c>
      <c r="C5" s="48">
        <v>2014</v>
      </c>
      <c r="D5" s="47"/>
      <c r="E5" s="49">
        <f>Assumptions!C25*Assumptions!C31</f>
        <v>3200000</v>
      </c>
      <c r="F5" s="49">
        <f>E$5*(1-Assumptions!$C$11)</f>
        <v>2816000</v>
      </c>
      <c r="G5" s="49">
        <f>F$5*(1-Assumptions!$C$11)</f>
        <v>2478080</v>
      </c>
      <c r="H5" s="50">
        <f>G$5*(1-Assumptions!$C$11)</f>
        <v>2180710.3999999999</v>
      </c>
      <c r="J5" s="87" t="s">
        <v>4</v>
      </c>
      <c r="K5" s="69">
        <v>2014</v>
      </c>
      <c r="L5" s="73"/>
      <c r="M5" s="74"/>
      <c r="N5" s="74"/>
      <c r="O5" s="75"/>
    </row>
    <row r="6" spans="2:15" x14ac:dyDescent="0.25">
      <c r="B6" s="82"/>
      <c r="C6" s="48">
        <f t="shared" ref="C6:C7" si="2">C5+1</f>
        <v>2015</v>
      </c>
      <c r="D6" s="47"/>
      <c r="E6" s="49"/>
      <c r="F6" s="49">
        <f>Assumptions!C26*Assumptions!C32</f>
        <v>5700000</v>
      </c>
      <c r="G6" s="49">
        <f>F$6*(1-Assumptions!$C$11)</f>
        <v>5016000</v>
      </c>
      <c r="H6" s="50">
        <f>G$6*(1-Assumptions!$C$11)</f>
        <v>4414080</v>
      </c>
      <c r="J6" s="87"/>
      <c r="K6" s="69">
        <v>2015</v>
      </c>
      <c r="L6" s="73"/>
      <c r="M6" s="74"/>
      <c r="N6" s="74"/>
      <c r="O6" s="75"/>
    </row>
    <row r="7" spans="2:15" x14ac:dyDescent="0.25">
      <c r="B7" s="82"/>
      <c r="C7" s="48">
        <f t="shared" si="2"/>
        <v>2016</v>
      </c>
      <c r="D7" s="47"/>
      <c r="E7" s="49"/>
      <c r="F7" s="49"/>
      <c r="G7" s="49">
        <f>Assumptions!C27*Assumptions!C33</f>
        <v>10800000</v>
      </c>
      <c r="H7" s="50">
        <f>G$7*(1-Assumptions!$C$11)</f>
        <v>9504000</v>
      </c>
      <c r="J7" s="87"/>
      <c r="K7" s="69">
        <v>2016</v>
      </c>
      <c r="L7" s="73"/>
      <c r="M7" s="74"/>
      <c r="N7" s="74"/>
      <c r="O7" s="75"/>
    </row>
    <row r="8" spans="2:15" ht="15.75" thickBot="1" x14ac:dyDescent="0.3">
      <c r="B8" s="83"/>
      <c r="C8" s="54">
        <v>2017</v>
      </c>
      <c r="D8" s="51"/>
      <c r="E8" s="52"/>
      <c r="F8" s="52"/>
      <c r="G8" s="52"/>
      <c r="H8" s="53">
        <f>Assumptions!C28*Assumptions!C34</f>
        <v>16200000</v>
      </c>
      <c r="J8" s="88"/>
      <c r="K8" s="76">
        <v>2017</v>
      </c>
      <c r="L8" s="77"/>
      <c r="M8" s="78"/>
      <c r="N8" s="78"/>
      <c r="O8" s="79"/>
    </row>
    <row r="9" spans="2:15" ht="15.75" thickBot="1" x14ac:dyDescent="0.3">
      <c r="B9" s="6"/>
      <c r="E9" s="2"/>
      <c r="F9" s="2"/>
      <c r="G9" s="2"/>
      <c r="H9" s="2"/>
      <c r="I9" s="64"/>
      <c r="J9" s="64"/>
    </row>
    <row r="10" spans="2:15" x14ac:dyDescent="0.25">
      <c r="B10" s="6"/>
      <c r="C10" s="10" t="s">
        <v>22</v>
      </c>
      <c r="D10" s="22"/>
      <c r="E10" s="27">
        <v>2014</v>
      </c>
      <c r="F10" s="27">
        <v>2015</v>
      </c>
      <c r="G10" s="27">
        <v>2016</v>
      </c>
      <c r="H10" s="27">
        <v>2017</v>
      </c>
    </row>
    <row r="11" spans="2:15" ht="15.75" thickBot="1" x14ac:dyDescent="0.3">
      <c r="C11" s="16"/>
      <c r="D11" s="17"/>
      <c r="E11" s="1"/>
      <c r="F11" s="1"/>
      <c r="G11" s="1"/>
      <c r="H11" s="1"/>
    </row>
    <row r="12" spans="2:15" x14ac:dyDescent="0.25">
      <c r="C12" s="13" t="s">
        <v>16</v>
      </c>
      <c r="D12" s="12"/>
      <c r="E12" s="18"/>
      <c r="F12" s="18"/>
      <c r="G12" s="18"/>
      <c r="H12" s="18"/>
    </row>
    <row r="13" spans="2:15" x14ac:dyDescent="0.25">
      <c r="C13" s="14" t="s">
        <v>6</v>
      </c>
      <c r="D13" s="23"/>
      <c r="E13" s="19"/>
      <c r="F13" s="19"/>
      <c r="G13" s="19"/>
      <c r="H13" s="19"/>
      <c r="J13" s="2"/>
      <c r="K13" s="2"/>
      <c r="L13" s="2"/>
      <c r="M13" s="2"/>
    </row>
    <row r="14" spans="2:15" x14ac:dyDescent="0.25">
      <c r="C14" s="14" t="s">
        <v>13</v>
      </c>
      <c r="D14" s="23"/>
      <c r="E14" s="19"/>
      <c r="F14" s="19"/>
      <c r="G14" s="19"/>
      <c r="H14" s="19"/>
      <c r="J14" s="2"/>
      <c r="K14" s="2"/>
      <c r="L14" s="2"/>
      <c r="M14" s="2"/>
    </row>
    <row r="15" spans="2:15" x14ac:dyDescent="0.25">
      <c r="C15" s="15" t="s">
        <v>17</v>
      </c>
      <c r="D15" s="24"/>
      <c r="E15" s="20">
        <f>SUM(E13:E14)</f>
        <v>0</v>
      </c>
      <c r="F15" s="20">
        <f t="shared" ref="F15:H15" si="3">SUM(F13:F14)</f>
        <v>0</v>
      </c>
      <c r="G15" s="20">
        <f t="shared" si="3"/>
        <v>0</v>
      </c>
      <c r="H15" s="20">
        <f t="shared" si="3"/>
        <v>0</v>
      </c>
      <c r="J15" s="2"/>
      <c r="K15" s="2"/>
      <c r="L15" s="2"/>
      <c r="M15" s="2"/>
    </row>
    <row r="16" spans="2:15" x14ac:dyDescent="0.25">
      <c r="C16" s="15"/>
      <c r="D16" s="24"/>
      <c r="E16" s="21"/>
      <c r="F16" s="21"/>
      <c r="G16" s="21"/>
      <c r="H16" s="21"/>
      <c r="J16" s="2"/>
      <c r="K16" s="2"/>
      <c r="L16" s="2"/>
      <c r="M16" s="2"/>
    </row>
    <row r="17" spans="3:13" ht="14.25" customHeight="1" x14ac:dyDescent="0.25">
      <c r="C17" s="13" t="s">
        <v>18</v>
      </c>
      <c r="D17" s="24"/>
      <c r="E17" s="21"/>
      <c r="F17" s="21"/>
      <c r="G17" s="21"/>
      <c r="H17" s="21"/>
      <c r="J17" s="2"/>
      <c r="K17" s="2"/>
      <c r="L17" s="2"/>
      <c r="M17" s="2"/>
    </row>
    <row r="18" spans="3:13" x14ac:dyDescent="0.25">
      <c r="C18" s="14" t="s">
        <v>9</v>
      </c>
      <c r="D18" s="24"/>
      <c r="E18" s="19"/>
      <c r="F18" s="19"/>
      <c r="G18" s="19"/>
      <c r="H18" s="19"/>
    </row>
    <row r="19" spans="3:13" x14ac:dyDescent="0.25">
      <c r="C19" s="14" t="s">
        <v>7</v>
      </c>
      <c r="D19" s="24"/>
      <c r="E19" s="19"/>
      <c r="F19" s="19"/>
      <c r="G19" s="19"/>
      <c r="H19" s="19"/>
    </row>
    <row r="20" spans="3:13" x14ac:dyDescent="0.25">
      <c r="C20" s="14" t="s">
        <v>34</v>
      </c>
      <c r="D20" s="24"/>
      <c r="E20" s="19"/>
      <c r="F20" s="19"/>
      <c r="G20" s="19"/>
      <c r="H20" s="19"/>
    </row>
    <row r="21" spans="3:13" x14ac:dyDescent="0.25">
      <c r="C21" s="14" t="s">
        <v>35</v>
      </c>
      <c r="D21" s="24"/>
      <c r="E21" s="19"/>
      <c r="F21" s="19"/>
      <c r="G21" s="19"/>
      <c r="H21" s="19"/>
    </row>
    <row r="22" spans="3:13" x14ac:dyDescent="0.25">
      <c r="C22" s="15" t="s">
        <v>19</v>
      </c>
      <c r="D22" s="12"/>
      <c r="E22" s="20">
        <f>SUM(E18:E21)</f>
        <v>0</v>
      </c>
      <c r="F22" s="20">
        <f t="shared" ref="F22:H22" si="4">SUM(F18:F21)</f>
        <v>0</v>
      </c>
      <c r="G22" s="20">
        <f t="shared" si="4"/>
        <v>0</v>
      </c>
      <c r="H22" s="20">
        <f t="shared" si="4"/>
        <v>0</v>
      </c>
    </row>
    <row r="23" spans="3:13" x14ac:dyDescent="0.25">
      <c r="C23" s="11"/>
      <c r="D23" s="12"/>
      <c r="E23" s="18"/>
      <c r="F23" s="18"/>
      <c r="G23" s="18"/>
      <c r="H23" s="18"/>
    </row>
    <row r="24" spans="3:13" x14ac:dyDescent="0.25">
      <c r="C24" s="15" t="s">
        <v>20</v>
      </c>
      <c r="D24" s="12"/>
      <c r="E24" s="21">
        <f>E15+E22</f>
        <v>0</v>
      </c>
      <c r="F24" s="21">
        <f t="shared" ref="F24:H24" si="5">F15+F22</f>
        <v>0</v>
      </c>
      <c r="G24" s="21">
        <f t="shared" si="5"/>
        <v>0</v>
      </c>
      <c r="H24" s="21">
        <f t="shared" si="5"/>
        <v>0</v>
      </c>
    </row>
    <row r="25" spans="3:13" x14ac:dyDescent="0.25">
      <c r="C25" s="11"/>
      <c r="D25" s="12"/>
      <c r="E25" s="18"/>
      <c r="F25" s="18"/>
      <c r="G25" s="18"/>
      <c r="H25" s="18"/>
    </row>
    <row r="26" spans="3:13" x14ac:dyDescent="0.25">
      <c r="C26" s="15" t="s">
        <v>21</v>
      </c>
      <c r="D26" s="12"/>
      <c r="E26" s="21">
        <f>-E24*30%</f>
        <v>0</v>
      </c>
      <c r="F26" s="21">
        <f t="shared" ref="F26:H26" si="6">-F24*30%</f>
        <v>0</v>
      </c>
      <c r="G26" s="21">
        <f t="shared" si="6"/>
        <v>0</v>
      </c>
      <c r="H26" s="21">
        <f t="shared" si="6"/>
        <v>0</v>
      </c>
    </row>
    <row r="27" spans="3:13" x14ac:dyDescent="0.25">
      <c r="C27" s="15"/>
      <c r="D27" s="12"/>
      <c r="E27" s="21"/>
      <c r="F27" s="21"/>
      <c r="G27" s="21"/>
      <c r="H27" s="21"/>
    </row>
    <row r="28" spans="3:13" ht="15.75" thickBot="1" x14ac:dyDescent="0.3">
      <c r="C28" s="25" t="s">
        <v>24</v>
      </c>
      <c r="D28" s="17"/>
      <c r="E28" s="26">
        <f>SUM(E24:E26)</f>
        <v>0</v>
      </c>
      <c r="F28" s="26">
        <f t="shared" ref="F28:H28" si="7">SUM(F24:F26)</f>
        <v>0</v>
      </c>
      <c r="G28" s="26">
        <f t="shared" si="7"/>
        <v>0</v>
      </c>
      <c r="H28" s="26">
        <f t="shared" si="7"/>
        <v>0</v>
      </c>
    </row>
    <row r="29" spans="3:13" x14ac:dyDescent="0.25">
      <c r="C29" s="15"/>
      <c r="D29" s="12"/>
      <c r="E29" s="21"/>
      <c r="F29" s="21"/>
      <c r="G29" s="21"/>
      <c r="H29" s="21"/>
    </row>
    <row r="30" spans="3:13" x14ac:dyDescent="0.25">
      <c r="C30" s="13" t="s">
        <v>25</v>
      </c>
      <c r="D30" s="12"/>
      <c r="E30" s="21"/>
      <c r="F30" s="21"/>
      <c r="G30" s="21"/>
      <c r="H30" s="21"/>
    </row>
    <row r="31" spans="3:13" x14ac:dyDescent="0.25">
      <c r="C31" s="11"/>
      <c r="D31" s="12"/>
      <c r="E31" s="18"/>
      <c r="F31" s="18"/>
      <c r="G31" s="18"/>
      <c r="H31" s="18"/>
    </row>
    <row r="32" spans="3:13" x14ac:dyDescent="0.25">
      <c r="C32" s="15" t="s">
        <v>3</v>
      </c>
      <c r="D32" s="12"/>
      <c r="E32" s="19"/>
      <c r="F32" s="19"/>
      <c r="G32" s="19"/>
      <c r="H32" s="19"/>
    </row>
    <row r="33" spans="3:8" x14ac:dyDescent="0.25">
      <c r="C33" s="15" t="s">
        <v>12</v>
      </c>
      <c r="D33" s="24"/>
      <c r="E33" s="19"/>
      <c r="F33" s="19"/>
      <c r="G33" s="19"/>
      <c r="H33" s="19"/>
    </row>
    <row r="34" spans="3:8" x14ac:dyDescent="0.25">
      <c r="C34" s="15" t="s">
        <v>11</v>
      </c>
      <c r="D34" s="24"/>
      <c r="E34" s="20">
        <f>SUM(E32:E33)</f>
        <v>0</v>
      </c>
      <c r="F34" s="20">
        <f t="shared" ref="F34:H34" si="8">SUM(F32:F33)</f>
        <v>0</v>
      </c>
      <c r="G34" s="20">
        <f t="shared" si="8"/>
        <v>0</v>
      </c>
      <c r="H34" s="20">
        <f t="shared" si="8"/>
        <v>0</v>
      </c>
    </row>
    <row r="35" spans="3:8" x14ac:dyDescent="0.25">
      <c r="C35" s="11"/>
      <c r="D35" s="12"/>
      <c r="E35" s="18"/>
      <c r="F35" s="18"/>
      <c r="G35" s="18"/>
      <c r="H35" s="18"/>
    </row>
    <row r="36" spans="3:8" x14ac:dyDescent="0.25">
      <c r="C36" s="15" t="s">
        <v>14</v>
      </c>
      <c r="D36" s="12"/>
      <c r="E36" s="21"/>
      <c r="F36" s="21"/>
      <c r="G36" s="21"/>
      <c r="H36" s="21"/>
    </row>
    <row r="37" spans="3:8" ht="15.75" thickBot="1" x14ac:dyDescent="0.3">
      <c r="C37" s="16"/>
      <c r="D37" s="17"/>
      <c r="E37" s="1"/>
      <c r="F37" s="1"/>
      <c r="G37" s="1"/>
      <c r="H37" s="1"/>
    </row>
    <row r="38" spans="3:8" x14ac:dyDescent="0.25">
      <c r="C38" s="5"/>
      <c r="E38" s="9"/>
      <c r="F38" s="9"/>
      <c r="G38" s="9"/>
      <c r="H38" s="9"/>
    </row>
    <row r="39" spans="3:8" x14ac:dyDescent="0.25">
      <c r="E39" s="2"/>
      <c r="F39" s="2"/>
      <c r="G39" s="2"/>
      <c r="H39" s="2"/>
    </row>
  </sheetData>
  <mergeCells count="4">
    <mergeCell ref="B5:B8"/>
    <mergeCell ref="E3:H3"/>
    <mergeCell ref="J5:J8"/>
    <mergeCell ref="L3:O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8"/>
  <sheetViews>
    <sheetView zoomScale="90" zoomScaleNormal="90" zoomScalePageLayoutView="90" workbookViewId="0">
      <pane xSplit="3" ySplit="3" topLeftCell="D21" activePane="bottomRight" state="frozen"/>
      <selection activeCell="C10" sqref="C10"/>
      <selection pane="topRight" activeCell="C10" sqref="C10"/>
      <selection pane="bottomLeft" activeCell="C10" sqref="C10"/>
      <selection pane="bottomRight" activeCell="C41" sqref="C41"/>
    </sheetView>
  </sheetViews>
  <sheetFormatPr defaultColWidth="8.85546875" defaultRowHeight="15" x14ac:dyDescent="0.25"/>
  <cols>
    <col min="1" max="1" width="5.42578125" customWidth="1"/>
    <col min="2" max="2" width="14.140625" customWidth="1"/>
    <col min="3" max="3" width="30.140625" customWidth="1"/>
    <col min="4" max="4" width="3" customWidth="1"/>
    <col min="5" max="8" width="14.140625" customWidth="1"/>
    <col min="10" max="10" width="38.85546875" customWidth="1"/>
    <col min="11" max="14" width="14.140625" customWidth="1"/>
  </cols>
  <sheetData>
    <row r="2" spans="2:14" x14ac:dyDescent="0.25">
      <c r="C2" s="7" t="s">
        <v>5</v>
      </c>
      <c r="D2" s="7"/>
      <c r="J2" s="7" t="s">
        <v>12</v>
      </c>
    </row>
    <row r="3" spans="2:14" x14ac:dyDescent="0.25">
      <c r="E3">
        <v>2014</v>
      </c>
      <c r="F3">
        <f>E3+1</f>
        <v>2015</v>
      </c>
      <c r="G3">
        <f t="shared" ref="G3:H3" si="0">F3+1</f>
        <v>2016</v>
      </c>
      <c r="H3">
        <f t="shared" si="0"/>
        <v>2017</v>
      </c>
      <c r="K3">
        <v>2014</v>
      </c>
      <c r="L3">
        <f>K3+1</f>
        <v>2015</v>
      </c>
      <c r="M3">
        <f t="shared" ref="M3:N3" si="1">L3+1</f>
        <v>2016</v>
      </c>
      <c r="N3">
        <f t="shared" si="1"/>
        <v>2017</v>
      </c>
    </row>
    <row r="4" spans="2:14" x14ac:dyDescent="0.25">
      <c r="B4" s="92" t="s">
        <v>4</v>
      </c>
      <c r="C4">
        <v>2014</v>
      </c>
      <c r="E4" s="2">
        <f>Assumptions!C25*Assumptions!C31</f>
        <v>3200000</v>
      </c>
      <c r="F4" s="2">
        <f>E$4*(1-Assumptions!$C$11)</f>
        <v>2816000</v>
      </c>
      <c r="G4" s="2">
        <f>F$4*(1-Assumptions!$C$11)</f>
        <v>2478080</v>
      </c>
      <c r="H4" s="2">
        <f>G$4*(1-Assumptions!$C$11)</f>
        <v>2180710.3999999999</v>
      </c>
      <c r="J4">
        <f>J3+1</f>
        <v>1</v>
      </c>
      <c r="K4" s="2">
        <f>-K8*4/5</f>
        <v>-768000</v>
      </c>
      <c r="L4" s="2">
        <f>-K8*3/5</f>
        <v>-576000</v>
      </c>
      <c r="M4" s="2">
        <f>-K8*2/5</f>
        <v>-384000</v>
      </c>
      <c r="N4" s="2">
        <f>-K8*1/5</f>
        <v>-192000</v>
      </c>
    </row>
    <row r="5" spans="2:14" x14ac:dyDescent="0.25">
      <c r="B5" s="92"/>
      <c r="C5">
        <f t="shared" ref="C5:C6" si="2">C4+1</f>
        <v>2015</v>
      </c>
      <c r="E5" s="2"/>
      <c r="F5" s="2">
        <f>Assumptions!C26*Assumptions!C32</f>
        <v>5700000</v>
      </c>
      <c r="G5" s="2">
        <f>F$5*(1-Assumptions!$C$11)</f>
        <v>5016000</v>
      </c>
      <c r="H5" s="2">
        <f>G$5*(1-Assumptions!$C$11)</f>
        <v>4414080</v>
      </c>
      <c r="J5">
        <f t="shared" ref="J5:J6" si="3">J4+1</f>
        <v>2</v>
      </c>
      <c r="K5" s="2"/>
      <c r="L5" s="2">
        <f>-L8*4/5</f>
        <v>-1368000</v>
      </c>
      <c r="M5" s="2">
        <f>-L8*3/5</f>
        <v>-1026000</v>
      </c>
      <c r="N5" s="2">
        <f>-L8*2/5</f>
        <v>-684000</v>
      </c>
    </row>
    <row r="6" spans="2:14" x14ac:dyDescent="0.25">
      <c r="B6" s="92"/>
      <c r="C6">
        <f t="shared" si="2"/>
        <v>2016</v>
      </c>
      <c r="E6" s="2"/>
      <c r="F6" s="2"/>
      <c r="G6" s="2">
        <f>Assumptions!C27*Assumptions!C33</f>
        <v>10800000</v>
      </c>
      <c r="H6" s="2">
        <f>G$6*(1-Assumptions!$C$11)</f>
        <v>9504000</v>
      </c>
      <c r="J6">
        <f t="shared" si="3"/>
        <v>3</v>
      </c>
      <c r="K6" s="2"/>
      <c r="L6" s="2"/>
      <c r="M6" s="2">
        <f>-M8*4/5</f>
        <v>-2592000</v>
      </c>
      <c r="N6" s="2">
        <f>-M8*3/5</f>
        <v>-1944000</v>
      </c>
    </row>
    <row r="7" spans="2:14" x14ac:dyDescent="0.25">
      <c r="B7" s="92"/>
      <c r="C7">
        <v>2017</v>
      </c>
      <c r="E7" s="2"/>
      <c r="F7" s="2"/>
      <c r="G7" s="2"/>
      <c r="H7" s="2">
        <f>Assumptions!C28*Assumptions!C34</f>
        <v>16200000</v>
      </c>
      <c r="J7">
        <v>2017</v>
      </c>
      <c r="K7" s="2"/>
      <c r="L7" s="2"/>
      <c r="M7" s="2"/>
      <c r="N7" s="2">
        <f>-N8*4/5</f>
        <v>-3888000</v>
      </c>
    </row>
    <row r="8" spans="2:14" ht="15.75" thickBot="1" x14ac:dyDescent="0.3">
      <c r="B8" s="6"/>
      <c r="E8" s="2"/>
      <c r="F8" s="2"/>
      <c r="G8" s="2"/>
      <c r="H8" s="2"/>
      <c r="K8" s="80">
        <f>E4*Assumptions!C6</f>
        <v>960000</v>
      </c>
      <c r="L8" s="80">
        <f>F5*Assumptions!C6</f>
        <v>1710000</v>
      </c>
      <c r="M8" s="80">
        <f>G6*Assumptions!C6</f>
        <v>3240000</v>
      </c>
      <c r="N8" s="80">
        <f>H7*Assumptions!C6</f>
        <v>4860000</v>
      </c>
    </row>
    <row r="9" spans="2:14" x14ac:dyDescent="0.25">
      <c r="B9" s="6"/>
      <c r="C9" s="10" t="s">
        <v>22</v>
      </c>
      <c r="D9" s="22"/>
      <c r="E9" s="27">
        <v>2014</v>
      </c>
      <c r="F9" s="27">
        <v>2015</v>
      </c>
      <c r="G9" s="27">
        <v>2016</v>
      </c>
      <c r="H9" s="27">
        <v>2017</v>
      </c>
      <c r="I9" s="63" t="s">
        <v>50</v>
      </c>
      <c r="J9" s="63" t="s">
        <v>51</v>
      </c>
    </row>
    <row r="10" spans="2:14" ht="15.75" thickBot="1" x14ac:dyDescent="0.3">
      <c r="C10" s="16"/>
      <c r="D10" s="17"/>
      <c r="E10" s="1"/>
      <c r="F10" s="1"/>
      <c r="G10" s="1"/>
      <c r="H10" s="1"/>
      <c r="I10" s="1"/>
      <c r="J10" s="1"/>
    </row>
    <row r="11" spans="2:14" x14ac:dyDescent="0.25">
      <c r="C11" s="13" t="s">
        <v>16</v>
      </c>
      <c r="D11" s="12"/>
      <c r="E11" s="18"/>
      <c r="F11" s="18"/>
      <c r="G11" s="18"/>
      <c r="H11" s="18"/>
      <c r="I11" s="18"/>
      <c r="J11" s="18"/>
    </row>
    <row r="12" spans="2:14" ht="30" x14ac:dyDescent="0.25">
      <c r="C12" s="14" t="s">
        <v>6</v>
      </c>
      <c r="D12" s="23"/>
      <c r="E12" s="19">
        <f>SUM(E4:E7)</f>
        <v>3200000</v>
      </c>
      <c r="F12" s="19">
        <f>SUM(F4:F7)</f>
        <v>8516000</v>
      </c>
      <c r="G12" s="19">
        <f>SUM(G4:G7)</f>
        <v>18294080</v>
      </c>
      <c r="H12" s="19">
        <f>SUM(H4:H7)</f>
        <v>32298790.399999999</v>
      </c>
      <c r="I12" s="19">
        <v>0</v>
      </c>
      <c r="J12" s="57" t="s">
        <v>52</v>
      </c>
      <c r="K12" s="2"/>
      <c r="L12" s="2"/>
      <c r="M12" s="2"/>
      <c r="N12" s="2"/>
    </row>
    <row r="13" spans="2:14" ht="75" x14ac:dyDescent="0.25">
      <c r="C13" s="14" t="s">
        <v>13</v>
      </c>
      <c r="D13" s="23"/>
      <c r="E13" s="19">
        <f>(E35+E12+E17)*Assumptions!$C$17+SUM('(a) Forecast (Answer)'!E18:E19)*Assumptions!$C$18</f>
        <v>426544.37374411442</v>
      </c>
      <c r="F13" s="19">
        <f>(F35+F12+F17)*Assumptions!$C$17+SUM('(a) Forecast (Answer)'!F18:F19)*Assumptions!$C$18</f>
        <v>537332.44801772735</v>
      </c>
      <c r="G13" s="19">
        <f>(G35+G12+G17)*Assumptions!$C$17+SUM('(a) Forecast (Answer)'!G18:G19)*Assumptions!$C$18</f>
        <v>1176621.1989908894</v>
      </c>
      <c r="H13" s="19">
        <f>(H35+H12+H17)*Assumptions!$C$17+SUM('(a) Forecast (Answer)'!H18:H19)*Assumptions!$C$18</f>
        <v>2126936.3363780291</v>
      </c>
      <c r="I13" s="19">
        <v>1</v>
      </c>
      <c r="J13" s="57" t="s">
        <v>61</v>
      </c>
      <c r="K13" s="2"/>
      <c r="L13" s="2"/>
      <c r="M13" s="2"/>
      <c r="N13" s="2"/>
    </row>
    <row r="14" spans="2:14" x14ac:dyDescent="0.25">
      <c r="C14" s="15" t="s">
        <v>17</v>
      </c>
      <c r="D14" s="24"/>
      <c r="E14" s="20">
        <f>SUM(E12:E13)</f>
        <v>3626544.3737441143</v>
      </c>
      <c r="F14" s="20">
        <f t="shared" ref="F14:H14" si="4">SUM(F12:F13)</f>
        <v>9053332.4480177276</v>
      </c>
      <c r="G14" s="20">
        <f t="shared" si="4"/>
        <v>19470701.198990889</v>
      </c>
      <c r="H14" s="20">
        <f t="shared" si="4"/>
        <v>34425726.736378029</v>
      </c>
      <c r="I14" s="20"/>
      <c r="J14" s="58"/>
      <c r="K14" s="2"/>
      <c r="L14" s="2"/>
      <c r="M14" s="2"/>
      <c r="N14" s="2"/>
    </row>
    <row r="15" spans="2:14" x14ac:dyDescent="0.25">
      <c r="C15" s="15"/>
      <c r="D15" s="24"/>
      <c r="E15" s="21"/>
      <c r="F15" s="21"/>
      <c r="G15" s="21"/>
      <c r="H15" s="21"/>
      <c r="I15" s="21"/>
      <c r="J15" s="59"/>
      <c r="K15" s="2"/>
      <c r="L15" s="2"/>
      <c r="M15" s="2"/>
      <c r="N15" s="2"/>
    </row>
    <row r="16" spans="2:14" ht="14.25" customHeight="1" x14ac:dyDescent="0.25">
      <c r="C16" s="13" t="s">
        <v>18</v>
      </c>
      <c r="D16" s="24"/>
      <c r="E16" s="21"/>
      <c r="F16" s="21"/>
      <c r="G16" s="21"/>
      <c r="H16" s="21"/>
      <c r="I16" s="21"/>
      <c r="J16" s="59"/>
      <c r="K16" s="2"/>
      <c r="L16" s="2"/>
      <c r="M16" s="2"/>
      <c r="N16" s="2"/>
    </row>
    <row r="17" spans="3:10" x14ac:dyDescent="0.25">
      <c r="C17" s="14" t="s">
        <v>9</v>
      </c>
      <c r="D17" s="24"/>
      <c r="E17" s="19">
        <f>-E4*Assumptions!$C$6</f>
        <v>-960000</v>
      </c>
      <c r="F17" s="19">
        <f>-F5*Assumptions!$C$6</f>
        <v>-1710000</v>
      </c>
      <c r="G17" s="19">
        <f>-G6*Assumptions!$C$6</f>
        <v>-3240000</v>
      </c>
      <c r="H17" s="19">
        <f>-H7*Assumptions!$C$6</f>
        <v>-4860000</v>
      </c>
      <c r="I17" s="19">
        <v>1</v>
      </c>
      <c r="J17" s="57" t="s">
        <v>53</v>
      </c>
    </row>
    <row r="18" spans="3:10" x14ac:dyDescent="0.25">
      <c r="C18" s="14" t="s">
        <v>7</v>
      </c>
      <c r="D18" s="24"/>
      <c r="E18" s="19">
        <f>-(E12*Assumptions!$C$8+Assumptions!$C$9)</f>
        <v>-1384000</v>
      </c>
      <c r="F18" s="19">
        <f>-(F12*Assumptions!$C$8+Assumptions!$C$9)</f>
        <v>-2021920</v>
      </c>
      <c r="G18" s="19">
        <f>-(G12*Assumptions!$C$8+Assumptions!$C$9)</f>
        <v>-3195289.6000000001</v>
      </c>
      <c r="H18" s="19">
        <f>-(H12*Assumptions!$C$8+Assumptions!$C$9)</f>
        <v>-4875854.8479999993</v>
      </c>
      <c r="I18" s="19">
        <v>1</v>
      </c>
      <c r="J18" s="57" t="s">
        <v>54</v>
      </c>
    </row>
    <row r="19" spans="3:10" ht="30" x14ac:dyDescent="0.25">
      <c r="C19" s="14" t="s">
        <v>34</v>
      </c>
      <c r="D19" s="24"/>
      <c r="E19" s="19">
        <f>-E12*Assumptions!$C$5*(1-Assumptions!$C$13)</f>
        <v>-1800000</v>
      </c>
      <c r="F19" s="19">
        <f>-F12*Assumptions!$C$5*(1-Assumptions!$C$13)</f>
        <v>-4790250</v>
      </c>
      <c r="G19" s="19">
        <f>-G12*Assumptions!$C$5*(1-Assumptions!$C$13)</f>
        <v>-10290420</v>
      </c>
      <c r="H19" s="19">
        <f>-H12*Assumptions!$C$5*(1-Assumptions!$C$13)</f>
        <v>-18168069.599999998</v>
      </c>
      <c r="I19" s="19">
        <v>1</v>
      </c>
      <c r="J19" s="57" t="s">
        <v>55</v>
      </c>
    </row>
    <row r="20" spans="3:10" ht="30" x14ac:dyDescent="0.25">
      <c r="C20" s="14" t="s">
        <v>35</v>
      </c>
      <c r="D20" s="24"/>
      <c r="E20" s="19">
        <f>-(E33-D33)</f>
        <v>168000</v>
      </c>
      <c r="F20" s="19">
        <f t="shared" ref="F20:H20" si="5">-(F33-E33)</f>
        <v>179250</v>
      </c>
      <c r="G20" s="19">
        <f t="shared" si="5"/>
        <v>224610</v>
      </c>
      <c r="H20" s="19">
        <f t="shared" si="5"/>
        <v>80116.800000000745</v>
      </c>
      <c r="I20" s="19">
        <v>1</v>
      </c>
      <c r="J20" s="57" t="s">
        <v>56</v>
      </c>
    </row>
    <row r="21" spans="3:10" x14ac:dyDescent="0.25">
      <c r="C21" s="15" t="s">
        <v>19</v>
      </c>
      <c r="D21" s="12"/>
      <c r="E21" s="20">
        <f>SUM(E17:E20)</f>
        <v>-3976000</v>
      </c>
      <c r="F21" s="20">
        <f t="shared" ref="F21:H21" si="6">SUM(F17:F20)</f>
        <v>-8342920</v>
      </c>
      <c r="G21" s="20">
        <f t="shared" si="6"/>
        <v>-16501099.6</v>
      </c>
      <c r="H21" s="20">
        <f t="shared" si="6"/>
        <v>-27823807.647999998</v>
      </c>
      <c r="I21" s="20"/>
      <c r="J21" s="58"/>
    </row>
    <row r="22" spans="3:10" x14ac:dyDescent="0.25">
      <c r="C22" s="11"/>
      <c r="D22" s="12"/>
      <c r="E22" s="18"/>
      <c r="F22" s="18"/>
      <c r="G22" s="18"/>
      <c r="H22" s="18"/>
      <c r="I22" s="18"/>
      <c r="J22" s="60"/>
    </row>
    <row r="23" spans="3:10" x14ac:dyDescent="0.25">
      <c r="C23" s="15" t="s">
        <v>20</v>
      </c>
      <c r="D23" s="12"/>
      <c r="E23" s="21">
        <f>E14+E21</f>
        <v>-349455.6262558857</v>
      </c>
      <c r="F23" s="21">
        <f t="shared" ref="F23:H23" si="7">F14+F21</f>
        <v>710412.44801772758</v>
      </c>
      <c r="G23" s="21">
        <f t="shared" si="7"/>
        <v>2969601.5989908893</v>
      </c>
      <c r="H23" s="21">
        <f t="shared" si="7"/>
        <v>6601919.0883780308</v>
      </c>
      <c r="I23" s="21"/>
      <c r="J23" s="59"/>
    </row>
    <row r="24" spans="3:10" x14ac:dyDescent="0.25">
      <c r="C24" s="11"/>
      <c r="D24" s="12"/>
      <c r="E24" s="18"/>
      <c r="F24" s="18"/>
      <c r="G24" s="18"/>
      <c r="H24" s="18"/>
      <c r="I24" s="18"/>
      <c r="J24" s="60"/>
    </row>
    <row r="25" spans="3:10" x14ac:dyDescent="0.25">
      <c r="C25" s="15" t="s">
        <v>21</v>
      </c>
      <c r="D25" s="12"/>
      <c r="E25" s="21">
        <f>-E23*30%</f>
        <v>104836.6878767657</v>
      </c>
      <c r="F25" s="21">
        <f t="shared" ref="F25:H25" si="8">-F23*30%</f>
        <v>-213123.73440531828</v>
      </c>
      <c r="G25" s="21">
        <f t="shared" si="8"/>
        <v>-890880.47969726671</v>
      </c>
      <c r="H25" s="21">
        <f t="shared" si="8"/>
        <v>-1980575.7265134091</v>
      </c>
      <c r="I25" s="21">
        <v>0</v>
      </c>
      <c r="J25" s="59" t="s">
        <v>57</v>
      </c>
    </row>
    <row r="26" spans="3:10" x14ac:dyDescent="0.25">
      <c r="C26" s="15"/>
      <c r="D26" s="12"/>
      <c r="E26" s="21"/>
      <c r="F26" s="21"/>
      <c r="G26" s="21"/>
      <c r="H26" s="21"/>
      <c r="I26" s="21"/>
      <c r="J26" s="59"/>
    </row>
    <row r="27" spans="3:10" ht="15.75" thickBot="1" x14ac:dyDescent="0.3">
      <c r="C27" s="25" t="s">
        <v>24</v>
      </c>
      <c r="D27" s="17"/>
      <c r="E27" s="26">
        <f>SUM(E23:E25)</f>
        <v>-244618.93837911999</v>
      </c>
      <c r="F27" s="26">
        <f t="shared" ref="F27:H27" si="9">SUM(F23:F25)</f>
        <v>497288.71361240931</v>
      </c>
      <c r="G27" s="26">
        <f t="shared" si="9"/>
        <v>2078721.1192936227</v>
      </c>
      <c r="H27" s="26">
        <f t="shared" si="9"/>
        <v>4621343.3618646218</v>
      </c>
      <c r="I27" s="26"/>
      <c r="J27" s="61"/>
    </row>
    <row r="28" spans="3:10" x14ac:dyDescent="0.25">
      <c r="C28" s="15"/>
      <c r="D28" s="12"/>
      <c r="E28" s="21"/>
      <c r="F28" s="21"/>
      <c r="G28" s="21"/>
      <c r="H28" s="21"/>
      <c r="I28" s="21"/>
      <c r="J28" s="59"/>
    </row>
    <row r="29" spans="3:10" x14ac:dyDescent="0.25">
      <c r="C29" s="13" t="s">
        <v>25</v>
      </c>
      <c r="D29" s="12"/>
      <c r="E29" s="21"/>
      <c r="F29" s="21"/>
      <c r="G29" s="21"/>
      <c r="H29" s="21"/>
      <c r="I29" s="21"/>
      <c r="J29" s="59"/>
    </row>
    <row r="30" spans="3:10" x14ac:dyDescent="0.25">
      <c r="C30" s="11"/>
      <c r="D30" s="12"/>
      <c r="E30" s="18"/>
      <c r="F30" s="18"/>
      <c r="G30" s="18"/>
      <c r="H30" s="18"/>
      <c r="I30" s="18"/>
      <c r="J30" s="60"/>
    </row>
    <row r="31" spans="3:10" x14ac:dyDescent="0.25">
      <c r="C31" s="15" t="s">
        <v>3</v>
      </c>
      <c r="D31" s="12"/>
      <c r="E31" s="19">
        <f>E12*Assumptions!$C$5*Assumptions!$C$13</f>
        <v>600000</v>
      </c>
      <c r="F31" s="19">
        <f>F12*Assumptions!$C$5*Assumptions!$C$13</f>
        <v>1596750</v>
      </c>
      <c r="G31" s="19">
        <f>G12*Assumptions!$C$5*Assumptions!$C$13</f>
        <v>3430140</v>
      </c>
      <c r="H31" s="19">
        <f>H12*Assumptions!$C$5*Assumptions!$C$13</f>
        <v>6056023.1999999993</v>
      </c>
      <c r="I31" s="19">
        <v>1</v>
      </c>
      <c r="J31" s="57" t="s">
        <v>58</v>
      </c>
    </row>
    <row r="32" spans="3:10" ht="30" x14ac:dyDescent="0.25">
      <c r="C32" s="15" t="s">
        <v>12</v>
      </c>
      <c r="D32" s="24"/>
      <c r="E32" s="19">
        <f>SUM(K4:K7)</f>
        <v>-768000</v>
      </c>
      <c r="F32" s="19">
        <f>SUM(L4:L7)</f>
        <v>-1944000</v>
      </c>
      <c r="G32" s="19">
        <f>SUM(M4:M7)</f>
        <v>-4002000</v>
      </c>
      <c r="H32" s="19">
        <f>SUM(N4:N7)</f>
        <v>-6708000</v>
      </c>
      <c r="I32" s="19">
        <v>2</v>
      </c>
      <c r="J32" s="57" t="s">
        <v>59</v>
      </c>
    </row>
    <row r="33" spans="3:10" x14ac:dyDescent="0.25">
      <c r="C33" s="15" t="s">
        <v>11</v>
      </c>
      <c r="D33" s="24"/>
      <c r="E33" s="20">
        <f>SUM(E31:E32)</f>
        <v>-168000</v>
      </c>
      <c r="F33" s="20">
        <f t="shared" ref="F33:H33" si="10">SUM(F31:F32)</f>
        <v>-347250</v>
      </c>
      <c r="G33" s="20">
        <f t="shared" si="10"/>
        <v>-571860</v>
      </c>
      <c r="H33" s="20">
        <f t="shared" si="10"/>
        <v>-651976.80000000075</v>
      </c>
      <c r="I33" s="20"/>
      <c r="J33" s="58"/>
    </row>
    <row r="34" spans="3:10" x14ac:dyDescent="0.25">
      <c r="C34" s="11"/>
      <c r="D34" s="12"/>
      <c r="E34" s="18"/>
      <c r="F34" s="18"/>
      <c r="G34" s="18"/>
      <c r="H34" s="18"/>
      <c r="I34" s="18"/>
      <c r="J34" s="60"/>
    </row>
    <row r="35" spans="3:10" x14ac:dyDescent="0.25">
      <c r="C35" s="15" t="s">
        <v>14</v>
      </c>
      <c r="D35" s="12"/>
      <c r="E35" s="21">
        <f>MAX(E12*115%,Assumptions!$C$20)</f>
        <v>10000000</v>
      </c>
      <c r="F35" s="21">
        <f>MAX(F12*115%,Assumptions!$C$20)</f>
        <v>10000000</v>
      </c>
      <c r="G35" s="21">
        <f>MAX(G12*115%,Assumptions!$C$20)</f>
        <v>21038192</v>
      </c>
      <c r="H35" s="21">
        <f>MAX(H12*115%,Assumptions!$C$20)</f>
        <v>37143608.959999993</v>
      </c>
      <c r="I35" s="21">
        <v>1</v>
      </c>
      <c r="J35" s="59" t="s">
        <v>60</v>
      </c>
    </row>
    <row r="36" spans="3:10" ht="15.75" thickBot="1" x14ac:dyDescent="0.3">
      <c r="C36" s="16"/>
      <c r="D36" s="17"/>
      <c r="E36" s="1"/>
      <c r="F36" s="1"/>
      <c r="G36" s="1"/>
      <c r="H36" s="1"/>
      <c r="I36" s="1"/>
      <c r="J36" s="62"/>
    </row>
    <row r="37" spans="3:10" x14ac:dyDescent="0.25">
      <c r="C37" s="5"/>
      <c r="E37" s="9"/>
      <c r="F37" s="9"/>
      <c r="G37" s="9"/>
      <c r="H37" s="9"/>
    </row>
    <row r="38" spans="3:10" x14ac:dyDescent="0.25">
      <c r="E38" s="2"/>
      <c r="F38" s="2"/>
      <c r="G38" s="2"/>
      <c r="H38" s="2"/>
      <c r="I38" s="2">
        <f>SUM(I12:I35)</f>
        <v>9</v>
      </c>
      <c r="J38" t="s">
        <v>64</v>
      </c>
    </row>
  </sheetData>
  <mergeCells count="1">
    <mergeCell ref="B4:B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2"/>
  <sheetViews>
    <sheetView tabSelected="1" zoomScale="80" zoomScaleNormal="80" zoomScalePageLayoutView="80" workbookViewId="0">
      <pane xSplit="3" ySplit="1" topLeftCell="D4" activePane="bottomRight" state="frozen"/>
      <selection activeCell="B2" sqref="B2:D7"/>
      <selection pane="topRight" activeCell="B2" sqref="B2:D7"/>
      <selection pane="bottomLeft" activeCell="B2" sqref="B2:D7"/>
      <selection pane="bottomRight" activeCell="E24" sqref="E24"/>
    </sheetView>
  </sheetViews>
  <sheetFormatPr defaultColWidth="8.85546875" defaultRowHeight="15" x14ac:dyDescent="0.25"/>
  <cols>
    <col min="1" max="2" width="5.42578125" customWidth="1"/>
    <col min="3" max="3" width="30.140625" customWidth="1"/>
    <col min="4" max="4" width="3" customWidth="1"/>
    <col min="5" max="9" width="14.140625" customWidth="1"/>
    <col min="10" max="10" width="11.7109375" customWidth="1"/>
    <col min="11" max="11" width="47.7109375" customWidth="1"/>
    <col min="12" max="12" width="19.7109375" customWidth="1"/>
    <col min="13" max="14" width="14.140625" customWidth="1"/>
  </cols>
  <sheetData>
    <row r="2" spans="2:14" ht="15.75" thickBot="1" x14ac:dyDescent="0.3">
      <c r="B2" s="6"/>
      <c r="E2" s="2"/>
      <c r="F2" s="2"/>
      <c r="G2" s="2"/>
      <c r="H2" s="2"/>
    </row>
    <row r="3" spans="2:14" ht="15.75" thickBot="1" x14ac:dyDescent="0.3">
      <c r="B3" s="6"/>
      <c r="C3" s="10" t="s">
        <v>22</v>
      </c>
      <c r="D3" s="22"/>
      <c r="E3" s="33">
        <v>2014</v>
      </c>
      <c r="F3" s="33">
        <v>2014</v>
      </c>
      <c r="G3" s="33">
        <v>2014</v>
      </c>
      <c r="H3" s="33">
        <v>2014</v>
      </c>
      <c r="I3" s="33">
        <v>2014</v>
      </c>
      <c r="K3" s="36" t="s">
        <v>26</v>
      </c>
      <c r="L3" s="40"/>
    </row>
    <row r="4" spans="2:14" ht="45.75" thickBot="1" x14ac:dyDescent="0.3">
      <c r="C4" s="16"/>
      <c r="D4" s="17"/>
      <c r="E4" s="34" t="s">
        <v>47</v>
      </c>
      <c r="F4" s="32" t="s">
        <v>42</v>
      </c>
      <c r="G4" s="32" t="s">
        <v>43</v>
      </c>
      <c r="H4" s="32" t="s">
        <v>44</v>
      </c>
      <c r="I4" s="32" t="s">
        <v>45</v>
      </c>
      <c r="K4" s="37"/>
      <c r="L4" s="38" t="s">
        <v>28</v>
      </c>
    </row>
    <row r="5" spans="2:14" x14ac:dyDescent="0.25">
      <c r="C5" s="13" t="s">
        <v>16</v>
      </c>
      <c r="D5" s="12"/>
      <c r="E5" s="18"/>
      <c r="F5" s="18"/>
      <c r="G5" s="18"/>
      <c r="H5" s="18"/>
      <c r="I5" s="18"/>
      <c r="K5" s="39" t="s">
        <v>27</v>
      </c>
      <c r="L5" s="41">
        <f>'(a) Forecast (Answer)'!E23</f>
        <v>-349455.6262558857</v>
      </c>
    </row>
    <row r="6" spans="2:14" x14ac:dyDescent="0.25">
      <c r="C6" s="14" t="s">
        <v>6</v>
      </c>
      <c r="D6" s="23"/>
      <c r="E6" s="19">
        <f>Assumptions!C25*Assumptions!C31</f>
        <v>3200000</v>
      </c>
      <c r="F6" s="65">
        <f>Assumptions!D25*Assumptions!D31</f>
        <v>1200000</v>
      </c>
      <c r="G6" s="65">
        <f>Assumptions!E25*Assumptions!E31</f>
        <v>2100000</v>
      </c>
      <c r="H6" s="19">
        <f>G6</f>
        <v>2100000</v>
      </c>
      <c r="I6" s="19">
        <f>H6</f>
        <v>2100000</v>
      </c>
      <c r="K6" s="39"/>
      <c r="L6" s="42"/>
      <c r="M6" s="2"/>
      <c r="N6" s="2"/>
    </row>
    <row r="7" spans="2:14" x14ac:dyDescent="0.25">
      <c r="C7" s="14" t="s">
        <v>13</v>
      </c>
      <c r="D7" s="23"/>
      <c r="E7" s="19">
        <f>(E29+E6+E11)*Assumptions!$C$17+SUM(E12:E13)*Assumptions!$C$18</f>
        <v>426544.37374411442</v>
      </c>
      <c r="F7" s="19">
        <f>(F29+F6+F11)*Assumptions!$C$17+SUM(F12:F13)*Assumptions!$C$18</f>
        <v>397576.70095494477</v>
      </c>
      <c r="G7" s="19">
        <f>(G29+G6+G11)*Assumptions!$C$17+SUM(G12:G13)*Assumptions!$C$18</f>
        <v>410612.15371007111</v>
      </c>
      <c r="H7" s="19">
        <f>(H29+H6+H11)*Assumptions!$C$17+SUM(H12:H13)*Assumptions!$C$18</f>
        <v>407493.03903189837</v>
      </c>
      <c r="I7" s="65">
        <f>(I29+I6+I11)*Assumptions!$G$17+SUM(I12:I13)*Assumptions!$G$18</f>
        <v>611609.62122379302</v>
      </c>
      <c r="K7" s="39" t="s">
        <v>63</v>
      </c>
      <c r="L7" s="42"/>
      <c r="M7" s="2"/>
      <c r="N7" s="2"/>
    </row>
    <row r="8" spans="2:14" x14ac:dyDescent="0.25">
      <c r="C8" s="15" t="s">
        <v>17</v>
      </c>
      <c r="D8" s="24"/>
      <c r="E8" s="20">
        <f>SUM(E6:E7)</f>
        <v>3626544.3737441143</v>
      </c>
      <c r="F8" s="20">
        <f t="shared" ref="F8:I8" si="0">SUM(F6:F7)</f>
        <v>1597576.7009549448</v>
      </c>
      <c r="G8" s="20">
        <f t="shared" si="0"/>
        <v>2510612.153710071</v>
      </c>
      <c r="H8" s="20">
        <f t="shared" si="0"/>
        <v>2507493.0390318986</v>
      </c>
      <c r="I8" s="20">
        <f t="shared" si="0"/>
        <v>2711609.6212237929</v>
      </c>
      <c r="K8" s="39" t="s">
        <v>30</v>
      </c>
      <c r="L8" s="41">
        <f>F17-E17</f>
        <v>-168967.67278916948</v>
      </c>
      <c r="M8" s="2"/>
      <c r="N8" s="2"/>
    </row>
    <row r="9" spans="2:14" x14ac:dyDescent="0.25">
      <c r="C9" s="15"/>
      <c r="D9" s="24"/>
      <c r="E9" s="21"/>
      <c r="F9" s="21"/>
      <c r="G9" s="21"/>
      <c r="H9" s="21"/>
      <c r="I9" s="21"/>
      <c r="K9" s="39" t="s">
        <v>31</v>
      </c>
      <c r="L9" s="41">
        <f>G17-F17</f>
        <v>76035.452755126171</v>
      </c>
      <c r="M9" s="2"/>
      <c r="N9" s="2"/>
    </row>
    <row r="10" spans="2:14" ht="14.25" customHeight="1" x14ac:dyDescent="0.25">
      <c r="C10" s="13" t="s">
        <v>18</v>
      </c>
      <c r="D10" s="24"/>
      <c r="E10" s="21"/>
      <c r="F10" s="21"/>
      <c r="G10" s="21"/>
      <c r="H10" s="21"/>
      <c r="I10" s="21"/>
      <c r="K10" s="39" t="s">
        <v>32</v>
      </c>
      <c r="L10" s="41">
        <f>H17-G17</f>
        <v>-213119.11467817239</v>
      </c>
      <c r="M10" s="2"/>
      <c r="N10" s="2"/>
    </row>
    <row r="11" spans="2:14" x14ac:dyDescent="0.25">
      <c r="C11" s="14" t="s">
        <v>9</v>
      </c>
      <c r="D11" s="24"/>
      <c r="E11" s="19">
        <f>-E6*Assumptions!$C$6</f>
        <v>-960000</v>
      </c>
      <c r="F11" s="19">
        <f>-F6*Assumptions!$C$6</f>
        <v>-360000</v>
      </c>
      <c r="G11" s="19">
        <f>-G6*Assumptions!$C$6</f>
        <v>-630000</v>
      </c>
      <c r="H11" s="19">
        <f>-H6*Assumptions!$C$6</f>
        <v>-630000</v>
      </c>
      <c r="I11" s="19">
        <f>-I6*Assumptions!$C$6</f>
        <v>-630000</v>
      </c>
      <c r="K11" s="39" t="s">
        <v>33</v>
      </c>
      <c r="L11" s="41">
        <f>I17-H17</f>
        <v>204116.5821918943</v>
      </c>
    </row>
    <row r="12" spans="2:14" ht="15.75" thickBot="1" x14ac:dyDescent="0.3">
      <c r="C12" s="14" t="s">
        <v>7</v>
      </c>
      <c r="D12" s="24"/>
      <c r="E12" s="19">
        <f>-(E6*Assumptions!$C$8+Assumptions!$C$9)</f>
        <v>-1384000</v>
      </c>
      <c r="F12" s="19">
        <f>-(F6*Assumptions!$C$8+Assumptions!$C$9)</f>
        <v>-1144000</v>
      </c>
      <c r="G12" s="19">
        <f>-(G6*Assumptions!$C$8+Assumptions!$C$9)</f>
        <v>-1252000</v>
      </c>
      <c r="H12" s="19">
        <f>-(H6*Assumptions!$C$8+Assumptions!$C$9)</f>
        <v>-1252000</v>
      </c>
      <c r="I12" s="19">
        <f>-(I6*Assumptions!$C$8+Assumptions!$C$9)</f>
        <v>-1252000</v>
      </c>
      <c r="K12" s="39"/>
      <c r="L12" s="42"/>
    </row>
    <row r="13" spans="2:14" ht="15.75" thickBot="1" x14ac:dyDescent="0.3">
      <c r="C13" s="14" t="s">
        <v>34</v>
      </c>
      <c r="D13" s="24"/>
      <c r="E13" s="19">
        <f>-E6*Assumptions!$C$5*(1-Assumptions!$C$13)</f>
        <v>-1800000</v>
      </c>
      <c r="F13" s="19">
        <f>-F6*Assumptions!$C$5*(1-Assumptions!$C$13)</f>
        <v>-675000</v>
      </c>
      <c r="G13" s="19">
        <f>-G6*Assumptions!$C$5*(1-Assumptions!$C$13)</f>
        <v>-1181250</v>
      </c>
      <c r="H13" s="65">
        <f>-H6*Assumptions!$F$5*(1-Assumptions!$C$13)</f>
        <v>-1338750</v>
      </c>
      <c r="I13" s="19">
        <f>-I6*Assumptions!$F$5*(1-Assumptions!$C$13)</f>
        <v>-1338750</v>
      </c>
      <c r="K13" s="37" t="s">
        <v>29</v>
      </c>
      <c r="L13" s="43">
        <f>SUM(L5:L11)</f>
        <v>-451390.3787762071</v>
      </c>
    </row>
    <row r="14" spans="2:14" x14ac:dyDescent="0.25">
      <c r="C14" s="14" t="s">
        <v>35</v>
      </c>
      <c r="D14" s="24"/>
      <c r="E14" s="19">
        <f>-(E27-D27)</f>
        <v>168000</v>
      </c>
      <c r="F14" s="19">
        <f>-F27</f>
        <v>63000</v>
      </c>
      <c r="G14" s="19">
        <f>-G27</f>
        <v>110250</v>
      </c>
      <c r="H14" s="19">
        <f>-H27</f>
        <v>57750</v>
      </c>
      <c r="I14" s="19">
        <f>-I27</f>
        <v>57750</v>
      </c>
      <c r="K14" s="93" t="s">
        <v>65</v>
      </c>
    </row>
    <row r="15" spans="2:14" x14ac:dyDescent="0.25">
      <c r="C15" s="15" t="s">
        <v>19</v>
      </c>
      <c r="D15" s="12"/>
      <c r="E15" s="20">
        <f>SUM(E11:E14)</f>
        <v>-3976000</v>
      </c>
      <c r="F15" s="20">
        <f t="shared" ref="F15:I15" si="1">SUM(F11:F14)</f>
        <v>-2116000</v>
      </c>
      <c r="G15" s="20">
        <f t="shared" si="1"/>
        <v>-2953000</v>
      </c>
      <c r="H15" s="20">
        <f t="shared" si="1"/>
        <v>-3163000</v>
      </c>
      <c r="I15" s="20">
        <f t="shared" si="1"/>
        <v>-3163000</v>
      </c>
    </row>
    <row r="16" spans="2:14" x14ac:dyDescent="0.25">
      <c r="C16" s="11"/>
      <c r="D16" s="12"/>
      <c r="E16" s="18"/>
      <c r="F16" s="18"/>
      <c r="G16" s="18"/>
      <c r="H16" s="18"/>
      <c r="I16" s="18"/>
    </row>
    <row r="17" spans="3:10" x14ac:dyDescent="0.25">
      <c r="C17" s="15" t="s">
        <v>20</v>
      </c>
      <c r="D17" s="12"/>
      <c r="E17" s="21">
        <f>E8+E15</f>
        <v>-349455.6262558857</v>
      </c>
      <c r="F17" s="21">
        <f t="shared" ref="F17:I17" si="2">F8+F15</f>
        <v>-518423.29904505517</v>
      </c>
      <c r="G17" s="21">
        <f t="shared" si="2"/>
        <v>-442387.846289929</v>
      </c>
      <c r="H17" s="21">
        <f t="shared" si="2"/>
        <v>-655506.9609681014</v>
      </c>
      <c r="I17" s="21">
        <f t="shared" si="2"/>
        <v>-451390.3787762071</v>
      </c>
    </row>
    <row r="18" spans="3:10" x14ac:dyDescent="0.25">
      <c r="C18" s="11"/>
      <c r="D18" s="12"/>
      <c r="E18" s="18"/>
      <c r="F18" s="18"/>
      <c r="G18" s="18"/>
      <c r="H18" s="18"/>
      <c r="I18" s="18"/>
    </row>
    <row r="19" spans="3:10" x14ac:dyDescent="0.25">
      <c r="C19" s="15" t="s">
        <v>21</v>
      </c>
      <c r="D19" s="12"/>
      <c r="E19" s="21">
        <f>-E17*30%</f>
        <v>104836.6878767657</v>
      </c>
      <c r="F19" s="21">
        <f t="shared" ref="F19:I19" si="3">-F17*30%</f>
        <v>155526.98971351655</v>
      </c>
      <c r="G19" s="21">
        <f t="shared" si="3"/>
        <v>132716.3538869787</v>
      </c>
      <c r="H19" s="21">
        <f t="shared" si="3"/>
        <v>196652.0882904304</v>
      </c>
      <c r="I19" s="21">
        <f t="shared" si="3"/>
        <v>135417.11363286214</v>
      </c>
    </row>
    <row r="20" spans="3:10" x14ac:dyDescent="0.25">
      <c r="C20" s="15"/>
      <c r="D20" s="12"/>
      <c r="E20" s="21"/>
      <c r="F20" s="21"/>
      <c r="G20" s="21"/>
      <c r="H20" s="21"/>
      <c r="I20" s="21"/>
    </row>
    <row r="21" spans="3:10" ht="15.75" thickBot="1" x14ac:dyDescent="0.3">
      <c r="C21" s="25" t="s">
        <v>24</v>
      </c>
      <c r="D21" s="17"/>
      <c r="E21" s="26">
        <f>SUM(E17:E19)</f>
        <v>-244618.93837911999</v>
      </c>
      <c r="F21" s="26">
        <f t="shared" ref="F21:I21" si="4">SUM(F17:F19)</f>
        <v>-362896.30933153862</v>
      </c>
      <c r="G21" s="26">
        <f t="shared" si="4"/>
        <v>-309671.4924029503</v>
      </c>
      <c r="H21" s="26">
        <f t="shared" si="4"/>
        <v>-458854.87267767102</v>
      </c>
      <c r="I21" s="26">
        <f t="shared" si="4"/>
        <v>-315973.26514334499</v>
      </c>
    </row>
    <row r="22" spans="3:10" x14ac:dyDescent="0.25">
      <c r="C22" s="15"/>
      <c r="D22" s="12"/>
      <c r="E22" s="21"/>
      <c r="F22" s="21"/>
      <c r="G22" s="21"/>
      <c r="H22" s="21"/>
      <c r="I22" s="21"/>
    </row>
    <row r="23" spans="3:10" x14ac:dyDescent="0.25">
      <c r="C23" s="13" t="s">
        <v>25</v>
      </c>
      <c r="D23" s="12"/>
      <c r="E23" s="21"/>
      <c r="F23" s="21"/>
      <c r="G23" s="21"/>
      <c r="H23" s="21"/>
      <c r="I23" s="21"/>
    </row>
    <row r="24" spans="3:10" x14ac:dyDescent="0.25">
      <c r="C24" s="11"/>
      <c r="D24" s="12"/>
      <c r="E24" s="18"/>
      <c r="F24" s="18"/>
      <c r="G24" s="18"/>
      <c r="H24" s="18"/>
      <c r="I24" s="18"/>
    </row>
    <row r="25" spans="3:10" x14ac:dyDescent="0.25">
      <c r="C25" s="15" t="s">
        <v>3</v>
      </c>
      <c r="D25" s="12"/>
      <c r="E25" s="19">
        <f>E6*Assumptions!$C$5*Assumptions!$C$13</f>
        <v>600000</v>
      </c>
      <c r="F25" s="19">
        <f>F6*Assumptions!$C$5*Assumptions!$C$13</f>
        <v>225000</v>
      </c>
      <c r="G25" s="19">
        <f>G6*Assumptions!$C$5*Assumptions!$C$13</f>
        <v>393750</v>
      </c>
      <c r="H25" s="19">
        <f>H6*Assumptions!$F$5*Assumptions!$C$13</f>
        <v>446250</v>
      </c>
      <c r="I25" s="19">
        <f>I6*Assumptions!$F$5*Assumptions!$C$13</f>
        <v>446250</v>
      </c>
    </row>
    <row r="26" spans="3:10" x14ac:dyDescent="0.25">
      <c r="C26" s="15" t="s">
        <v>12</v>
      </c>
      <c r="D26" s="24"/>
      <c r="E26" s="19">
        <f>E11*4/5</f>
        <v>-768000</v>
      </c>
      <c r="F26" s="19">
        <f t="shared" ref="F26:I26" si="5">F11*4/5</f>
        <v>-288000</v>
      </c>
      <c r="G26" s="19">
        <f t="shared" si="5"/>
        <v>-504000</v>
      </c>
      <c r="H26" s="19">
        <f t="shared" si="5"/>
        <v>-504000</v>
      </c>
      <c r="I26" s="19">
        <f t="shared" si="5"/>
        <v>-504000</v>
      </c>
    </row>
    <row r="27" spans="3:10" x14ac:dyDescent="0.25">
      <c r="C27" s="15" t="s">
        <v>11</v>
      </c>
      <c r="D27" s="24"/>
      <c r="E27" s="20">
        <f>SUM(E25:E26)</f>
        <v>-168000</v>
      </c>
      <c r="F27" s="20">
        <f t="shared" ref="F27:I27" si="6">SUM(F25:F26)</f>
        <v>-63000</v>
      </c>
      <c r="G27" s="20">
        <f t="shared" si="6"/>
        <v>-110250</v>
      </c>
      <c r="H27" s="20">
        <f t="shared" si="6"/>
        <v>-57750</v>
      </c>
      <c r="I27" s="20">
        <f t="shared" si="6"/>
        <v>-57750</v>
      </c>
      <c r="J27" s="2">
        <f>I27-E27</f>
        <v>110250</v>
      </c>
    </row>
    <row r="28" spans="3:10" x14ac:dyDescent="0.25">
      <c r="C28" s="11"/>
      <c r="D28" s="12"/>
      <c r="E28" s="18"/>
      <c r="F28" s="18"/>
      <c r="G28" s="18"/>
      <c r="H28" s="18"/>
      <c r="I28" s="18"/>
    </row>
    <row r="29" spans="3:10" x14ac:dyDescent="0.25">
      <c r="C29" s="15" t="s">
        <v>14</v>
      </c>
      <c r="D29" s="12"/>
      <c r="E29" s="21">
        <f>MAX(E6*115%,Assumptions!$C$20)</f>
        <v>10000000</v>
      </c>
      <c r="F29" s="21">
        <f>MAX(F6*115%,Assumptions!$C$20)</f>
        <v>10000000</v>
      </c>
      <c r="G29" s="21">
        <f>MAX(G6*115%,Assumptions!$C$20)</f>
        <v>10000000</v>
      </c>
      <c r="H29" s="21">
        <f>MAX(H6*115%,Assumptions!$C$20)</f>
        <v>10000000</v>
      </c>
      <c r="I29" s="21">
        <f>MAX(I6*115%,Assumptions!$C$20)</f>
        <v>10000000</v>
      </c>
    </row>
    <row r="30" spans="3:10" ht="15.75" thickBot="1" x14ac:dyDescent="0.3">
      <c r="C30" s="16"/>
      <c r="D30" s="17"/>
      <c r="E30" s="1"/>
      <c r="F30" s="1"/>
      <c r="G30" s="1"/>
      <c r="H30" s="1"/>
      <c r="I30" s="1"/>
    </row>
    <row r="31" spans="3:10" x14ac:dyDescent="0.25">
      <c r="C31" s="5"/>
      <c r="E31" s="9"/>
      <c r="F31" s="9"/>
      <c r="G31" s="9"/>
      <c r="H31" s="9"/>
    </row>
    <row r="32" spans="3:10" x14ac:dyDescent="0.25">
      <c r="E32" s="2"/>
      <c r="F32" s="2"/>
      <c r="G32" s="2"/>
      <c r="H32" s="2"/>
      <c r="I32" s="2"/>
      <c r="J32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(a) Forecast (Template)</vt:lpstr>
      <vt:lpstr>(a) Forecast (Answer)</vt:lpstr>
      <vt:lpstr>(b) Profit Analysis (answer)</vt:lpstr>
    </vt:vector>
  </TitlesOfParts>
  <Company>RGARE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Gill, Andrew</dc:creator>
  <cp:lastModifiedBy>Toshiba</cp:lastModifiedBy>
  <dcterms:created xsi:type="dcterms:W3CDTF">2013-09-01T01:24:29Z</dcterms:created>
  <dcterms:modified xsi:type="dcterms:W3CDTF">2013-10-23T08:33:53Z</dcterms:modified>
</cp:coreProperties>
</file>