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 activeTab="1"/>
  </bookViews>
  <sheets>
    <sheet name="Assumptions" sheetId="2" r:id="rId1"/>
    <sheet name="(a) Forecast (Template)" sheetId="4" r:id="rId2"/>
    <sheet name="(b) Profit Analysis (Template)" sheetId="17" r:id="rId3"/>
  </sheets>
  <calcPr calcId="145621"/>
</workbook>
</file>

<file path=xl/calcChain.xml><?xml version="1.0" encoding="utf-8"?>
<calcChain xmlns="http://schemas.openxmlformats.org/spreadsheetml/2006/main">
  <c r="E13" i="4" l="1"/>
  <c r="F13" i="4"/>
  <c r="G13" i="4"/>
  <c r="H13" i="4"/>
  <c r="L13" i="4"/>
  <c r="K14" i="4"/>
  <c r="K15" i="4" s="1"/>
  <c r="I25" i="17" l="1"/>
  <c r="H25" i="17"/>
  <c r="G14" i="17"/>
  <c r="F14" i="17"/>
  <c r="E14" i="17"/>
  <c r="I7" i="17"/>
  <c r="H7" i="17"/>
  <c r="G7" i="17"/>
  <c r="F7" i="17"/>
  <c r="I12" i="17"/>
  <c r="H12" i="17"/>
  <c r="G12" i="17"/>
  <c r="F12" i="17"/>
  <c r="G13" i="17"/>
  <c r="F13" i="17"/>
  <c r="G25" i="17"/>
  <c r="F25" i="17"/>
  <c r="I26" i="17"/>
  <c r="H26" i="17"/>
  <c r="G26" i="17"/>
  <c r="F26" i="17"/>
  <c r="I11" i="17"/>
  <c r="H11" i="17"/>
  <c r="G11" i="17"/>
  <c r="F11" i="17"/>
  <c r="G29" i="17"/>
  <c r="F29" i="17"/>
  <c r="E13" i="17"/>
  <c r="G6" i="17"/>
  <c r="F6" i="17"/>
  <c r="E6" i="17"/>
  <c r="E29" i="17" s="1"/>
  <c r="E11" i="17" l="1"/>
  <c r="E26" i="17" s="1"/>
  <c r="E25" i="17"/>
  <c r="E12" i="17"/>
  <c r="H6" i="17"/>
  <c r="F27" i="17" l="1"/>
  <c r="H29" i="17"/>
  <c r="H13" i="17"/>
  <c r="I13" i="17" s="1"/>
  <c r="E27" i="17"/>
  <c r="E7" i="17"/>
  <c r="E8" i="17"/>
  <c r="F15" i="17"/>
  <c r="I6" i="17"/>
  <c r="I29" i="17" s="1"/>
  <c r="G27" i="17"/>
  <c r="E7" i="4"/>
  <c r="O40" i="4"/>
  <c r="O39" i="4"/>
  <c r="N39" i="4"/>
  <c r="O38" i="4"/>
  <c r="N38" i="4"/>
  <c r="M38" i="4"/>
  <c r="O37" i="4"/>
  <c r="N37" i="4"/>
  <c r="M37" i="4"/>
  <c r="L37" i="4"/>
  <c r="E15" i="17" l="1"/>
  <c r="E17" i="17" s="1"/>
  <c r="L5" i="17" s="1"/>
  <c r="G15" i="17"/>
  <c r="H27" i="17"/>
  <c r="H14" i="17" s="1"/>
  <c r="I27" i="17"/>
  <c r="I14" i="17" s="1"/>
  <c r="F8" i="17"/>
  <c r="F17" i="17" s="1"/>
  <c r="H29" i="4"/>
  <c r="G29" i="4"/>
  <c r="F29" i="4"/>
  <c r="E29" i="4"/>
  <c r="E26" i="4"/>
  <c r="E27" i="4" s="1"/>
  <c r="E14" i="4" s="1"/>
  <c r="H25" i="4"/>
  <c r="G25" i="4"/>
  <c r="F25" i="4"/>
  <c r="E25" i="4"/>
  <c r="E11" i="4"/>
  <c r="E15" i="4" s="1"/>
  <c r="F11" i="4"/>
  <c r="G11" i="4"/>
  <c r="H11" i="4"/>
  <c r="O32" i="4"/>
  <c r="O31" i="4"/>
  <c r="N31" i="4"/>
  <c r="O30" i="4"/>
  <c r="N30" i="4"/>
  <c r="M30" i="4"/>
  <c r="O29" i="4"/>
  <c r="N29" i="4"/>
  <c r="M29" i="4"/>
  <c r="L29" i="4"/>
  <c r="O56" i="4"/>
  <c r="N55" i="4"/>
  <c r="N54" i="4"/>
  <c r="M54" i="4"/>
  <c r="L53" i="4"/>
  <c r="L57" i="4" s="1"/>
  <c r="K54" i="4"/>
  <c r="K55" i="4" s="1"/>
  <c r="M52" i="4"/>
  <c r="N52" i="4" s="1"/>
  <c r="O52" i="4" s="1"/>
  <c r="O55" i="4"/>
  <c r="O54" i="4"/>
  <c r="F26" i="4"/>
  <c r="F27" i="4" s="1"/>
  <c r="F14" i="4" s="1"/>
  <c r="F15" i="4" s="1"/>
  <c r="K38" i="4"/>
  <c r="K39" i="4" s="1"/>
  <c r="M36" i="4"/>
  <c r="N36" i="4" s="1"/>
  <c r="O36" i="4" s="1"/>
  <c r="K46" i="4"/>
  <c r="K47" i="4" s="1"/>
  <c r="M44" i="4"/>
  <c r="N44" i="4" s="1"/>
  <c r="O44" i="4" s="1"/>
  <c r="K30" i="4"/>
  <c r="K31" i="4" s="1"/>
  <c r="M28" i="4"/>
  <c r="N28" i="4" s="1"/>
  <c r="O28" i="4" s="1"/>
  <c r="K22" i="4"/>
  <c r="K23" i="4" s="1"/>
  <c r="M20" i="4"/>
  <c r="N20" i="4" s="1"/>
  <c r="O20" i="4" s="1"/>
  <c r="M12" i="4"/>
  <c r="N12" i="4" s="1"/>
  <c r="O12" i="4" s="1"/>
  <c r="L8" i="17" l="1"/>
  <c r="F19" i="17"/>
  <c r="F21" i="17" s="1"/>
  <c r="H8" i="17"/>
  <c r="G8" i="17"/>
  <c r="G17" i="17" s="1"/>
  <c r="L9" i="17" s="1"/>
  <c r="H15" i="17"/>
  <c r="E19" i="17"/>
  <c r="E21" i="17" s="1"/>
  <c r="F17" i="4"/>
  <c r="M53" i="4"/>
  <c r="M57" i="4" s="1"/>
  <c r="O8" i="4"/>
  <c r="N7" i="4"/>
  <c r="M6" i="4"/>
  <c r="K6" i="4"/>
  <c r="K7" i="4" s="1"/>
  <c r="L5" i="4"/>
  <c r="M4" i="4"/>
  <c r="N4" i="4" s="1"/>
  <c r="O4" i="4" s="1"/>
  <c r="E9" i="2"/>
  <c r="F9" i="2" s="1"/>
  <c r="G9" i="2" s="1"/>
  <c r="D9" i="2"/>
  <c r="G18" i="2"/>
  <c r="E25" i="2"/>
  <c r="F25" i="2" s="1"/>
  <c r="G25" i="2" s="1"/>
  <c r="E12" i="2"/>
  <c r="F12" i="2" s="1"/>
  <c r="G12" i="2" s="1"/>
  <c r="G5" i="2"/>
  <c r="D31" i="2"/>
  <c r="F31" i="2" s="1"/>
  <c r="G31" i="2" s="1"/>
  <c r="D20" i="2"/>
  <c r="E20" i="2" s="1"/>
  <c r="F20" i="2" s="1"/>
  <c r="G20" i="2" s="1"/>
  <c r="D15" i="2"/>
  <c r="E15" i="2" s="1"/>
  <c r="F15" i="2" s="1"/>
  <c r="G15" i="2" s="1"/>
  <c r="D17" i="2"/>
  <c r="E17" i="2" s="1"/>
  <c r="D12" i="2"/>
  <c r="D11" i="2"/>
  <c r="E11" i="2" s="1"/>
  <c r="F11" i="2" s="1"/>
  <c r="G11" i="2" s="1"/>
  <c r="D8" i="2"/>
  <c r="E8" i="2" s="1"/>
  <c r="F8" i="2" s="1"/>
  <c r="G8" i="2" s="1"/>
  <c r="D7" i="2"/>
  <c r="E7" i="2" s="1"/>
  <c r="F7" i="2" s="1"/>
  <c r="G7" i="2" s="1"/>
  <c r="D6" i="2"/>
  <c r="E6" i="2" s="1"/>
  <c r="F6" i="2" s="1"/>
  <c r="G6" i="2" s="1"/>
  <c r="D5" i="2"/>
  <c r="E5" i="2" s="1"/>
  <c r="C18" i="2"/>
  <c r="C13" i="2"/>
  <c r="D13" i="2" s="1"/>
  <c r="E13" i="2" s="1"/>
  <c r="F13" i="2" s="1"/>
  <c r="G13" i="2" s="1"/>
  <c r="H17" i="17" l="1"/>
  <c r="L10" i="17" s="1"/>
  <c r="I15" i="17"/>
  <c r="I8" i="17"/>
  <c r="G19" i="17"/>
  <c r="G21" i="17" s="1"/>
  <c r="H19" i="17"/>
  <c r="H21" i="17" s="1"/>
  <c r="N53" i="4"/>
  <c r="N57" i="4" s="1"/>
  <c r="G26" i="4"/>
  <c r="G27" i="4" s="1"/>
  <c r="F19" i="4"/>
  <c r="F21" i="4" s="1"/>
  <c r="N6" i="4"/>
  <c r="M22" i="4"/>
  <c r="M14" i="4"/>
  <c r="O7" i="4"/>
  <c r="N15" i="4"/>
  <c r="N23" i="4"/>
  <c r="M5" i="4"/>
  <c r="L21" i="4"/>
  <c r="E6" i="4"/>
  <c r="O16" i="4"/>
  <c r="O24" i="4"/>
  <c r="E18" i="2"/>
  <c r="F17" i="2"/>
  <c r="F18" i="2" s="1"/>
  <c r="D18" i="2"/>
  <c r="G14" i="4" l="1"/>
  <c r="G15" i="4" s="1"/>
  <c r="G17" i="4" s="1"/>
  <c r="G19" i="4" s="1"/>
  <c r="G21" i="4" s="1"/>
  <c r="I17" i="17"/>
  <c r="H26" i="4"/>
  <c r="H27" i="4" s="1"/>
  <c r="O53" i="4"/>
  <c r="O57" i="4" s="1"/>
  <c r="N5" i="4"/>
  <c r="M21" i="4"/>
  <c r="F6" i="4"/>
  <c r="O6" i="4"/>
  <c r="N22" i="4"/>
  <c r="L45" i="4"/>
  <c r="E12" i="4"/>
  <c r="E8" i="4"/>
  <c r="E17" i="4" s="1"/>
  <c r="E19" i="4" s="1"/>
  <c r="E21" i="4" s="1"/>
  <c r="O23" i="4"/>
  <c r="H14" i="4" l="1"/>
  <c r="H15" i="4" s="1"/>
  <c r="H17" i="4" s="1"/>
  <c r="H19" i="4" s="1"/>
  <c r="H21" i="4" s="1"/>
  <c r="L11" i="17"/>
  <c r="L13" i="17" s="1"/>
  <c r="I19" i="17"/>
  <c r="I21" i="17" s="1"/>
  <c r="M46" i="4"/>
  <c r="F12" i="4"/>
  <c r="F8" i="4"/>
  <c r="F7" i="4"/>
  <c r="O22" i="4"/>
  <c r="G6" i="4"/>
  <c r="N21" i="4"/>
  <c r="O5" i="4"/>
  <c r="G12" i="4" l="1"/>
  <c r="G7" i="4"/>
  <c r="G8" i="4" s="1"/>
  <c r="N47" i="4"/>
  <c r="H6" i="4"/>
  <c r="O21" i="4"/>
  <c r="H12" i="4" l="1"/>
  <c r="H7" i="4"/>
  <c r="H8" i="4" s="1"/>
  <c r="O48" i="4"/>
</calcChain>
</file>

<file path=xl/sharedStrings.xml><?xml version="1.0" encoding="utf-8"?>
<sst xmlns="http://schemas.openxmlformats.org/spreadsheetml/2006/main" count="101" uniqueCount="60">
  <si>
    <t>Loss Ratio</t>
  </si>
  <si>
    <t>Lapse Rate</t>
  </si>
  <si>
    <t>Premium Growth</t>
  </si>
  <si>
    <t>IBNR</t>
  </si>
  <si>
    <t>Issue Year</t>
  </si>
  <si>
    <t>Projected Premium</t>
  </si>
  <si>
    <t>Premium</t>
  </si>
  <si>
    <t>Maintenance Expenses</t>
  </si>
  <si>
    <t>Renewal Commission</t>
  </si>
  <si>
    <t>Initial Commission</t>
  </si>
  <si>
    <t>Maintenace Expenes</t>
  </si>
  <si>
    <t>Policy Liability</t>
  </si>
  <si>
    <t>DAC</t>
  </si>
  <si>
    <t>Investment Income</t>
  </si>
  <si>
    <t>Capital Required</t>
  </si>
  <si>
    <t>Half yearly</t>
  </si>
  <si>
    <t>REVENUE</t>
  </si>
  <si>
    <t>Total Revenue</t>
  </si>
  <si>
    <t>EXPENSES</t>
  </si>
  <si>
    <t>Total Expenses</t>
  </si>
  <si>
    <t>Pre-Tax Profit</t>
  </si>
  <si>
    <t>Tax (at 30%)</t>
  </si>
  <si>
    <t>PROFIT and LOSS (Forecast)</t>
  </si>
  <si>
    <t>Capital Minimum</t>
  </si>
  <si>
    <t>Net Profit After Tax (NPAT)</t>
  </si>
  <si>
    <t>Supporting Information</t>
  </si>
  <si>
    <t>Analysis of Profit for Omega Life Ltd</t>
  </si>
  <si>
    <t>Forecast 2014 Profit (pre-tax)</t>
  </si>
  <si>
    <t>$</t>
  </si>
  <si>
    <t>Actual 2014 Profit (pre-tax)</t>
  </si>
  <si>
    <t>1) Number of New Business Sales</t>
  </si>
  <si>
    <t>2) Average size of New Business Sales</t>
  </si>
  <si>
    <t>3) Claims Experience</t>
  </si>
  <si>
    <t>4) Investment Income Experience</t>
  </si>
  <si>
    <t>Claims Incurred (excluding IBNR)</t>
  </si>
  <si>
    <t>Change in Policy Liability</t>
  </si>
  <si>
    <t>ASSUMPTIONS</t>
  </si>
  <si>
    <t>New Business</t>
  </si>
  <si>
    <t>No. of new Policies</t>
  </si>
  <si>
    <t>Average Premium Per Policy</t>
  </si>
  <si>
    <t>2013 Forecast</t>
  </si>
  <si>
    <t>2014 Actuals</t>
  </si>
  <si>
    <t>(1) Number of New Policies</t>
  </si>
  <si>
    <t>(2) Average New Policy Premium</t>
  </si>
  <si>
    <t>(3) Claims Experience</t>
  </si>
  <si>
    <t>(4) Investment Income Experience</t>
  </si>
  <si>
    <t>DAC Amortisation Period (years)</t>
  </si>
  <si>
    <t>Maintenance Expenses ($)</t>
  </si>
  <si>
    <t>Projection Year</t>
  </si>
  <si>
    <t>Forecast (per (a))</t>
  </si>
  <si>
    <t>Shaded Cells show the change from the previous assumption set</t>
  </si>
  <si>
    <t>Impact on Pre-tax profit resulting from</t>
  </si>
  <si>
    <t>Projected Initital Commission</t>
  </si>
  <si>
    <t>Projected Claims</t>
  </si>
  <si>
    <t>Projected IBNR</t>
  </si>
  <si>
    <t>Projected Capital</t>
  </si>
  <si>
    <t>Projected DAC</t>
  </si>
  <si>
    <t>Projected PL</t>
  </si>
  <si>
    <t>(miss capital, comm, expense, claim)</t>
  </si>
  <si>
    <t>(haven't allowed for IBNR)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</si>
</sst>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3" formatCode="_(* #,##0.00_);_(* \(#,##0.00\);_(* &quot;-&quot;??_);_(@_)"/>
    <numFmt numFmtId="164" formatCode="0.0%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4">
    <xf numFmtId="0" fontId="0" fillId="0" borderId="0" xfId="0"/>
    <xf numFmtId="0" fontId="0" fillId="0" borderId="3" xfId="0" applyBorder="1"/>
    <xf numFmtId="3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 textRotation="90"/>
    </xf>
    <xf numFmtId="0" fontId="4" fillId="0" borderId="0" xfId="0" applyFont="1"/>
    <xf numFmtId="9" fontId="3" fillId="0" borderId="0" xfId="1" applyFont="1"/>
    <xf numFmtId="0" fontId="4" fillId="0" borderId="8" xfId="0" applyFont="1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12" xfId="0" applyBorder="1"/>
    <xf numFmtId="0" fontId="0" fillId="0" borderId="6" xfId="0" applyBorder="1"/>
    <xf numFmtId="0" fontId="0" fillId="0" borderId="14" xfId="0" applyBorder="1"/>
    <xf numFmtId="3" fontId="0" fillId="0" borderId="14" xfId="0" applyNumberFormat="1" applyFont="1" applyBorder="1"/>
    <xf numFmtId="3" fontId="3" fillId="0" borderId="15" xfId="0" applyNumberFormat="1" applyFont="1" applyBorder="1"/>
    <xf numFmtId="3" fontId="3" fillId="0" borderId="14" xfId="0" applyNumberFormat="1" applyFont="1" applyBorder="1"/>
    <xf numFmtId="0" fontId="4" fillId="0" borderId="9" xfId="0" applyFont="1" applyBorder="1"/>
    <xf numFmtId="0" fontId="0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3" fontId="3" fillId="0" borderId="3" xfId="0" applyNumberFormat="1" applyFont="1" applyBorder="1"/>
    <xf numFmtId="0" fontId="3" fillId="0" borderId="2" xfId="0" applyFont="1" applyBorder="1"/>
    <xf numFmtId="10" fontId="0" fillId="0" borderId="0" xfId="0" applyNumberFormat="1"/>
    <xf numFmtId="0" fontId="0" fillId="0" borderId="0" xfId="0" quotePrefix="1" applyAlignment="1">
      <alignment wrapText="1"/>
    </xf>
    <xf numFmtId="3" fontId="0" fillId="2" borderId="0" xfId="0" applyNumberFormat="1" applyFill="1"/>
    <xf numFmtId="0" fontId="0" fillId="0" borderId="1" xfId="0" quotePrefix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3" fontId="7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Fill="1"/>
    <xf numFmtId="9" fontId="0" fillId="0" borderId="0" xfId="0" applyNumberFormat="1" applyFill="1"/>
    <xf numFmtId="3" fontId="0" fillId="0" borderId="0" xfId="0" applyNumberFormat="1" applyFill="1"/>
    <xf numFmtId="164" fontId="0" fillId="0" borderId="0" xfId="0" applyNumberFormat="1" applyFill="1"/>
    <xf numFmtId="0" fontId="4" fillId="0" borderId="0" xfId="0" applyFont="1" applyFill="1"/>
    <xf numFmtId="0" fontId="0" fillId="0" borderId="8" xfId="0" applyFill="1" applyBorder="1"/>
    <xf numFmtId="0" fontId="4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3" fontId="0" fillId="0" borderId="0" xfId="0" applyNumberFormat="1" applyFill="1" applyBorder="1"/>
    <xf numFmtId="3" fontId="0" fillId="0" borderId="11" xfId="0" applyNumberFormat="1" applyFill="1" applyBorder="1"/>
    <xf numFmtId="3" fontId="0" fillId="0" borderId="13" xfId="0" applyNumberFormat="1" applyFill="1" applyBorder="1"/>
    <xf numFmtId="3" fontId="0" fillId="0" borderId="6" xfId="0" applyNumberFormat="1" applyFill="1" applyBorder="1"/>
    <xf numFmtId="9" fontId="0" fillId="0" borderId="0" xfId="0" applyNumberFormat="1"/>
    <xf numFmtId="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9" fontId="9" fillId="3" borderId="0" xfId="3" applyNumberFormat="1"/>
    <xf numFmtId="3" fontId="9" fillId="3" borderId="0" xfId="3" applyNumberFormat="1"/>
    <xf numFmtId="0" fontId="9" fillId="3" borderId="0" xfId="3"/>
    <xf numFmtId="164" fontId="9" fillId="3" borderId="0" xfId="3" applyNumberFormat="1"/>
    <xf numFmtId="0" fontId="13" fillId="0" borderId="0" xfId="0" applyFont="1"/>
    <xf numFmtId="0" fontId="12" fillId="0" borderId="0" xfId="5" applyFont="1" applyBorder="1" applyAlignment="1">
      <alignment horizontal="center" vertical="center"/>
    </xf>
    <xf numFmtId="167" fontId="0" fillId="0" borderId="0" xfId="2" applyNumberFormat="1" applyFont="1"/>
    <xf numFmtId="0" fontId="12" fillId="0" borderId="0" xfId="5" applyFont="1" applyFill="1" applyBorder="1" applyAlignment="1">
      <alignment horizontal="center" vertical="center"/>
    </xf>
    <xf numFmtId="167" fontId="0" fillId="0" borderId="0" xfId="0" applyNumberFormat="1"/>
    <xf numFmtId="6" fontId="0" fillId="0" borderId="0" xfId="0" applyNumberFormat="1"/>
    <xf numFmtId="10" fontId="0" fillId="0" borderId="0" xfId="1" applyNumberFormat="1" applyFont="1"/>
    <xf numFmtId="3" fontId="3" fillId="0" borderId="0" xfId="0" applyNumberFormat="1" applyFont="1"/>
    <xf numFmtId="3" fontId="10" fillId="4" borderId="14" xfId="4" applyNumberFormat="1" applyBorder="1"/>
    <xf numFmtId="0" fontId="14" fillId="5" borderId="0" xfId="0" applyFont="1" applyFill="1"/>
    <xf numFmtId="3" fontId="0" fillId="5" borderId="14" xfId="0" applyNumberFormat="1" applyFont="1" applyFill="1" applyBorder="1"/>
    <xf numFmtId="3" fontId="0" fillId="2" borderId="14" xfId="0" applyNumberFormat="1" applyFont="1" applyFill="1" applyBorder="1"/>
    <xf numFmtId="0" fontId="8" fillId="0" borderId="0" xfId="0" applyFont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9">
    <cellStyle name="Bad" xfId="4" builtinId="27"/>
    <cellStyle name="Comma" xfId="2" builtinId="3"/>
    <cellStyle name="Comma 2" xfId="6"/>
    <cellStyle name="Currency 2" xfId="7"/>
    <cellStyle name="Good" xfId="3" builtinId="26"/>
    <cellStyle name="Normal" xfId="0" builtinId="0"/>
    <cellStyle name="Normal 2" xfId="5"/>
    <cellStyle name="Percent" xfId="1" builtinId="5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I3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5" x14ac:dyDescent="0.25"/>
  <cols>
    <col min="2" max="2" width="37" customWidth="1"/>
    <col min="3" max="7" width="17.42578125" customWidth="1"/>
    <col min="8" max="10" width="15.85546875" customWidth="1"/>
  </cols>
  <sheetData>
    <row r="1" spans="2:9" ht="27.75" customHeight="1" x14ac:dyDescent="0.25">
      <c r="D1" s="78" t="s">
        <v>50</v>
      </c>
      <c r="E1" s="78"/>
      <c r="F1" s="78"/>
      <c r="G1" s="78"/>
    </row>
    <row r="2" spans="2:9" x14ac:dyDescent="0.25">
      <c r="B2" s="6" t="s">
        <v>36</v>
      </c>
      <c r="C2" s="3" t="s">
        <v>40</v>
      </c>
      <c r="D2" s="3" t="s">
        <v>41</v>
      </c>
      <c r="E2" s="3" t="s">
        <v>41</v>
      </c>
      <c r="F2" s="3" t="s">
        <v>41</v>
      </c>
      <c r="G2" s="3" t="s">
        <v>41</v>
      </c>
    </row>
    <row r="3" spans="2:9" ht="45" x14ac:dyDescent="0.25">
      <c r="B3" s="6"/>
      <c r="D3" s="27" t="s">
        <v>42</v>
      </c>
      <c r="E3" s="27" t="s">
        <v>43</v>
      </c>
      <c r="F3" s="27" t="s">
        <v>44</v>
      </c>
      <c r="G3" s="27" t="s">
        <v>45</v>
      </c>
    </row>
    <row r="4" spans="2:9" x14ac:dyDescent="0.25">
      <c r="C4" s="42"/>
      <c r="D4" s="42"/>
      <c r="E4" s="42"/>
      <c r="F4" s="42"/>
      <c r="G4" s="42"/>
    </row>
    <row r="5" spans="2:9" x14ac:dyDescent="0.25">
      <c r="B5" t="s">
        <v>0</v>
      </c>
      <c r="C5" s="62">
        <v>0.75</v>
      </c>
      <c r="D5" s="58">
        <f>C5</f>
        <v>0.75</v>
      </c>
      <c r="E5" s="58">
        <f t="shared" ref="E5:G5" si="0">D5</f>
        <v>0.75</v>
      </c>
      <c r="F5" s="59">
        <v>0.85</v>
      </c>
      <c r="G5" s="58">
        <f t="shared" si="0"/>
        <v>0.85</v>
      </c>
      <c r="I5" s="26"/>
    </row>
    <row r="6" spans="2:9" x14ac:dyDescent="0.25">
      <c r="B6" t="s">
        <v>9</v>
      </c>
      <c r="C6" s="62">
        <v>0.3</v>
      </c>
      <c r="D6" s="58">
        <f t="shared" ref="D6:G13" si="1">C6</f>
        <v>0.3</v>
      </c>
      <c r="E6" s="58">
        <f t="shared" si="1"/>
        <v>0.3</v>
      </c>
      <c r="F6" s="58">
        <f t="shared" si="1"/>
        <v>0.3</v>
      </c>
      <c r="G6" s="58">
        <f t="shared" si="1"/>
        <v>0.3</v>
      </c>
    </row>
    <row r="7" spans="2:9" x14ac:dyDescent="0.25">
      <c r="B7" t="s">
        <v>8</v>
      </c>
      <c r="C7" s="62">
        <v>0</v>
      </c>
      <c r="D7" s="58">
        <f t="shared" si="1"/>
        <v>0</v>
      </c>
      <c r="E7" s="58">
        <f t="shared" si="1"/>
        <v>0</v>
      </c>
      <c r="F7" s="58">
        <f t="shared" si="1"/>
        <v>0</v>
      </c>
      <c r="G7" s="58">
        <f t="shared" si="1"/>
        <v>0</v>
      </c>
    </row>
    <row r="8" spans="2:9" x14ac:dyDescent="0.25">
      <c r="B8" t="s">
        <v>10</v>
      </c>
      <c r="C8" s="62">
        <v>0.12</v>
      </c>
      <c r="D8" s="58">
        <f t="shared" si="1"/>
        <v>0.12</v>
      </c>
      <c r="E8" s="58">
        <f t="shared" si="1"/>
        <v>0.12</v>
      </c>
      <c r="F8" s="58">
        <f t="shared" si="1"/>
        <v>0.12</v>
      </c>
      <c r="G8" s="58">
        <f t="shared" si="1"/>
        <v>0.12</v>
      </c>
    </row>
    <row r="9" spans="2:9" x14ac:dyDescent="0.25">
      <c r="B9" t="s">
        <v>47</v>
      </c>
      <c r="C9" s="63">
        <v>1000000</v>
      </c>
      <c r="D9" s="2">
        <f t="shared" si="1"/>
        <v>1000000</v>
      </c>
      <c r="E9" s="2">
        <f t="shared" si="1"/>
        <v>1000000</v>
      </c>
      <c r="F9" s="2">
        <f t="shared" si="1"/>
        <v>1000000</v>
      </c>
      <c r="G9" s="2">
        <f t="shared" si="1"/>
        <v>1000000</v>
      </c>
    </row>
    <row r="10" spans="2:9" x14ac:dyDescent="0.25">
      <c r="C10" s="43"/>
      <c r="D10" s="58"/>
      <c r="E10" s="58"/>
      <c r="F10" s="58"/>
      <c r="G10" s="58"/>
    </row>
    <row r="11" spans="2:9" x14ac:dyDescent="0.25">
      <c r="B11" t="s">
        <v>1</v>
      </c>
      <c r="C11" s="62">
        <v>0.12</v>
      </c>
      <c r="D11" s="58">
        <f t="shared" si="1"/>
        <v>0.12</v>
      </c>
      <c r="E11" s="58">
        <f t="shared" si="1"/>
        <v>0.12</v>
      </c>
      <c r="F11" s="58">
        <f t="shared" si="1"/>
        <v>0.12</v>
      </c>
      <c r="G11" s="58">
        <f t="shared" si="1"/>
        <v>0.12</v>
      </c>
    </row>
    <row r="12" spans="2:9" x14ac:dyDescent="0.25">
      <c r="B12" t="s">
        <v>2</v>
      </c>
      <c r="C12" s="62">
        <v>0</v>
      </c>
      <c r="D12" s="58">
        <f t="shared" si="1"/>
        <v>0</v>
      </c>
      <c r="E12" s="58">
        <f t="shared" si="1"/>
        <v>0</v>
      </c>
      <c r="F12" s="58">
        <f t="shared" si="1"/>
        <v>0</v>
      </c>
      <c r="G12" s="58">
        <f t="shared" si="1"/>
        <v>0</v>
      </c>
    </row>
    <row r="13" spans="2:9" x14ac:dyDescent="0.25">
      <c r="B13" t="s">
        <v>3</v>
      </c>
      <c r="C13" s="64">
        <f>3/12</f>
        <v>0.25</v>
      </c>
      <c r="D13">
        <f t="shared" si="1"/>
        <v>0.25</v>
      </c>
      <c r="E13">
        <f t="shared" si="1"/>
        <v>0.25</v>
      </c>
      <c r="F13">
        <f t="shared" si="1"/>
        <v>0.25</v>
      </c>
      <c r="G13">
        <f t="shared" si="1"/>
        <v>0.25</v>
      </c>
    </row>
    <row r="14" spans="2:9" x14ac:dyDescent="0.25">
      <c r="C14" s="42"/>
    </row>
    <row r="15" spans="2:9" x14ac:dyDescent="0.25">
      <c r="B15" t="s">
        <v>46</v>
      </c>
      <c r="C15" s="42">
        <v>5</v>
      </c>
      <c r="D15">
        <f t="shared" ref="D15:G20" si="2">C15</f>
        <v>5</v>
      </c>
      <c r="E15">
        <f t="shared" si="2"/>
        <v>5</v>
      </c>
      <c r="F15">
        <f t="shared" si="2"/>
        <v>5</v>
      </c>
      <c r="G15">
        <f t="shared" si="2"/>
        <v>5</v>
      </c>
    </row>
    <row r="16" spans="2:9" x14ac:dyDescent="0.25">
      <c r="C16" s="42"/>
    </row>
    <row r="17" spans="2:7" x14ac:dyDescent="0.25">
      <c r="B17" t="s">
        <v>13</v>
      </c>
      <c r="C17" s="65">
        <v>0.04</v>
      </c>
      <c r="D17" s="60">
        <f t="shared" si="2"/>
        <v>0.04</v>
      </c>
      <c r="E17" s="60">
        <f t="shared" si="2"/>
        <v>0.04</v>
      </c>
      <c r="F17" s="60">
        <f t="shared" si="2"/>
        <v>0.04</v>
      </c>
      <c r="G17" s="61">
        <v>0.06</v>
      </c>
    </row>
    <row r="18" spans="2:7" x14ac:dyDescent="0.25">
      <c r="B18" t="s">
        <v>15</v>
      </c>
      <c r="C18" s="45">
        <f>(1+C17)^(1/2)-1</f>
        <v>1.9803902718557032E-2</v>
      </c>
      <c r="D18" s="60">
        <f>(1+D17)^(1/2)-1</f>
        <v>1.9803902718557032E-2</v>
      </c>
      <c r="E18" s="60">
        <f>(1+E17)^(1/2)-1</f>
        <v>1.9803902718557032E-2</v>
      </c>
      <c r="F18" s="60">
        <f>(1+F17)^(1/2)-1</f>
        <v>1.9803902718557032E-2</v>
      </c>
      <c r="G18" s="60">
        <f>(1+G17)^(1/2)-1</f>
        <v>2.9563014098699991E-2</v>
      </c>
    </row>
    <row r="19" spans="2:7" x14ac:dyDescent="0.25">
      <c r="C19" s="42"/>
    </row>
    <row r="20" spans="2:7" x14ac:dyDescent="0.25">
      <c r="B20" t="s">
        <v>23</v>
      </c>
      <c r="C20" s="44">
        <v>10000000</v>
      </c>
      <c r="D20" s="2">
        <f t="shared" si="2"/>
        <v>10000000</v>
      </c>
      <c r="E20" s="2">
        <f t="shared" si="2"/>
        <v>10000000</v>
      </c>
      <c r="F20" s="2">
        <f t="shared" si="2"/>
        <v>10000000</v>
      </c>
      <c r="G20" s="2">
        <f t="shared" si="2"/>
        <v>10000000</v>
      </c>
    </row>
    <row r="21" spans="2:7" x14ac:dyDescent="0.25">
      <c r="C21" s="42"/>
    </row>
    <row r="22" spans="2:7" x14ac:dyDescent="0.25">
      <c r="B22" s="6" t="s">
        <v>37</v>
      </c>
      <c r="C22" s="42"/>
    </row>
    <row r="23" spans="2:7" x14ac:dyDescent="0.25">
      <c r="C23" s="42"/>
    </row>
    <row r="24" spans="2:7" x14ac:dyDescent="0.25">
      <c r="B24" s="3" t="s">
        <v>38</v>
      </c>
      <c r="C24" s="42"/>
    </row>
    <row r="25" spans="2:7" x14ac:dyDescent="0.25">
      <c r="B25" s="3">
        <v>2014</v>
      </c>
      <c r="C25" s="44">
        <v>4000</v>
      </c>
      <c r="D25" s="28">
        <v>1500</v>
      </c>
      <c r="E25" s="2">
        <f t="shared" ref="E25:G25" si="3">D25</f>
        <v>1500</v>
      </c>
      <c r="F25" s="2">
        <f t="shared" si="3"/>
        <v>1500</v>
      </c>
      <c r="G25" s="2">
        <f t="shared" si="3"/>
        <v>1500</v>
      </c>
    </row>
    <row r="26" spans="2:7" x14ac:dyDescent="0.25">
      <c r="B26" s="3">
        <v>2015</v>
      </c>
      <c r="C26" s="44">
        <v>6000</v>
      </c>
      <c r="D26" s="2"/>
      <c r="E26" s="2"/>
      <c r="F26" s="2"/>
      <c r="G26" s="2"/>
    </row>
    <row r="27" spans="2:7" x14ac:dyDescent="0.25">
      <c r="B27" s="3">
        <v>2016</v>
      </c>
      <c r="C27" s="2">
        <v>9000</v>
      </c>
      <c r="D27" s="2"/>
      <c r="E27" s="2"/>
      <c r="F27" s="2"/>
      <c r="G27" s="2"/>
    </row>
    <row r="28" spans="2:7" x14ac:dyDescent="0.25">
      <c r="B28" s="3">
        <v>2017</v>
      </c>
      <c r="C28" s="2">
        <v>12000</v>
      </c>
      <c r="D28" s="2"/>
      <c r="E28" s="2"/>
      <c r="F28" s="2"/>
      <c r="G28" s="2"/>
    </row>
    <row r="29" spans="2:7" x14ac:dyDescent="0.25">
      <c r="B29" s="3"/>
      <c r="C29" s="2"/>
      <c r="D29" s="2"/>
      <c r="E29" s="2"/>
      <c r="F29" s="2"/>
      <c r="G29" s="2"/>
    </row>
    <row r="30" spans="2:7" x14ac:dyDescent="0.25">
      <c r="B30" t="s">
        <v>39</v>
      </c>
      <c r="C30" s="2"/>
      <c r="D30" s="2"/>
      <c r="E30" s="2"/>
      <c r="F30" s="2"/>
      <c r="G30" s="2"/>
    </row>
    <row r="31" spans="2:7" x14ac:dyDescent="0.25">
      <c r="B31" s="3">
        <v>2014</v>
      </c>
      <c r="C31" s="2">
        <v>800</v>
      </c>
      <c r="D31" s="2">
        <f t="shared" ref="D31:G31" si="4">C31</f>
        <v>800</v>
      </c>
      <c r="E31" s="28">
        <v>1400</v>
      </c>
      <c r="F31" s="2">
        <f t="shared" si="4"/>
        <v>1400</v>
      </c>
      <c r="G31" s="2">
        <f t="shared" si="4"/>
        <v>1400</v>
      </c>
    </row>
    <row r="32" spans="2:7" x14ac:dyDescent="0.25">
      <c r="B32" s="3">
        <v>2015</v>
      </c>
      <c r="C32" s="2">
        <v>950</v>
      </c>
      <c r="D32" s="2"/>
      <c r="E32" s="2"/>
      <c r="F32" s="2"/>
      <c r="G32" s="2"/>
    </row>
    <row r="33" spans="2:7" x14ac:dyDescent="0.25">
      <c r="B33" s="3">
        <v>2016</v>
      </c>
      <c r="C33" s="2">
        <v>1200</v>
      </c>
      <c r="D33" s="2"/>
      <c r="E33" s="2"/>
      <c r="F33" s="2"/>
      <c r="G33" s="2"/>
    </row>
    <row r="34" spans="2:7" x14ac:dyDescent="0.25">
      <c r="B34" s="3">
        <v>2017</v>
      </c>
      <c r="C34" s="2">
        <v>1350</v>
      </c>
      <c r="D34" s="2"/>
      <c r="E34" s="2"/>
      <c r="F34" s="2"/>
      <c r="G34" s="2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C57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5.5703125" customWidth="1"/>
    <col min="2" max="2" width="4.5703125" customWidth="1"/>
    <col min="3" max="3" width="29.85546875" customWidth="1"/>
    <col min="4" max="4" width="3" customWidth="1"/>
    <col min="5" max="8" width="14.140625" customWidth="1"/>
    <col min="9" max="9" width="47.42578125" customWidth="1"/>
    <col min="10" max="10" width="4.28515625" customWidth="1"/>
    <col min="12" max="14" width="14.140625" customWidth="1"/>
    <col min="15" max="15" width="12.5703125" customWidth="1"/>
    <col min="18" max="18" width="5" customWidth="1"/>
    <col min="19" max="20" width="11.42578125" customWidth="1"/>
    <col min="21" max="21" width="12.85546875" customWidth="1"/>
    <col min="22" max="22" width="11.42578125" customWidth="1"/>
    <col min="23" max="23" width="12.28515625" bestFit="1" customWidth="1"/>
    <col min="24" max="24" width="11.5703125" bestFit="1" customWidth="1"/>
    <col min="25" max="25" width="14.5703125" bestFit="1" customWidth="1"/>
    <col min="26" max="26" width="11.85546875" bestFit="1" customWidth="1"/>
    <col min="27" max="27" width="10.5703125" bestFit="1" customWidth="1"/>
    <col min="28" max="28" width="11.5703125" bestFit="1" customWidth="1"/>
    <col min="29" max="29" width="11.28515625" bestFit="1" customWidth="1"/>
  </cols>
  <sheetData>
    <row r="2" spans="2:29" ht="15.75" thickBot="1" x14ac:dyDescent="0.3">
      <c r="E2" s="2"/>
      <c r="F2" s="2"/>
      <c r="G2" s="2"/>
      <c r="H2" s="2"/>
      <c r="J2" s="42"/>
      <c r="K2" s="46" t="s">
        <v>5</v>
      </c>
      <c r="L2" s="42"/>
      <c r="M2" s="42"/>
      <c r="N2" s="42"/>
      <c r="O2" s="42"/>
      <c r="P2" s="42"/>
    </row>
    <row r="3" spans="2:29" ht="15.75" thickBot="1" x14ac:dyDescent="0.3">
      <c r="C3" s="8" t="s">
        <v>22</v>
      </c>
      <c r="D3" s="20"/>
      <c r="E3" s="25">
        <v>2014</v>
      </c>
      <c r="F3" s="25">
        <v>2015</v>
      </c>
      <c r="G3" s="25">
        <v>2016</v>
      </c>
      <c r="H3" s="25">
        <v>2017</v>
      </c>
      <c r="J3" s="47"/>
      <c r="K3" s="48"/>
      <c r="L3" s="81" t="s">
        <v>48</v>
      </c>
      <c r="M3" s="82"/>
      <c r="N3" s="82"/>
      <c r="O3" s="83"/>
      <c r="P3" s="42"/>
    </row>
    <row r="4" spans="2:29" ht="15.75" thickBot="1" x14ac:dyDescent="0.3">
      <c r="C4" s="14"/>
      <c r="D4" s="15"/>
      <c r="E4" s="1"/>
      <c r="F4" s="1"/>
      <c r="G4" s="1"/>
      <c r="H4" s="1"/>
      <c r="J4" s="49"/>
      <c r="K4" s="50"/>
      <c r="L4" s="51">
        <v>2014</v>
      </c>
      <c r="M4" s="52">
        <f>L4+1</f>
        <v>2015</v>
      </c>
      <c r="N4" s="52">
        <f t="shared" ref="N4:O4" si="0">M4+1</f>
        <v>2016</v>
      </c>
      <c r="O4" s="53">
        <f t="shared" si="0"/>
        <v>2017</v>
      </c>
      <c r="P4" s="42"/>
    </row>
    <row r="5" spans="2:29" ht="15" customHeight="1" x14ac:dyDescent="0.25">
      <c r="C5" s="11" t="s">
        <v>16</v>
      </c>
      <c r="D5" s="10"/>
      <c r="E5" s="16"/>
      <c r="F5" s="16"/>
      <c r="G5" s="16"/>
      <c r="H5" s="16"/>
      <c r="J5" s="79" t="s">
        <v>4</v>
      </c>
      <c r="K5" s="50">
        <v>2014</v>
      </c>
      <c r="L5" s="54">
        <f>Assumptions!C25*Assumptions!C31</f>
        <v>3200000</v>
      </c>
      <c r="M5" s="54">
        <f>L$5*(1-Assumptions!$C$11)</f>
        <v>2816000</v>
      </c>
      <c r="N5" s="54">
        <f>M$5*(1-Assumptions!$C$11)</f>
        <v>2478080</v>
      </c>
      <c r="O5" s="55">
        <f>N$5*(1-Assumptions!$C$11)</f>
        <v>2180710.3999999999</v>
      </c>
      <c r="P5" s="42"/>
    </row>
    <row r="6" spans="2:29" x14ac:dyDescent="0.25">
      <c r="C6" s="12" t="s">
        <v>6</v>
      </c>
      <c r="D6" s="21"/>
      <c r="E6" s="17">
        <f>SUM(L5:L8)</f>
        <v>3200000</v>
      </c>
      <c r="F6" s="17">
        <f t="shared" ref="F6:H6" si="1">SUM(M5:M8)</f>
        <v>8516000</v>
      </c>
      <c r="G6" s="17">
        <f t="shared" si="1"/>
        <v>18294080</v>
      </c>
      <c r="H6" s="17">
        <f t="shared" si="1"/>
        <v>32298790.399999999</v>
      </c>
      <c r="J6" s="79"/>
      <c r="K6" s="50">
        <f t="shared" ref="K6:K7" si="2">K5+1</f>
        <v>2015</v>
      </c>
      <c r="L6" s="54"/>
      <c r="M6" s="54">
        <f>Assumptions!C26*Assumptions!C32</f>
        <v>5700000</v>
      </c>
      <c r="N6" s="54">
        <f>M$6*(1-Assumptions!$C$11)</f>
        <v>5016000</v>
      </c>
      <c r="O6" s="55">
        <f>N$6*(1-Assumptions!$C$11)</f>
        <v>4414080</v>
      </c>
      <c r="P6" s="42"/>
    </row>
    <row r="7" spans="2:29" x14ac:dyDescent="0.25">
      <c r="C7" s="12" t="s">
        <v>13</v>
      </c>
      <c r="D7" s="21"/>
      <c r="E7" s="74">
        <f>E6*Assumptions!$C$17</f>
        <v>128000</v>
      </c>
      <c r="F7" s="74">
        <f>F6*Assumptions!$C$17</f>
        <v>340640</v>
      </c>
      <c r="G7" s="74">
        <f>G6*Assumptions!$C$17</f>
        <v>731763.20000000007</v>
      </c>
      <c r="H7" s="74">
        <f>H6*Assumptions!$C$17</f>
        <v>1291951.6159999999</v>
      </c>
      <c r="I7" s="75" t="s">
        <v>58</v>
      </c>
      <c r="J7" s="79"/>
      <c r="K7" s="50">
        <f t="shared" si="2"/>
        <v>2016</v>
      </c>
      <c r="L7" s="54"/>
      <c r="M7" s="54"/>
      <c r="N7" s="54">
        <f>Assumptions!C27*Assumptions!C33</f>
        <v>10800000</v>
      </c>
      <c r="O7" s="55">
        <f>N$7*(1-Assumptions!$C$11)</f>
        <v>9504000</v>
      </c>
      <c r="P7" s="42"/>
    </row>
    <row r="8" spans="2:29" ht="15.75" thickBot="1" x14ac:dyDescent="0.3">
      <c r="C8" s="13" t="s">
        <v>17</v>
      </c>
      <c r="D8" s="22"/>
      <c r="E8" s="18">
        <f>SUM(E6:E7)</f>
        <v>3328000</v>
      </c>
      <c r="F8" s="18">
        <f t="shared" ref="F8:H8" si="3">SUM(F6:F7)</f>
        <v>8856640</v>
      </c>
      <c r="G8" s="18">
        <f t="shared" si="3"/>
        <v>19025843.199999999</v>
      </c>
      <c r="H8" s="18">
        <f t="shared" si="3"/>
        <v>33590742.015999995</v>
      </c>
      <c r="J8" s="80"/>
      <c r="K8" s="53">
        <v>2017</v>
      </c>
      <c r="L8" s="56"/>
      <c r="M8" s="56"/>
      <c r="N8" s="56"/>
      <c r="O8" s="57">
        <f>Assumptions!C28*Assumptions!C34</f>
        <v>16200000</v>
      </c>
      <c r="P8" s="42"/>
    </row>
    <row r="9" spans="2:29" x14ac:dyDescent="0.25">
      <c r="B9" s="5"/>
      <c r="C9" s="13"/>
      <c r="D9" s="22"/>
      <c r="E9" s="19"/>
      <c r="F9" s="19"/>
      <c r="G9" s="19"/>
      <c r="H9" s="19"/>
      <c r="I9" s="41"/>
      <c r="J9" s="42"/>
      <c r="K9" s="42"/>
      <c r="L9" s="42"/>
      <c r="M9" s="42"/>
      <c r="N9" s="42"/>
      <c r="O9" s="42"/>
      <c r="P9" s="42"/>
      <c r="Z9" s="72"/>
    </row>
    <row r="10" spans="2:29" ht="15.75" thickBot="1" x14ac:dyDescent="0.3">
      <c r="B10" s="5"/>
      <c r="C10" s="11" t="s">
        <v>18</v>
      </c>
      <c r="D10" s="22"/>
      <c r="E10" s="19"/>
      <c r="F10" s="19"/>
      <c r="G10" s="19"/>
      <c r="H10" s="19"/>
      <c r="J10" s="42"/>
      <c r="K10" s="46" t="s">
        <v>52</v>
      </c>
      <c r="L10" s="42"/>
      <c r="M10" s="42"/>
      <c r="N10" s="42"/>
      <c r="O10" s="42"/>
      <c r="P10" s="42"/>
      <c r="S10" s="67"/>
      <c r="T10" s="4"/>
      <c r="U10" s="67"/>
      <c r="V10" s="67"/>
      <c r="W10" s="69"/>
      <c r="X10" s="4"/>
      <c r="Y10" s="4"/>
      <c r="Z10" s="4"/>
      <c r="AA10" s="4"/>
      <c r="AB10" s="4"/>
      <c r="AC10" s="4"/>
    </row>
    <row r="11" spans="2:29" ht="15.75" thickBot="1" x14ac:dyDescent="0.3">
      <c r="C11" s="12" t="s">
        <v>9</v>
      </c>
      <c r="D11" s="22"/>
      <c r="E11" s="17">
        <f>SUM(L13:L16)</f>
        <v>960000</v>
      </c>
      <c r="F11" s="17">
        <f t="shared" ref="F11:H11" si="4">SUM(M13:M16)</f>
        <v>1710000</v>
      </c>
      <c r="G11" s="17">
        <f t="shared" si="4"/>
        <v>3240000</v>
      </c>
      <c r="H11" s="17">
        <f t="shared" si="4"/>
        <v>4860000</v>
      </c>
      <c r="J11" s="47"/>
      <c r="K11" s="48"/>
      <c r="L11" s="81" t="s">
        <v>48</v>
      </c>
      <c r="M11" s="82"/>
      <c r="N11" s="82"/>
      <c r="O11" s="83"/>
      <c r="P11" s="42"/>
      <c r="Y11" s="71"/>
      <c r="Z11" s="71"/>
      <c r="AA11" s="2"/>
    </row>
    <row r="12" spans="2:29" ht="15.75" thickBot="1" x14ac:dyDescent="0.3">
      <c r="C12" s="12" t="s">
        <v>7</v>
      </c>
      <c r="D12" s="22"/>
      <c r="E12" s="17">
        <f>E6*Assumptions!$C$8+Assumptions!$C$9</f>
        <v>1384000</v>
      </c>
      <c r="F12" s="17">
        <f>F6*Assumptions!$C$8+Assumptions!$C$9</f>
        <v>2021920</v>
      </c>
      <c r="G12" s="17">
        <f>G6*Assumptions!$C$8+Assumptions!$C$9</f>
        <v>3195289.6000000001</v>
      </c>
      <c r="H12" s="17">
        <f>H6*Assumptions!$C$8+Assumptions!$C$9</f>
        <v>4875854.8479999993</v>
      </c>
      <c r="J12" s="49"/>
      <c r="K12" s="50"/>
      <c r="L12" s="51">
        <v>2014</v>
      </c>
      <c r="M12" s="52">
        <f>L12+1</f>
        <v>2015</v>
      </c>
      <c r="N12" s="52">
        <f t="shared" ref="N12" si="5">M12+1</f>
        <v>2016</v>
      </c>
      <c r="O12" s="53">
        <f t="shared" ref="O12" si="6">N12+1</f>
        <v>2017</v>
      </c>
      <c r="P12" s="42"/>
      <c r="Q12" s="4"/>
      <c r="R12" s="66"/>
      <c r="S12" s="2"/>
      <c r="T12" s="2"/>
      <c r="U12" s="68"/>
      <c r="V12" s="2"/>
      <c r="W12" s="70"/>
      <c r="X12" s="70"/>
      <c r="Y12" s="71"/>
      <c r="Z12" s="71"/>
      <c r="AA12" s="70"/>
      <c r="AB12" s="70"/>
      <c r="AC12" s="70"/>
    </row>
    <row r="13" spans="2:29" x14ac:dyDescent="0.25">
      <c r="C13" s="12" t="s">
        <v>34</v>
      </c>
      <c r="D13" s="22"/>
      <c r="E13" s="74">
        <f>SUM(L21:L24)</f>
        <v>2400000</v>
      </c>
      <c r="F13" s="74">
        <f>SUM(M21:M24)</f>
        <v>6387000</v>
      </c>
      <c r="G13" s="74">
        <f>SUM(N21:N24)</f>
        <v>13720560</v>
      </c>
      <c r="H13" s="74">
        <f>SUM(O21:O24)</f>
        <v>24224092.800000001</v>
      </c>
      <c r="I13" s="75" t="s">
        <v>59</v>
      </c>
      <c r="J13" s="79" t="s">
        <v>4</v>
      </c>
      <c r="K13" s="50">
        <v>2014</v>
      </c>
      <c r="L13" s="54">
        <f>L5*Assumptions!$C$6</f>
        <v>960000</v>
      </c>
      <c r="M13" s="54"/>
      <c r="N13" s="54"/>
      <c r="O13" s="55"/>
      <c r="Q13" s="4"/>
      <c r="R13" s="66"/>
      <c r="S13" s="68"/>
      <c r="T13" s="68"/>
      <c r="U13" s="68"/>
      <c r="V13" s="68"/>
      <c r="W13" s="70"/>
      <c r="X13" s="70"/>
      <c r="Y13" s="71"/>
      <c r="Z13" s="71"/>
      <c r="AA13" s="70"/>
      <c r="AB13" s="70"/>
      <c r="AC13" s="70"/>
    </row>
    <row r="14" spans="2:29" x14ac:dyDescent="0.25">
      <c r="C14" s="12" t="s">
        <v>35</v>
      </c>
      <c r="D14" s="22"/>
      <c r="E14" s="17">
        <f>E27</f>
        <v>-168000</v>
      </c>
      <c r="F14" s="17">
        <f>F27-E27</f>
        <v>-179250</v>
      </c>
      <c r="G14" s="17">
        <f t="shared" ref="G14:H14" si="7">G27-F27</f>
        <v>-224610</v>
      </c>
      <c r="H14" s="17">
        <f t="shared" si="7"/>
        <v>-80116.799999999814</v>
      </c>
      <c r="J14" s="79"/>
      <c r="K14" s="50">
        <f t="shared" ref="K14:K15" si="8">K13+1</f>
        <v>2015</v>
      </c>
      <c r="L14" s="54"/>
      <c r="M14" s="54">
        <f>M6*Assumptions!$C$6</f>
        <v>1710000</v>
      </c>
      <c r="N14" s="54"/>
      <c r="O14" s="55"/>
      <c r="Q14" s="4"/>
      <c r="R14" s="66"/>
      <c r="S14" s="2"/>
      <c r="T14" s="2"/>
      <c r="U14" s="68"/>
      <c r="V14" s="2"/>
      <c r="W14" s="70"/>
      <c r="X14" s="70"/>
      <c r="Y14" s="71"/>
      <c r="Z14" s="71"/>
      <c r="AA14" s="70"/>
      <c r="AB14" s="70"/>
      <c r="AC14" s="70"/>
    </row>
    <row r="15" spans="2:29" x14ac:dyDescent="0.25">
      <c r="C15" s="13" t="s">
        <v>19</v>
      </c>
      <c r="D15" s="10"/>
      <c r="E15" s="18">
        <f>SUM(E11:E14)</f>
        <v>4576000</v>
      </c>
      <c r="F15" s="18">
        <f t="shared" ref="F15:H15" si="9">SUM(F11:F14)</f>
        <v>9939670</v>
      </c>
      <c r="G15" s="18">
        <f t="shared" si="9"/>
        <v>19931239.600000001</v>
      </c>
      <c r="H15" s="18">
        <f t="shared" si="9"/>
        <v>33879830.848000005</v>
      </c>
      <c r="J15" s="79"/>
      <c r="K15" s="50">
        <f t="shared" si="8"/>
        <v>2016</v>
      </c>
      <c r="L15" s="54"/>
      <c r="M15" s="54"/>
      <c r="N15" s="54">
        <f>N7*Assumptions!$C$6</f>
        <v>3240000</v>
      </c>
      <c r="O15" s="55"/>
      <c r="Q15" s="4"/>
      <c r="R15" s="66"/>
      <c r="S15" s="68"/>
      <c r="T15" s="68"/>
      <c r="U15" s="68"/>
      <c r="V15" s="68"/>
      <c r="W15" s="70"/>
      <c r="X15" s="70"/>
      <c r="Y15" s="71"/>
      <c r="Z15" s="71"/>
      <c r="AA15" s="70"/>
      <c r="AB15" s="70"/>
      <c r="AC15" s="70"/>
    </row>
    <row r="16" spans="2:29" ht="15.75" thickBot="1" x14ac:dyDescent="0.3">
      <c r="C16" s="9"/>
      <c r="D16" s="10"/>
      <c r="E16" s="16"/>
      <c r="F16" s="16"/>
      <c r="G16" s="16"/>
      <c r="H16" s="16"/>
      <c r="J16" s="80"/>
      <c r="K16" s="53">
        <v>2017</v>
      </c>
      <c r="L16" s="56"/>
      <c r="M16" s="56"/>
      <c r="N16" s="56"/>
      <c r="O16" s="57">
        <f>O8*Assumptions!$C$6</f>
        <v>4860000</v>
      </c>
      <c r="Q16" s="4"/>
      <c r="R16" s="66"/>
      <c r="S16" s="2"/>
      <c r="T16" s="2"/>
      <c r="U16" s="68"/>
      <c r="V16" s="2"/>
      <c r="W16" s="70"/>
      <c r="X16" s="70"/>
      <c r="Y16" s="71"/>
      <c r="Z16" s="71"/>
      <c r="AA16" s="70"/>
      <c r="AB16" s="70"/>
      <c r="AC16" s="70"/>
    </row>
    <row r="17" spans="3:29" ht="14.25" customHeight="1" x14ac:dyDescent="0.25">
      <c r="C17" s="13" t="s">
        <v>20</v>
      </c>
      <c r="D17" s="10"/>
      <c r="E17" s="19">
        <f>E8-E15</f>
        <v>-1248000</v>
      </c>
      <c r="F17" s="19">
        <f t="shared" ref="F17:H17" si="10">F8-F15</f>
        <v>-1083030</v>
      </c>
      <c r="G17" s="19">
        <f t="shared" si="10"/>
        <v>-905396.40000000224</v>
      </c>
      <c r="H17" s="19">
        <f t="shared" si="10"/>
        <v>-289088.83200000972</v>
      </c>
      <c r="J17" s="2"/>
      <c r="K17" s="2"/>
      <c r="L17" s="2"/>
      <c r="Q17" s="4"/>
      <c r="R17" s="66"/>
      <c r="S17" s="68"/>
      <c r="T17" s="68"/>
      <c r="U17" s="68"/>
      <c r="V17" s="68"/>
      <c r="W17" s="70"/>
      <c r="X17" s="70"/>
      <c r="Y17" s="71"/>
      <c r="Z17" s="71"/>
      <c r="AA17" s="70"/>
      <c r="AB17" s="70"/>
      <c r="AC17" s="70"/>
    </row>
    <row r="18" spans="3:29" ht="15.75" thickBot="1" x14ac:dyDescent="0.3">
      <c r="C18" s="9"/>
      <c r="D18" s="10"/>
      <c r="E18" s="16"/>
      <c r="F18" s="16"/>
      <c r="G18" s="16"/>
      <c r="H18" s="16"/>
      <c r="J18" s="42"/>
      <c r="K18" s="46" t="s">
        <v>53</v>
      </c>
      <c r="L18" s="42"/>
      <c r="M18" s="42"/>
      <c r="N18" s="42"/>
      <c r="O18" s="42"/>
      <c r="Q18" s="4"/>
      <c r="R18" s="66"/>
      <c r="S18" s="2"/>
      <c r="T18" s="2"/>
      <c r="U18" s="68"/>
      <c r="V18" s="2"/>
      <c r="W18" s="70"/>
      <c r="X18" s="70"/>
      <c r="Y18" s="71"/>
      <c r="Z18" s="71"/>
      <c r="AA18" s="70"/>
      <c r="AB18" s="70"/>
      <c r="AC18" s="70"/>
    </row>
    <row r="19" spans="3:29" ht="15.75" thickBot="1" x14ac:dyDescent="0.3">
      <c r="C19" s="13" t="s">
        <v>21</v>
      </c>
      <c r="D19" s="10"/>
      <c r="E19" s="19">
        <f>E17*30%</f>
        <v>-374400</v>
      </c>
      <c r="F19" s="19">
        <f t="shared" ref="F19:H19" si="11">F17*30%</f>
        <v>-324909</v>
      </c>
      <c r="G19" s="19">
        <f t="shared" si="11"/>
        <v>-271618.92000000068</v>
      </c>
      <c r="H19" s="19">
        <f t="shared" si="11"/>
        <v>-86726.649600002915</v>
      </c>
      <c r="J19" s="47"/>
      <c r="K19" s="48"/>
      <c r="L19" s="81" t="s">
        <v>48</v>
      </c>
      <c r="M19" s="82"/>
      <c r="N19" s="82"/>
      <c r="O19" s="83"/>
      <c r="Q19" s="4"/>
      <c r="R19" s="66"/>
      <c r="S19" s="68"/>
      <c r="T19" s="68"/>
      <c r="U19" s="68"/>
      <c r="V19" s="68"/>
      <c r="W19" s="70"/>
      <c r="X19" s="70"/>
      <c r="Y19" s="71"/>
      <c r="Z19" s="71"/>
      <c r="AA19" s="70"/>
      <c r="AB19" s="70"/>
      <c r="AC19" s="70"/>
    </row>
    <row r="20" spans="3:29" ht="15.75" thickBot="1" x14ac:dyDescent="0.3">
      <c r="C20" s="13"/>
      <c r="D20" s="10"/>
      <c r="E20" s="19"/>
      <c r="F20" s="19"/>
      <c r="G20" s="19"/>
      <c r="H20" s="19"/>
      <c r="J20" s="49"/>
      <c r="K20" s="50"/>
      <c r="L20" s="51">
        <v>2014</v>
      </c>
      <c r="M20" s="52">
        <f>L20+1</f>
        <v>2015</v>
      </c>
      <c r="N20" s="52">
        <f t="shared" ref="N20" si="12">M20+1</f>
        <v>2016</v>
      </c>
      <c r="O20" s="53">
        <f t="shared" ref="O20" si="13">N20+1</f>
        <v>2017</v>
      </c>
    </row>
    <row r="21" spans="3:29" ht="15.75" customHeight="1" thickBot="1" x14ac:dyDescent="0.3">
      <c r="C21" s="23" t="s">
        <v>24</v>
      </c>
      <c r="D21" s="15"/>
      <c r="E21" s="24">
        <f>E17-E19</f>
        <v>-873600</v>
      </c>
      <c r="F21" s="24">
        <f t="shared" ref="F21:H21" si="14">F17-F19</f>
        <v>-758121</v>
      </c>
      <c r="G21" s="24">
        <f t="shared" si="14"/>
        <v>-633777.48000000161</v>
      </c>
      <c r="H21" s="24">
        <f t="shared" si="14"/>
        <v>-202362.1824000068</v>
      </c>
      <c r="J21" s="79" t="s">
        <v>4</v>
      </c>
      <c r="K21" s="50">
        <v>2014</v>
      </c>
      <c r="L21" s="54">
        <f>L5*Assumptions!$C$5</f>
        <v>2400000</v>
      </c>
      <c r="M21" s="54">
        <f>M5*Assumptions!$C$5</f>
        <v>2112000</v>
      </c>
      <c r="N21" s="54">
        <f>N5*Assumptions!$C$5</f>
        <v>1858560</v>
      </c>
      <c r="O21" s="55">
        <f>O5*Assumptions!$C$5</f>
        <v>1635532.7999999998</v>
      </c>
    </row>
    <row r="22" spans="3:29" x14ac:dyDescent="0.25">
      <c r="C22" s="13"/>
      <c r="D22" s="10"/>
      <c r="E22" s="19"/>
      <c r="F22" s="19"/>
      <c r="G22" s="19"/>
      <c r="H22" s="19"/>
      <c r="J22" s="79"/>
      <c r="K22" s="50">
        <f t="shared" ref="K22:K23" si="15">K21+1</f>
        <v>2015</v>
      </c>
      <c r="L22" s="54"/>
      <c r="M22" s="54">
        <f>M6*Assumptions!$C$5</f>
        <v>4275000</v>
      </c>
      <c r="N22" s="54">
        <f>N6*Assumptions!$C$5</f>
        <v>3762000</v>
      </c>
      <c r="O22" s="55">
        <f>O6*Assumptions!$C$5</f>
        <v>3310560</v>
      </c>
    </row>
    <row r="23" spans="3:29" x14ac:dyDescent="0.25">
      <c r="C23" s="11" t="s">
        <v>25</v>
      </c>
      <c r="D23" s="10"/>
      <c r="E23" s="19"/>
      <c r="F23" s="19"/>
      <c r="G23" s="19"/>
      <c r="H23" s="19"/>
      <c r="J23" s="79"/>
      <c r="K23" s="50">
        <f t="shared" si="15"/>
        <v>2016</v>
      </c>
      <c r="L23" s="54"/>
      <c r="M23" s="54"/>
      <c r="N23" s="54">
        <f>N7*Assumptions!$C$5</f>
        <v>8100000</v>
      </c>
      <c r="O23" s="55">
        <f>O7*Assumptions!$C$5</f>
        <v>7128000</v>
      </c>
    </row>
    <row r="24" spans="3:29" ht="15.75" thickBot="1" x14ac:dyDescent="0.3">
      <c r="C24" s="9"/>
      <c r="D24" s="10"/>
      <c r="E24" s="16"/>
      <c r="F24" s="16"/>
      <c r="G24" s="16"/>
      <c r="H24" s="16"/>
      <c r="J24" s="80"/>
      <c r="K24" s="53">
        <v>2017</v>
      </c>
      <c r="L24" s="56"/>
      <c r="M24" s="56"/>
      <c r="N24" s="56"/>
      <c r="O24" s="57">
        <f>O8*Assumptions!$C$5</f>
        <v>12150000</v>
      </c>
    </row>
    <row r="25" spans="3:29" x14ac:dyDescent="0.25">
      <c r="C25" s="13" t="s">
        <v>3</v>
      </c>
      <c r="D25" s="10"/>
      <c r="E25" s="17">
        <f>SUM(L29:L32)</f>
        <v>600000</v>
      </c>
      <c r="F25" s="17">
        <f t="shared" ref="F25:H25" si="16">SUM(M29:M32)</f>
        <v>1596750</v>
      </c>
      <c r="G25" s="17">
        <f t="shared" si="16"/>
        <v>3430140</v>
      </c>
      <c r="H25" s="17">
        <f t="shared" si="16"/>
        <v>6056023.2000000002</v>
      </c>
    </row>
    <row r="26" spans="3:29" ht="15.75" thickBot="1" x14ac:dyDescent="0.3">
      <c r="C26" s="13" t="s">
        <v>12</v>
      </c>
      <c r="D26" s="22"/>
      <c r="E26" s="76">
        <f>SUM(L37:L40)</f>
        <v>768000</v>
      </c>
      <c r="F26" s="76">
        <f t="shared" ref="F26:H26" si="17">SUM(M37:M40)</f>
        <v>1944000</v>
      </c>
      <c r="G26" s="76">
        <f t="shared" si="17"/>
        <v>4002000</v>
      </c>
      <c r="H26" s="76">
        <f t="shared" si="17"/>
        <v>6708000</v>
      </c>
      <c r="J26" s="42"/>
      <c r="K26" s="46" t="s">
        <v>54</v>
      </c>
      <c r="L26" s="42"/>
      <c r="M26" s="42"/>
      <c r="N26" s="42"/>
      <c r="O26" s="42"/>
    </row>
    <row r="27" spans="3:29" ht="15.75" thickBot="1" x14ac:dyDescent="0.3">
      <c r="C27" s="13" t="s">
        <v>11</v>
      </c>
      <c r="D27" s="22"/>
      <c r="E27" s="18">
        <f>E25-E26</f>
        <v>-168000</v>
      </c>
      <c r="F27" s="18">
        <f t="shared" ref="F27:H27" si="18">F25-F26</f>
        <v>-347250</v>
      </c>
      <c r="G27" s="18">
        <f t="shared" si="18"/>
        <v>-571860</v>
      </c>
      <c r="H27" s="18">
        <f t="shared" si="18"/>
        <v>-651976.79999999981</v>
      </c>
      <c r="J27" s="47"/>
      <c r="K27" s="48"/>
      <c r="L27" s="81" t="s">
        <v>48</v>
      </c>
      <c r="M27" s="82"/>
      <c r="N27" s="82"/>
      <c r="O27" s="83"/>
    </row>
    <row r="28" spans="3:29" ht="15.75" thickBot="1" x14ac:dyDescent="0.3">
      <c r="C28" s="9"/>
      <c r="D28" s="10"/>
      <c r="E28" s="16"/>
      <c r="F28" s="16"/>
      <c r="G28" s="16"/>
      <c r="H28" s="16"/>
      <c r="J28" s="49"/>
      <c r="K28" s="50"/>
      <c r="L28" s="51">
        <v>2014</v>
      </c>
      <c r="M28" s="52">
        <f>L28+1</f>
        <v>2015</v>
      </c>
      <c r="N28" s="52">
        <f t="shared" ref="N28" si="19">M28+1</f>
        <v>2016</v>
      </c>
      <c r="O28" s="53">
        <f t="shared" ref="O28" si="20">N28+1</f>
        <v>2017</v>
      </c>
    </row>
    <row r="29" spans="3:29" x14ac:dyDescent="0.25">
      <c r="C29" s="13" t="s">
        <v>14</v>
      </c>
      <c r="D29" s="10"/>
      <c r="E29" s="19">
        <f>MAX(Assumptions!$C$20,115%*E$6)</f>
        <v>10000000</v>
      </c>
      <c r="F29" s="19">
        <f>MAX(Assumptions!$C$20,115%*F$6)</f>
        <v>10000000</v>
      </c>
      <c r="G29" s="19">
        <f>MAX(Assumptions!$C$20,115%*G$6)</f>
        <v>21038192</v>
      </c>
      <c r="H29" s="19">
        <f>MAX(Assumptions!$C$20,115%*H$6)</f>
        <v>37143608.959999993</v>
      </c>
      <c r="J29" s="79" t="s">
        <v>4</v>
      </c>
      <c r="K29" s="50">
        <v>2014</v>
      </c>
      <c r="L29" s="54">
        <f>L21*Assumptions!$C$13</f>
        <v>600000</v>
      </c>
      <c r="M29" s="54">
        <f>M21*Assumptions!$C$13</f>
        <v>528000</v>
      </c>
      <c r="N29" s="54">
        <f>N21*Assumptions!$C$13</f>
        <v>464640</v>
      </c>
      <c r="O29" s="55">
        <f>O21*Assumptions!$C$13</f>
        <v>408883.19999999995</v>
      </c>
    </row>
    <row r="30" spans="3:29" ht="15.75" thickBot="1" x14ac:dyDescent="0.3">
      <c r="C30" s="14"/>
      <c r="D30" s="15"/>
      <c r="E30" s="1"/>
      <c r="F30" s="1"/>
      <c r="G30" s="1"/>
      <c r="H30" s="1"/>
      <c r="J30" s="79"/>
      <c r="K30" s="50">
        <f t="shared" ref="K30:K31" si="21">K29+1</f>
        <v>2015</v>
      </c>
      <c r="L30" s="54"/>
      <c r="M30" s="54">
        <f>M22*Assumptions!$C$13</f>
        <v>1068750</v>
      </c>
      <c r="N30" s="54">
        <f>N22*Assumptions!$C$13</f>
        <v>940500</v>
      </c>
      <c r="O30" s="55">
        <f>O22*Assumptions!$C$13</f>
        <v>827640</v>
      </c>
    </row>
    <row r="31" spans="3:29" x14ac:dyDescent="0.25">
      <c r="C31" s="4"/>
      <c r="E31" s="7"/>
      <c r="F31" s="7"/>
      <c r="G31" s="7"/>
      <c r="H31" s="7"/>
      <c r="J31" s="79"/>
      <c r="K31" s="50">
        <f t="shared" si="21"/>
        <v>2016</v>
      </c>
      <c r="L31" s="54"/>
      <c r="M31" s="54"/>
      <c r="N31" s="54">
        <f>N23*Assumptions!$C$13</f>
        <v>2025000</v>
      </c>
      <c r="O31" s="55">
        <f>O23*Assumptions!$C$13</f>
        <v>1782000</v>
      </c>
    </row>
    <row r="32" spans="3:29" ht="15.75" thickBot="1" x14ac:dyDescent="0.3">
      <c r="E32" s="2"/>
      <c r="F32" s="2"/>
      <c r="G32" s="2"/>
      <c r="H32" s="2"/>
      <c r="J32" s="80"/>
      <c r="K32" s="53">
        <v>2017</v>
      </c>
      <c r="L32" s="56"/>
      <c r="M32" s="56"/>
      <c r="N32" s="56"/>
      <c r="O32" s="57">
        <f>O24*Assumptions!$C$13</f>
        <v>3037500</v>
      </c>
    </row>
    <row r="34" spans="10:15" ht="15.75" thickBot="1" x14ac:dyDescent="0.3">
      <c r="J34" s="42"/>
      <c r="K34" s="46" t="s">
        <v>56</v>
      </c>
      <c r="L34" s="42"/>
      <c r="M34" s="42"/>
      <c r="N34" s="42"/>
      <c r="O34" s="42"/>
    </row>
    <row r="35" spans="10:15" ht="15.75" thickBot="1" x14ac:dyDescent="0.3">
      <c r="J35" s="47"/>
      <c r="K35" s="48"/>
      <c r="L35" s="81" t="s">
        <v>48</v>
      </c>
      <c r="M35" s="82"/>
      <c r="N35" s="82"/>
      <c r="O35" s="83"/>
    </row>
    <row r="36" spans="10:15" ht="15.75" thickBot="1" x14ac:dyDescent="0.3">
      <c r="J36" s="49"/>
      <c r="K36" s="50"/>
      <c r="L36" s="51">
        <v>2014</v>
      </c>
      <c r="M36" s="52">
        <f>L36+1</f>
        <v>2015</v>
      </c>
      <c r="N36" s="52">
        <f t="shared" ref="N36" si="22">M36+1</f>
        <v>2016</v>
      </c>
      <c r="O36" s="53">
        <f t="shared" ref="O36" si="23">N36+1</f>
        <v>2017</v>
      </c>
    </row>
    <row r="37" spans="10:15" x14ac:dyDescent="0.25">
      <c r="J37" s="79" t="s">
        <v>4</v>
      </c>
      <c r="K37" s="50">
        <v>2014</v>
      </c>
      <c r="L37" s="54">
        <f>$L$13*4/5</f>
        <v>768000</v>
      </c>
      <c r="M37" s="54">
        <f>$L$13*3/5</f>
        <v>576000</v>
      </c>
      <c r="N37" s="54">
        <f>$L$13*2/5</f>
        <v>384000</v>
      </c>
      <c r="O37" s="55">
        <f>$L$13*1/5</f>
        <v>192000</v>
      </c>
    </row>
    <row r="38" spans="10:15" x14ac:dyDescent="0.25">
      <c r="J38" s="79"/>
      <c r="K38" s="50">
        <f t="shared" ref="K38:K39" si="24">K37+1</f>
        <v>2015</v>
      </c>
      <c r="L38" s="54"/>
      <c r="M38" s="54">
        <f>$M$14*4/5</f>
        <v>1368000</v>
      </c>
      <c r="N38" s="54">
        <f>$M$14*3/5</f>
        <v>1026000</v>
      </c>
      <c r="O38" s="55">
        <f>$M$14*2/5</f>
        <v>684000</v>
      </c>
    </row>
    <row r="39" spans="10:15" x14ac:dyDescent="0.25">
      <c r="J39" s="79"/>
      <c r="K39" s="50">
        <f t="shared" si="24"/>
        <v>2016</v>
      </c>
      <c r="L39" s="54"/>
      <c r="M39" s="54"/>
      <c r="N39" s="54">
        <f>$N$15*4/5</f>
        <v>2592000</v>
      </c>
      <c r="O39" s="55">
        <f>$N$15*3/5</f>
        <v>1944000</v>
      </c>
    </row>
    <row r="40" spans="10:15" ht="15.75" thickBot="1" x14ac:dyDescent="0.3">
      <c r="J40" s="80"/>
      <c r="K40" s="53">
        <v>2017</v>
      </c>
      <c r="L40" s="56"/>
      <c r="M40" s="56"/>
      <c r="N40" s="56"/>
      <c r="O40" s="57">
        <f>O16*4/5</f>
        <v>3888000</v>
      </c>
    </row>
    <row r="42" spans="10:15" ht="15.75" thickBot="1" x14ac:dyDescent="0.3">
      <c r="J42" s="42"/>
      <c r="K42" s="46" t="s">
        <v>55</v>
      </c>
      <c r="L42" s="42"/>
      <c r="M42" s="42"/>
      <c r="N42" s="42"/>
      <c r="O42" s="42"/>
    </row>
    <row r="43" spans="10:15" ht="15.75" thickBot="1" x14ac:dyDescent="0.3">
      <c r="J43" s="47"/>
      <c r="K43" s="48"/>
      <c r="L43" s="81" t="s">
        <v>48</v>
      </c>
      <c r="M43" s="82"/>
      <c r="N43" s="82"/>
      <c r="O43" s="83"/>
    </row>
    <row r="44" spans="10:15" ht="15.75" thickBot="1" x14ac:dyDescent="0.3">
      <c r="J44" s="49"/>
      <c r="K44" s="50"/>
      <c r="L44" s="51">
        <v>2014</v>
      </c>
      <c r="M44" s="52">
        <f>L44+1</f>
        <v>2015</v>
      </c>
      <c r="N44" s="52">
        <f t="shared" ref="N44" si="25">M44+1</f>
        <v>2016</v>
      </c>
      <c r="O44" s="53">
        <f t="shared" ref="O44" si="26">N44+1</f>
        <v>2017</v>
      </c>
    </row>
    <row r="45" spans="10:15" x14ac:dyDescent="0.25">
      <c r="J45" s="79" t="s">
        <v>4</v>
      </c>
      <c r="K45" s="50">
        <v>2014</v>
      </c>
      <c r="L45" s="54">
        <f>MAX(Assumptions!$C$20,115%*E$6)</f>
        <v>10000000</v>
      </c>
      <c r="M45" s="54"/>
      <c r="N45" s="54"/>
      <c r="O45" s="55"/>
    </row>
    <row r="46" spans="10:15" x14ac:dyDescent="0.25">
      <c r="J46" s="79"/>
      <c r="K46" s="50">
        <f t="shared" ref="K46:K47" si="27">K45+1</f>
        <v>2015</v>
      </c>
      <c r="L46" s="54"/>
      <c r="M46" s="54">
        <f>MAX(Assumptions!$C$20,115%*F$6)</f>
        <v>10000000</v>
      </c>
      <c r="N46" s="54"/>
      <c r="O46" s="55"/>
    </row>
    <row r="47" spans="10:15" x14ac:dyDescent="0.25">
      <c r="J47" s="79"/>
      <c r="K47" s="50">
        <f t="shared" si="27"/>
        <v>2016</v>
      </c>
      <c r="L47" s="54"/>
      <c r="M47" s="54"/>
      <c r="N47" s="54">
        <f>MAX(Assumptions!$C$20,115%*G$6)</f>
        <v>21038192</v>
      </c>
      <c r="O47" s="55"/>
    </row>
    <row r="48" spans="10:15" ht="15.75" thickBot="1" x14ac:dyDescent="0.3">
      <c r="J48" s="80"/>
      <c r="K48" s="53">
        <v>2017</v>
      </c>
      <c r="L48" s="56"/>
      <c r="M48" s="56"/>
      <c r="N48" s="56"/>
      <c r="O48" s="57">
        <f>MAX(Assumptions!$C$20,115%*H$6)</f>
        <v>37143608.959999993</v>
      </c>
    </row>
    <row r="50" spans="10:15" ht="15.75" thickBot="1" x14ac:dyDescent="0.3">
      <c r="J50" s="42"/>
      <c r="K50" s="46" t="s">
        <v>57</v>
      </c>
      <c r="L50" s="42"/>
      <c r="M50" s="42"/>
      <c r="N50" s="42"/>
      <c r="O50" s="42"/>
    </row>
    <row r="51" spans="10:15" ht="15.75" thickBot="1" x14ac:dyDescent="0.3">
      <c r="J51" s="47"/>
      <c r="K51" s="48"/>
      <c r="L51" s="81" t="s">
        <v>48</v>
      </c>
      <c r="M51" s="82"/>
      <c r="N51" s="82"/>
      <c r="O51" s="83"/>
    </row>
    <row r="52" spans="10:15" ht="15.75" thickBot="1" x14ac:dyDescent="0.3">
      <c r="J52" s="49"/>
      <c r="K52" s="50"/>
      <c r="L52" s="51">
        <v>2014</v>
      </c>
      <c r="M52" s="52">
        <f>L52+1</f>
        <v>2015</v>
      </c>
      <c r="N52" s="52">
        <f t="shared" ref="N52" si="28">M52+1</f>
        <v>2016</v>
      </c>
      <c r="O52" s="53">
        <f t="shared" ref="O52" si="29">N52+1</f>
        <v>2017</v>
      </c>
    </row>
    <row r="53" spans="10:15" x14ac:dyDescent="0.25">
      <c r="J53" s="79" t="s">
        <v>4</v>
      </c>
      <c r="K53" s="50">
        <v>2014</v>
      </c>
      <c r="L53" s="54">
        <f>L29-L37</f>
        <v>-168000</v>
      </c>
      <c r="M53" s="54">
        <f t="shared" ref="M53:O53" si="30">M29-M37</f>
        <v>-48000</v>
      </c>
      <c r="N53" s="54">
        <f t="shared" si="30"/>
        <v>80640</v>
      </c>
      <c r="O53" s="55">
        <f t="shared" si="30"/>
        <v>216883.19999999995</v>
      </c>
    </row>
    <row r="54" spans="10:15" x14ac:dyDescent="0.25">
      <c r="J54" s="79"/>
      <c r="K54" s="50">
        <f t="shared" ref="K54:K55" si="31">K53+1</f>
        <v>2015</v>
      </c>
      <c r="L54" s="54"/>
      <c r="M54" s="54">
        <f t="shared" ref="M54:O54" si="32">M30-M38</f>
        <v>-299250</v>
      </c>
      <c r="N54" s="54">
        <f t="shared" si="32"/>
        <v>-85500</v>
      </c>
      <c r="O54" s="55">
        <f t="shared" si="32"/>
        <v>143640</v>
      </c>
    </row>
    <row r="55" spans="10:15" x14ac:dyDescent="0.25">
      <c r="J55" s="79"/>
      <c r="K55" s="50">
        <f t="shared" si="31"/>
        <v>2016</v>
      </c>
      <c r="L55" s="54"/>
      <c r="M55" s="54"/>
      <c r="N55" s="54">
        <f t="shared" ref="N55" si="33">N31-N39</f>
        <v>-567000</v>
      </c>
      <c r="O55" s="55">
        <f>O31-O39</f>
        <v>-162000</v>
      </c>
    </row>
    <row r="56" spans="10:15" ht="15.75" thickBot="1" x14ac:dyDescent="0.3">
      <c r="J56" s="80"/>
      <c r="K56" s="53">
        <v>2017</v>
      </c>
      <c r="L56" s="56"/>
      <c r="M56" s="56"/>
      <c r="N56" s="56"/>
      <c r="O56" s="57">
        <f t="shared" ref="O56" si="34">O32-O40</f>
        <v>-850500</v>
      </c>
    </row>
    <row r="57" spans="10:15" x14ac:dyDescent="0.25">
      <c r="L57" s="73">
        <f>SUM(L53:L56)</f>
        <v>-168000</v>
      </c>
      <c r="M57" s="73">
        <f t="shared" ref="M57:O57" si="35">SUM(M53:M56)</f>
        <v>-347250</v>
      </c>
      <c r="N57" s="73">
        <f t="shared" si="35"/>
        <v>-571860</v>
      </c>
      <c r="O57" s="73">
        <f t="shared" si="35"/>
        <v>-651976.80000000005</v>
      </c>
    </row>
  </sheetData>
  <mergeCells count="14">
    <mergeCell ref="J53:J56"/>
    <mergeCell ref="L19:O19"/>
    <mergeCell ref="J21:J24"/>
    <mergeCell ref="L27:O27"/>
    <mergeCell ref="J29:J32"/>
    <mergeCell ref="L43:O43"/>
    <mergeCell ref="J45:J48"/>
    <mergeCell ref="L35:O35"/>
    <mergeCell ref="J37:J40"/>
    <mergeCell ref="J5:J8"/>
    <mergeCell ref="L3:O3"/>
    <mergeCell ref="L11:O11"/>
    <mergeCell ref="J13:J16"/>
    <mergeCell ref="L51:O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N32"/>
  <sheetViews>
    <sheetView zoomScaleNormal="100" workbookViewId="0">
      <selection activeCell="C38" sqref="C38"/>
    </sheetView>
  </sheetViews>
  <sheetFormatPr defaultRowHeight="15" x14ac:dyDescent="0.25"/>
  <cols>
    <col min="1" max="1" width="5.5703125" customWidth="1"/>
    <col min="2" max="2" width="5.42578125" customWidth="1"/>
    <col min="3" max="3" width="30.140625" customWidth="1"/>
    <col min="4" max="4" width="3" customWidth="1"/>
    <col min="5" max="10" width="14.140625" customWidth="1"/>
    <col min="11" max="11" width="47.7109375" customWidth="1"/>
    <col min="12" max="12" width="19.7109375" customWidth="1"/>
    <col min="13" max="14" width="14.140625" customWidth="1"/>
  </cols>
  <sheetData>
    <row r="2" spans="2:14" ht="15.75" thickBot="1" x14ac:dyDescent="0.3">
      <c r="B2" s="5"/>
      <c r="E2" s="2"/>
      <c r="F2" s="2"/>
      <c r="G2" s="2"/>
      <c r="H2" s="2"/>
    </row>
    <row r="3" spans="2:14" ht="15.75" thickBot="1" x14ac:dyDescent="0.3">
      <c r="B3" s="5"/>
      <c r="C3" s="8" t="s">
        <v>22</v>
      </c>
      <c r="D3" s="20"/>
      <c r="E3" s="30">
        <v>2014</v>
      </c>
      <c r="F3" s="30">
        <v>2014</v>
      </c>
      <c r="G3" s="30">
        <v>2014</v>
      </c>
      <c r="H3" s="30">
        <v>2014</v>
      </c>
      <c r="I3" s="30">
        <v>2014</v>
      </c>
      <c r="K3" s="31" t="s">
        <v>26</v>
      </c>
      <c r="L3" s="35"/>
    </row>
    <row r="4" spans="2:14" ht="45.75" thickBot="1" x14ac:dyDescent="0.3">
      <c r="C4" s="14"/>
      <c r="D4" s="15"/>
      <c r="E4" s="29" t="s">
        <v>49</v>
      </c>
      <c r="F4" s="29" t="s">
        <v>42</v>
      </c>
      <c r="G4" s="29" t="s">
        <v>43</v>
      </c>
      <c r="H4" s="29" t="s">
        <v>44</v>
      </c>
      <c r="I4" s="29" t="s">
        <v>45</v>
      </c>
      <c r="K4" s="32"/>
      <c r="L4" s="33" t="s">
        <v>28</v>
      </c>
    </row>
    <row r="5" spans="2:14" x14ac:dyDescent="0.25">
      <c r="C5" s="11" t="s">
        <v>16</v>
      </c>
      <c r="D5" s="10"/>
      <c r="E5" s="16"/>
      <c r="F5" s="16"/>
      <c r="G5" s="16"/>
      <c r="H5" s="16"/>
      <c r="I5" s="16"/>
      <c r="K5" s="34" t="s">
        <v>27</v>
      </c>
      <c r="L5" s="36">
        <f>E17</f>
        <v>-349455.6262558857</v>
      </c>
    </row>
    <row r="6" spans="2:14" x14ac:dyDescent="0.25">
      <c r="C6" s="12" t="s">
        <v>6</v>
      </c>
      <c r="D6" s="21"/>
      <c r="E6" s="17">
        <f>Assumptions!C25*Assumptions!C31</f>
        <v>3200000</v>
      </c>
      <c r="F6" s="77">
        <f>Assumptions!D25*Assumptions!C31</f>
        <v>1200000</v>
      </c>
      <c r="G6" s="77">
        <f>Assumptions!D25*Assumptions!E31</f>
        <v>2100000</v>
      </c>
      <c r="H6" s="17">
        <f>G6</f>
        <v>2100000</v>
      </c>
      <c r="I6" s="17">
        <f>H6</f>
        <v>2100000</v>
      </c>
      <c r="K6" s="34"/>
      <c r="L6" s="37"/>
      <c r="M6" s="2"/>
      <c r="N6" s="2"/>
    </row>
    <row r="7" spans="2:14" x14ac:dyDescent="0.25">
      <c r="C7" s="12" t="s">
        <v>13</v>
      </c>
      <c r="D7" s="21"/>
      <c r="E7" s="17">
        <f>(E29+E6+E11)*Assumptions!$C$17+SUM(E12:E13)*Assumptions!$C$18</f>
        <v>426544.37374411442</v>
      </c>
      <c r="F7" s="17">
        <f>(F29+F6+F11)*Assumptions!$C$17+SUM(F12:F13)*Assumptions!$C$18</f>
        <v>397576.70095494477</v>
      </c>
      <c r="G7" s="17">
        <f>(G29+G6+G11)*Assumptions!$C$17+SUM(G12:G13)*Assumptions!$C$18</f>
        <v>410612.15371007111</v>
      </c>
      <c r="H7" s="17">
        <f>(H29+H6+H11)*Assumptions!$C$17+SUM(H12:H13)*Assumptions!$C$18</f>
        <v>407493.03903189837</v>
      </c>
      <c r="I7" s="77">
        <f>(I29+I6+I11)*Assumptions!G17+SUM(I12:I13)*Assumptions!G18</f>
        <v>611609.62122379302</v>
      </c>
      <c r="K7" s="34" t="s">
        <v>51</v>
      </c>
      <c r="L7" s="37"/>
      <c r="M7" s="2"/>
      <c r="N7" s="2"/>
    </row>
    <row r="8" spans="2:14" x14ac:dyDescent="0.25">
      <c r="C8" s="13" t="s">
        <v>17</v>
      </c>
      <c r="D8" s="22"/>
      <c r="E8" s="18">
        <f>SUM(E6:E7)</f>
        <v>3626544.3737441143</v>
      </c>
      <c r="F8" s="18">
        <f t="shared" ref="F8:I8" si="0">SUM(F6:F7)</f>
        <v>1597576.7009549448</v>
      </c>
      <c r="G8" s="18">
        <f t="shared" si="0"/>
        <v>2510612.153710071</v>
      </c>
      <c r="H8" s="18">
        <f t="shared" si="0"/>
        <v>2507493.0390318986</v>
      </c>
      <c r="I8" s="18">
        <f t="shared" si="0"/>
        <v>2711609.6212237929</v>
      </c>
      <c r="K8" s="34" t="s">
        <v>30</v>
      </c>
      <c r="L8" s="36">
        <f>F17-E17</f>
        <v>-168967.67278916948</v>
      </c>
      <c r="M8" s="2"/>
      <c r="N8" s="2"/>
    </row>
    <row r="9" spans="2:14" x14ac:dyDescent="0.25">
      <c r="C9" s="13"/>
      <c r="D9" s="22"/>
      <c r="E9" s="19"/>
      <c r="F9" s="19"/>
      <c r="G9" s="19"/>
      <c r="H9" s="19"/>
      <c r="I9" s="19"/>
      <c r="K9" s="34" t="s">
        <v>31</v>
      </c>
      <c r="L9" s="36">
        <f>G17-F17</f>
        <v>76035.452755126171</v>
      </c>
      <c r="M9" s="2"/>
      <c r="N9" s="2"/>
    </row>
    <row r="10" spans="2:14" ht="14.25" customHeight="1" x14ac:dyDescent="0.25">
      <c r="C10" s="11" t="s">
        <v>18</v>
      </c>
      <c r="D10" s="22"/>
      <c r="E10" s="19"/>
      <c r="F10" s="19"/>
      <c r="G10" s="19"/>
      <c r="H10" s="19"/>
      <c r="I10" s="19"/>
      <c r="K10" s="34" t="s">
        <v>32</v>
      </c>
      <c r="L10" s="36">
        <f>H17-G17</f>
        <v>-213119.11467817239</v>
      </c>
      <c r="M10" s="2"/>
      <c r="N10" s="2"/>
    </row>
    <row r="11" spans="2:14" x14ac:dyDescent="0.25">
      <c r="C11" s="12" t="s">
        <v>9</v>
      </c>
      <c r="D11" s="22"/>
      <c r="E11" s="17">
        <f>-E6*Assumptions!$C$6</f>
        <v>-960000</v>
      </c>
      <c r="F11" s="74">
        <f>-F6*Assumptions!$C$6</f>
        <v>-360000</v>
      </c>
      <c r="G11" s="17">
        <f>-G6*Assumptions!$C$6</f>
        <v>-630000</v>
      </c>
      <c r="H11" s="17">
        <f>-H6*Assumptions!$C$6</f>
        <v>-630000</v>
      </c>
      <c r="I11" s="17">
        <f>-I6*Assumptions!$C$6</f>
        <v>-630000</v>
      </c>
      <c r="K11" s="34" t="s">
        <v>33</v>
      </c>
      <c r="L11" s="36">
        <f>I17-H17</f>
        <v>204116.5821918943</v>
      </c>
    </row>
    <row r="12" spans="2:14" ht="15.75" thickBot="1" x14ac:dyDescent="0.3">
      <c r="C12" s="12" t="s">
        <v>7</v>
      </c>
      <c r="D12" s="22"/>
      <c r="E12" s="17">
        <f>-(E6*Assumptions!$C$8+Assumptions!$C$9)</f>
        <v>-1384000</v>
      </c>
      <c r="F12" s="17">
        <f>-(F6*Assumptions!$C$8+Assumptions!$C$9)</f>
        <v>-1144000</v>
      </c>
      <c r="G12" s="17">
        <f>-(G6*Assumptions!$C$8+Assumptions!$C$9)</f>
        <v>-1252000</v>
      </c>
      <c r="H12" s="17">
        <f>-(H6*Assumptions!$C$8+Assumptions!$C$9)</f>
        <v>-1252000</v>
      </c>
      <c r="I12" s="17">
        <f>-(I6*Assumptions!$C$8+Assumptions!$C$9)</f>
        <v>-1252000</v>
      </c>
      <c r="K12" s="34"/>
      <c r="L12" s="37"/>
    </row>
    <row r="13" spans="2:14" ht="15.75" thickBot="1" x14ac:dyDescent="0.3">
      <c r="C13" s="12" t="s">
        <v>34</v>
      </c>
      <c r="D13" s="22"/>
      <c r="E13" s="17">
        <f>-E6*Assumptions!$C$5*(1-Assumptions!$C$13)</f>
        <v>-1800000</v>
      </c>
      <c r="F13" s="17">
        <f>-F6*Assumptions!$C$5*(1-Assumptions!$C$13)</f>
        <v>-675000</v>
      </c>
      <c r="G13" s="17">
        <f>-G6*Assumptions!$C$5*(1-Assumptions!$C$13)</f>
        <v>-1181250</v>
      </c>
      <c r="H13" s="77">
        <f>-H6*(1-Assumptions!$C$13)*Assumptions!$F$5</f>
        <v>-1338750</v>
      </c>
      <c r="I13" s="17">
        <f t="shared" ref="I13" si="1">H13</f>
        <v>-1338750</v>
      </c>
      <c r="K13" s="32" t="s">
        <v>29</v>
      </c>
      <c r="L13" s="38">
        <f>SUM(L5:L11)</f>
        <v>-451390.3787762071</v>
      </c>
    </row>
    <row r="14" spans="2:14" x14ac:dyDescent="0.25">
      <c r="C14" s="12" t="s">
        <v>35</v>
      </c>
      <c r="D14" s="22"/>
      <c r="E14" s="17">
        <f>-(E27-$D$27)</f>
        <v>168000</v>
      </c>
      <c r="F14" s="17">
        <f t="shared" ref="F14:I14" si="2">-(F27-$D$27)</f>
        <v>63000</v>
      </c>
      <c r="G14" s="17">
        <f t="shared" si="2"/>
        <v>110250</v>
      </c>
      <c r="H14" s="17">
        <f t="shared" si="2"/>
        <v>57750</v>
      </c>
      <c r="I14" s="17">
        <f t="shared" si="2"/>
        <v>57750</v>
      </c>
    </row>
    <row r="15" spans="2:14" x14ac:dyDescent="0.25">
      <c r="C15" s="13" t="s">
        <v>19</v>
      </c>
      <c r="D15" s="10"/>
      <c r="E15" s="18">
        <f>SUM(E11:E14)</f>
        <v>-3976000</v>
      </c>
      <c r="F15" s="18">
        <f t="shared" ref="F15:I15" si="3">SUM(F11:F14)</f>
        <v>-2116000</v>
      </c>
      <c r="G15" s="18">
        <f t="shared" si="3"/>
        <v>-2953000</v>
      </c>
      <c r="H15" s="18">
        <f t="shared" si="3"/>
        <v>-3163000</v>
      </c>
      <c r="I15" s="18">
        <f t="shared" si="3"/>
        <v>-3163000</v>
      </c>
      <c r="K15" s="39"/>
      <c r="L15" s="40"/>
    </row>
    <row r="16" spans="2:14" x14ac:dyDescent="0.25">
      <c r="C16" s="9"/>
      <c r="D16" s="10"/>
      <c r="E16" s="16"/>
      <c r="F16" s="16"/>
      <c r="G16" s="16"/>
      <c r="H16" s="16"/>
      <c r="I16" s="16"/>
    </row>
    <row r="17" spans="3:9" x14ac:dyDescent="0.25">
      <c r="C17" s="13" t="s">
        <v>20</v>
      </c>
      <c r="D17" s="10"/>
      <c r="E17" s="19">
        <f>E8+E15</f>
        <v>-349455.6262558857</v>
      </c>
      <c r="F17" s="19">
        <f t="shared" ref="F17:I17" si="4">F8+F15</f>
        <v>-518423.29904505517</v>
      </c>
      <c r="G17" s="19">
        <f t="shared" si="4"/>
        <v>-442387.846289929</v>
      </c>
      <c r="H17" s="19">
        <f t="shared" si="4"/>
        <v>-655506.9609681014</v>
      </c>
      <c r="I17" s="19">
        <f t="shared" si="4"/>
        <v>-451390.3787762071</v>
      </c>
    </row>
    <row r="18" spans="3:9" x14ac:dyDescent="0.25">
      <c r="C18" s="9"/>
      <c r="D18" s="10"/>
      <c r="E18" s="16"/>
      <c r="F18" s="16"/>
      <c r="G18" s="16"/>
      <c r="H18" s="16"/>
      <c r="I18" s="16"/>
    </row>
    <row r="19" spans="3:9" x14ac:dyDescent="0.25">
      <c r="C19" s="13" t="s">
        <v>21</v>
      </c>
      <c r="D19" s="10"/>
      <c r="E19" s="19">
        <f>-E17*30%</f>
        <v>104836.6878767657</v>
      </c>
      <c r="F19" s="19">
        <f t="shared" ref="F19:I19" si="5">-F17*30%</f>
        <v>155526.98971351655</v>
      </c>
      <c r="G19" s="19">
        <f t="shared" si="5"/>
        <v>132716.3538869787</v>
      </c>
      <c r="H19" s="19">
        <f t="shared" si="5"/>
        <v>196652.0882904304</v>
      </c>
      <c r="I19" s="19">
        <f t="shared" si="5"/>
        <v>135417.11363286214</v>
      </c>
    </row>
    <row r="20" spans="3:9" x14ac:dyDescent="0.25">
      <c r="C20" s="13"/>
      <c r="D20" s="10"/>
      <c r="E20" s="19"/>
      <c r="F20" s="19"/>
      <c r="G20" s="19"/>
      <c r="H20" s="19"/>
      <c r="I20" s="19"/>
    </row>
    <row r="21" spans="3:9" ht="15.75" thickBot="1" x14ac:dyDescent="0.3">
      <c r="C21" s="23" t="s">
        <v>24</v>
      </c>
      <c r="D21" s="15"/>
      <c r="E21" s="24">
        <f>SUM(E17:E19)</f>
        <v>-244618.93837911999</v>
      </c>
      <c r="F21" s="24">
        <f t="shared" ref="F21:I21" si="6">SUM(F17:F19)</f>
        <v>-362896.30933153862</v>
      </c>
      <c r="G21" s="24">
        <f t="shared" si="6"/>
        <v>-309671.4924029503</v>
      </c>
      <c r="H21" s="24">
        <f t="shared" si="6"/>
        <v>-458854.87267767102</v>
      </c>
      <c r="I21" s="24">
        <f t="shared" si="6"/>
        <v>-315973.26514334499</v>
      </c>
    </row>
    <row r="22" spans="3:9" x14ac:dyDescent="0.25">
      <c r="C22" s="13"/>
      <c r="D22" s="10"/>
      <c r="E22" s="19"/>
      <c r="F22" s="19"/>
      <c r="G22" s="19"/>
      <c r="H22" s="19"/>
      <c r="I22" s="19"/>
    </row>
    <row r="23" spans="3:9" x14ac:dyDescent="0.25">
      <c r="C23" s="11" t="s">
        <v>25</v>
      </c>
      <c r="D23" s="10"/>
      <c r="E23" s="19"/>
      <c r="F23" s="19"/>
      <c r="G23" s="19"/>
      <c r="H23" s="19"/>
      <c r="I23" s="19"/>
    </row>
    <row r="24" spans="3:9" x14ac:dyDescent="0.25">
      <c r="C24" s="9"/>
      <c r="D24" s="10"/>
      <c r="E24" s="16"/>
      <c r="F24" s="16"/>
      <c r="G24" s="16"/>
      <c r="H24" s="16"/>
      <c r="I24" s="16"/>
    </row>
    <row r="25" spans="3:9" x14ac:dyDescent="0.25">
      <c r="C25" s="13" t="s">
        <v>3</v>
      </c>
      <c r="D25" s="10"/>
      <c r="E25" s="17">
        <f>E6*Assumptions!$C$5*Assumptions!$C$13</f>
        <v>600000</v>
      </c>
      <c r="F25" s="17">
        <f>F6*Assumptions!$C$5*Assumptions!$C$13</f>
        <v>225000</v>
      </c>
      <c r="G25" s="17">
        <f>G6*Assumptions!$C$5*Assumptions!$C$13</f>
        <v>393750</v>
      </c>
      <c r="H25" s="74">
        <f>H6*Assumptions!$F$5*Assumptions!$C$13</f>
        <v>446250</v>
      </c>
      <c r="I25" s="17">
        <f>I6*Assumptions!$F$5*Assumptions!$C$13</f>
        <v>446250</v>
      </c>
    </row>
    <row r="26" spans="3:9" x14ac:dyDescent="0.25">
      <c r="C26" s="13" t="s">
        <v>12</v>
      </c>
      <c r="D26" s="22"/>
      <c r="E26" s="17">
        <f>E11*4/5</f>
        <v>-768000</v>
      </c>
      <c r="F26" s="17">
        <f t="shared" ref="F26:I26" si="7">F11*4/5</f>
        <v>-288000</v>
      </c>
      <c r="G26" s="17">
        <f t="shared" si="7"/>
        <v>-504000</v>
      </c>
      <c r="H26" s="17">
        <f t="shared" si="7"/>
        <v>-504000</v>
      </c>
      <c r="I26" s="17">
        <f t="shared" si="7"/>
        <v>-504000</v>
      </c>
    </row>
    <row r="27" spans="3:9" x14ac:dyDescent="0.25">
      <c r="C27" s="13" t="s">
        <v>11</v>
      </c>
      <c r="D27" s="22"/>
      <c r="E27" s="18">
        <f>SUM(E25:E26)</f>
        <v>-168000</v>
      </c>
      <c r="F27" s="18">
        <f t="shared" ref="F27:I27" si="8">SUM(F25:F26)</f>
        <v>-63000</v>
      </c>
      <c r="G27" s="18">
        <f t="shared" si="8"/>
        <v>-110250</v>
      </c>
      <c r="H27" s="18">
        <f t="shared" si="8"/>
        <v>-57750</v>
      </c>
      <c r="I27" s="18">
        <f t="shared" si="8"/>
        <v>-57750</v>
      </c>
    </row>
    <row r="28" spans="3:9" x14ac:dyDescent="0.25">
      <c r="C28" s="9"/>
      <c r="D28" s="10"/>
      <c r="E28" s="16"/>
      <c r="F28" s="16"/>
      <c r="G28" s="16"/>
      <c r="H28" s="16"/>
      <c r="I28" s="16"/>
    </row>
    <row r="29" spans="3:9" x14ac:dyDescent="0.25">
      <c r="C29" s="13" t="s">
        <v>14</v>
      </c>
      <c r="D29" s="10"/>
      <c r="E29" s="19">
        <f>MAX(E6*115%,Assumptions!$C$20)</f>
        <v>10000000</v>
      </c>
      <c r="F29" s="19">
        <f>MAX(F6*115%,Assumptions!$C$20)</f>
        <v>10000000</v>
      </c>
      <c r="G29" s="19">
        <f>MAX(G6*115%,Assumptions!$C$20)</f>
        <v>10000000</v>
      </c>
      <c r="H29" s="19">
        <f>MAX(H6*115%,Assumptions!$C$20)</f>
        <v>10000000</v>
      </c>
      <c r="I29" s="19">
        <f>MAX(I6*115%,Assumptions!$C$20)</f>
        <v>10000000</v>
      </c>
    </row>
    <row r="30" spans="3:9" ht="15.75" thickBot="1" x14ac:dyDescent="0.3">
      <c r="C30" s="14"/>
      <c r="D30" s="15"/>
      <c r="E30" s="1"/>
      <c r="F30" s="1"/>
      <c r="G30" s="1"/>
      <c r="H30" s="1"/>
      <c r="I30" s="1"/>
    </row>
    <row r="31" spans="3:9" x14ac:dyDescent="0.25">
      <c r="C31" s="4"/>
      <c r="E31" s="7"/>
      <c r="F31" s="7"/>
      <c r="G31" s="7"/>
      <c r="H31" s="7"/>
      <c r="I31" s="7"/>
    </row>
    <row r="32" spans="3:9" x14ac:dyDescent="0.25">
      <c r="E32" s="2"/>
      <c r="F32" s="2"/>
      <c r="G32" s="2"/>
      <c r="H32" s="2"/>
      <c r="I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(a) Forecast (Template)</vt:lpstr>
      <vt:lpstr>(b) Profit Analysis (Template)</vt:lpstr>
    </vt:vector>
  </TitlesOfParts>
  <Company>RGARE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Andrew</dc:creator>
  <cp:lastModifiedBy>Zhu, Vincent-JF</cp:lastModifiedBy>
  <dcterms:created xsi:type="dcterms:W3CDTF">2013-09-01T01:24:29Z</dcterms:created>
  <dcterms:modified xsi:type="dcterms:W3CDTF">2019-09-13T08:17:33Z</dcterms:modified>
</cp:coreProperties>
</file>