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 activeTab="1"/>
  </bookViews>
  <sheets>
    <sheet name="Assumptions" sheetId="1" r:id="rId1"/>
    <sheet name="Model" sheetId="2" r:id="rId2"/>
    <sheet name="Balance Sheet" sheetId="3" r:id="rId3"/>
    <sheet name="Analysis" sheetId="4" r:id="rId4"/>
  </sheets>
  <definedNames>
    <definedName name="_xlnm.Print_Area" localSheetId="2">'Balance Sheet'!$F$3:$Q$20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P12" i="2" l="1"/>
  <c r="P11" i="2"/>
  <c r="P9" i="2"/>
  <c r="P10" i="2"/>
  <c r="P13" i="2"/>
  <c r="P14" i="2"/>
  <c r="P15" i="2"/>
  <c r="P16" i="2"/>
  <c r="P17" i="2"/>
  <c r="P8" i="2"/>
  <c r="H8" i="2"/>
  <c r="O9" i="2"/>
  <c r="O10" i="2"/>
  <c r="O11" i="2"/>
  <c r="O12" i="2"/>
  <c r="O13" i="2"/>
  <c r="O14" i="2"/>
  <c r="O15" i="2"/>
  <c r="O16" i="2"/>
  <c r="O17" i="2"/>
  <c r="U9" i="2"/>
  <c r="U10" i="2"/>
  <c r="U11" i="2"/>
  <c r="U12" i="2"/>
  <c r="U13" i="2"/>
  <c r="U14" i="2"/>
  <c r="U15" i="2"/>
  <c r="U16" i="2"/>
  <c r="U17" i="2"/>
  <c r="U8" i="2"/>
  <c r="I7" i="2"/>
  <c r="O35" i="2"/>
  <c r="T33" i="2"/>
  <c r="T32" i="2"/>
  <c r="T31" i="2"/>
  <c r="T30" i="2"/>
  <c r="T29" i="2"/>
  <c r="T28" i="2"/>
  <c r="T27" i="2"/>
  <c r="S28" i="2"/>
  <c r="S29" i="2"/>
  <c r="S30" i="2"/>
  <c r="S31" i="2"/>
  <c r="S32" i="2"/>
  <c r="S33" i="2"/>
  <c r="S27" i="2"/>
  <c r="R28" i="2"/>
  <c r="R29" i="2"/>
  <c r="R30" i="2"/>
  <c r="R31" i="2"/>
  <c r="R32" i="2"/>
  <c r="R33" i="2"/>
  <c r="R27" i="2"/>
  <c r="Q28" i="2"/>
  <c r="Q29" i="2"/>
  <c r="Q30" i="2"/>
  <c r="Q31" i="2"/>
  <c r="Q32" i="2"/>
  <c r="Q33" i="2"/>
  <c r="Q27" i="2"/>
  <c r="O28" i="2"/>
  <c r="O29" i="2"/>
  <c r="O30" i="2"/>
  <c r="O31" i="2"/>
  <c r="O32" i="2"/>
  <c r="O33" i="2"/>
  <c r="O27" i="2"/>
  <c r="H28" i="2"/>
  <c r="H29" i="2"/>
  <c r="H30" i="2"/>
  <c r="H31" i="2"/>
  <c r="H32" i="2"/>
  <c r="H33" i="2"/>
  <c r="H27" i="2"/>
  <c r="M28" i="2"/>
  <c r="M29" i="2"/>
  <c r="M30" i="2"/>
  <c r="M31" i="2"/>
  <c r="M32" i="2"/>
  <c r="M33" i="2"/>
  <c r="M27" i="2"/>
  <c r="L28" i="2"/>
  <c r="L29" i="2"/>
  <c r="L30" i="2"/>
  <c r="L31" i="2"/>
  <c r="L32" i="2"/>
  <c r="L33" i="2"/>
  <c r="L27" i="2"/>
  <c r="J33" i="2"/>
  <c r="G33" i="2"/>
  <c r="G27" i="2"/>
  <c r="G28" i="2"/>
  <c r="G29" i="2"/>
  <c r="G30" i="2"/>
  <c r="G31" i="2"/>
  <c r="G32" i="2"/>
  <c r="I27" i="2"/>
  <c r="I28" i="2"/>
  <c r="I29" i="2"/>
  <c r="I30" i="2"/>
  <c r="I31" i="2"/>
  <c r="I32" i="2"/>
  <c r="J27" i="2"/>
  <c r="J28" i="2"/>
  <c r="J29" i="2"/>
  <c r="J30" i="2"/>
  <c r="J31" i="2"/>
  <c r="J32" i="2"/>
  <c r="J26" i="2"/>
  <c r="K23" i="2"/>
  <c r="K24" i="2"/>
  <c r="L24" i="2"/>
  <c r="H5" i="3"/>
  <c r="I5" i="3"/>
  <c r="O8" i="2"/>
  <c r="H11" i="3"/>
  <c r="I11" i="3"/>
  <c r="M7" i="3"/>
  <c r="L7" i="3"/>
  <c r="K8" i="3"/>
  <c r="K5" i="3"/>
  <c r="L5" i="3"/>
  <c r="L8" i="3"/>
  <c r="I7" i="3"/>
  <c r="H7" i="3"/>
  <c r="I8" i="2"/>
  <c r="I9" i="2"/>
  <c r="I10" i="2"/>
  <c r="I11" i="2"/>
  <c r="I12" i="2"/>
  <c r="I13" i="2"/>
  <c r="I14" i="2"/>
  <c r="I15" i="2"/>
  <c r="I16" i="2"/>
  <c r="N7" i="2"/>
  <c r="N8" i="2"/>
  <c r="N9" i="2"/>
  <c r="N10" i="2"/>
  <c r="N11" i="2"/>
  <c r="N12" i="2"/>
  <c r="N13" i="2"/>
  <c r="N14" i="2"/>
  <c r="N15" i="2"/>
  <c r="N16" i="2"/>
  <c r="H10" i="3"/>
  <c r="I10" i="3"/>
  <c r="I8" i="3"/>
  <c r="H8" i="3"/>
  <c r="M5" i="3"/>
  <c r="M11" i="3"/>
  <c r="L11" i="3"/>
  <c r="M4" i="3"/>
  <c r="L4" i="3"/>
  <c r="M8" i="3"/>
  <c r="M6" i="3"/>
  <c r="L6" i="3"/>
  <c r="K6" i="3"/>
  <c r="K4" i="3"/>
  <c r="I9" i="3"/>
  <c r="H9" i="3"/>
  <c r="G8" i="3"/>
  <c r="G6" i="3"/>
  <c r="I6" i="3"/>
  <c r="H6" i="3"/>
  <c r="G5" i="3"/>
  <c r="G4" i="3"/>
  <c r="I4" i="3"/>
  <c r="H4" i="3"/>
  <c r="J17" i="2"/>
  <c r="B9" i="2"/>
  <c r="B10" i="2"/>
  <c r="B11" i="2"/>
  <c r="B12" i="2"/>
  <c r="B13" i="2"/>
  <c r="B14" i="2"/>
  <c r="B15" i="2"/>
  <c r="B16" i="2"/>
  <c r="B17" i="2"/>
  <c r="F8" i="2"/>
  <c r="C8" i="2"/>
  <c r="J31" i="1"/>
  <c r="E31" i="1"/>
  <c r="E32" i="1"/>
  <c r="B31" i="1"/>
  <c r="B32" i="1"/>
  <c r="B33" i="1"/>
  <c r="B34" i="1"/>
  <c r="B35" i="1"/>
  <c r="B36" i="1"/>
  <c r="B37" i="1"/>
  <c r="B38" i="1"/>
  <c r="B39" i="1"/>
  <c r="L30" i="1"/>
  <c r="E8" i="2"/>
  <c r="J30" i="1"/>
  <c r="K10" i="3"/>
  <c r="L10" i="3"/>
  <c r="M10" i="3"/>
  <c r="I12" i="3"/>
  <c r="H13" i="3"/>
  <c r="M30" i="1"/>
  <c r="G10" i="3"/>
  <c r="G9" i="3"/>
  <c r="E33" i="1"/>
  <c r="J32" i="1"/>
  <c r="H12" i="3"/>
  <c r="N30" i="1"/>
  <c r="K31" i="1"/>
  <c r="G8" i="2"/>
  <c r="I13" i="3"/>
  <c r="K9" i="3"/>
  <c r="M9" i="3"/>
  <c r="L9" i="3"/>
  <c r="D8" i="2"/>
  <c r="F9" i="2"/>
  <c r="L31" i="1"/>
  <c r="E9" i="2"/>
  <c r="C9" i="2"/>
  <c r="J33" i="1"/>
  <c r="E34" i="1"/>
  <c r="L12" i="3"/>
  <c r="L13" i="3"/>
  <c r="M12" i="3"/>
  <c r="M13" i="3"/>
  <c r="G9" i="2"/>
  <c r="J34" i="1"/>
  <c r="E35" i="1"/>
  <c r="M31" i="1"/>
  <c r="N31" i="1"/>
  <c r="K32" i="1"/>
  <c r="F10" i="2"/>
  <c r="L32" i="1"/>
  <c r="E10" i="2"/>
  <c r="C10" i="2"/>
  <c r="M32" i="1"/>
  <c r="D9" i="2"/>
  <c r="H9" i="2"/>
  <c r="E36" i="1"/>
  <c r="J35" i="1"/>
  <c r="E37" i="1"/>
  <c r="J36" i="1"/>
  <c r="G10" i="2"/>
  <c r="D10" i="2"/>
  <c r="H10" i="2"/>
  <c r="N32" i="1"/>
  <c r="K33" i="1"/>
  <c r="F11" i="2"/>
  <c r="L33" i="1"/>
  <c r="E11" i="2"/>
  <c r="C11" i="2"/>
  <c r="E38" i="1"/>
  <c r="J37" i="1"/>
  <c r="G11" i="2"/>
  <c r="D11" i="2"/>
  <c r="H11" i="2"/>
  <c r="J38" i="1"/>
  <c r="E39" i="1"/>
  <c r="J39" i="1"/>
  <c r="M33" i="1"/>
  <c r="N33" i="1"/>
  <c r="K34" i="1"/>
  <c r="F12" i="2"/>
  <c r="L34" i="1"/>
  <c r="E12" i="2"/>
  <c r="M34" i="1"/>
  <c r="N34" i="1"/>
  <c r="K35" i="1"/>
  <c r="C12" i="2"/>
  <c r="F13" i="2"/>
  <c r="C13" i="2"/>
  <c r="L35" i="1"/>
  <c r="E13" i="2"/>
  <c r="G12" i="2"/>
  <c r="D12" i="2"/>
  <c r="H12" i="2"/>
  <c r="M35" i="1"/>
  <c r="N35" i="1"/>
  <c r="K36" i="1"/>
  <c r="G13" i="2"/>
  <c r="D13" i="2"/>
  <c r="H13" i="2"/>
  <c r="F14" i="2"/>
  <c r="L36" i="1"/>
  <c r="E14" i="2"/>
  <c r="C14" i="2"/>
  <c r="G14" i="2"/>
  <c r="D14" i="2"/>
  <c r="H14" i="2"/>
  <c r="M36" i="1"/>
  <c r="N36" i="1"/>
  <c r="K37" i="1"/>
  <c r="F15" i="2"/>
  <c r="L37" i="1"/>
  <c r="E15" i="2"/>
  <c r="C15" i="2"/>
  <c r="M37" i="1"/>
  <c r="N37" i="1"/>
  <c r="K38" i="1"/>
  <c r="G15" i="2"/>
  <c r="D15" i="2"/>
  <c r="H15" i="2"/>
  <c r="F16" i="2"/>
  <c r="C16" i="2"/>
  <c r="L38" i="1"/>
  <c r="E16" i="2"/>
  <c r="G16" i="2"/>
  <c r="D16" i="2"/>
  <c r="H16" i="2"/>
  <c r="M38" i="1"/>
  <c r="N38" i="1"/>
  <c r="K39" i="1"/>
  <c r="F17" i="2"/>
  <c r="F19" i="2"/>
  <c r="C17" i="2"/>
  <c r="L39" i="1"/>
  <c r="E17" i="2"/>
  <c r="E19" i="2"/>
  <c r="M39" i="1"/>
  <c r="N39" i="1"/>
  <c r="G17" i="2"/>
  <c r="G19" i="2"/>
  <c r="C19" i="2"/>
  <c r="D17" i="2"/>
  <c r="H17" i="2"/>
  <c r="K3" i="2"/>
  <c r="K4" i="2"/>
  <c r="J16" i="2"/>
  <c r="J15" i="2"/>
  <c r="J14" i="2"/>
  <c r="J13" i="2"/>
  <c r="J12" i="2"/>
  <c r="J11" i="2"/>
  <c r="J10" i="2"/>
  <c r="J9" i="2"/>
  <c r="J8" i="2"/>
  <c r="J7" i="2"/>
  <c r="K17" i="2"/>
  <c r="L17" i="2"/>
  <c r="Q8" i="2"/>
  <c r="Q9" i="2"/>
  <c r="Q10" i="2"/>
  <c r="Q11" i="2"/>
  <c r="Q12" i="2"/>
  <c r="Q13" i="2"/>
  <c r="Q14" i="2"/>
  <c r="Q15" i="2"/>
  <c r="Q16" i="2"/>
  <c r="Q17" i="2"/>
  <c r="K16" i="2"/>
  <c r="Q19" i="2"/>
  <c r="F7" i="4"/>
  <c r="L16" i="2"/>
  <c r="K15" i="2"/>
  <c r="M17" i="2"/>
  <c r="T17" i="2"/>
  <c r="R17" i="2"/>
  <c r="S17" i="2"/>
  <c r="L15" i="2"/>
  <c r="R16" i="2"/>
  <c r="S16" i="2"/>
  <c r="K14" i="2"/>
  <c r="L14" i="2"/>
  <c r="K13" i="2"/>
  <c r="M16" i="2"/>
  <c r="T16" i="2"/>
  <c r="M14" i="2"/>
  <c r="R15" i="2"/>
  <c r="S15" i="2"/>
  <c r="M15" i="2"/>
  <c r="T15" i="2"/>
  <c r="L13" i="2"/>
  <c r="R14" i="2"/>
  <c r="S14" i="2"/>
  <c r="K12" i="2"/>
  <c r="K11" i="2"/>
  <c r="L12" i="2"/>
  <c r="T14" i="2"/>
  <c r="L11" i="2"/>
  <c r="R12" i="2"/>
  <c r="S12" i="2"/>
  <c r="K10" i="2"/>
  <c r="M13" i="2"/>
  <c r="R13" i="2"/>
  <c r="S13" i="2"/>
  <c r="M12" i="2"/>
  <c r="T13" i="2"/>
  <c r="T12" i="2"/>
  <c r="L10" i="2"/>
  <c r="K9" i="2"/>
  <c r="L9" i="2"/>
  <c r="K8" i="2"/>
  <c r="R11" i="2"/>
  <c r="S11" i="2"/>
  <c r="M11" i="2"/>
  <c r="R10" i="2"/>
  <c r="S10" i="2"/>
  <c r="M10" i="2"/>
  <c r="T11" i="2"/>
  <c r="K7" i="2"/>
  <c r="L7" i="2"/>
  <c r="R8" i="2"/>
  <c r="L8" i="2"/>
  <c r="S8" i="2"/>
  <c r="S19" i="2"/>
  <c r="T10" i="2"/>
  <c r="R9" i="2"/>
  <c r="S9" i="2"/>
  <c r="T9" i="2"/>
  <c r="M8" i="2"/>
  <c r="M9" i="2"/>
  <c r="O19" i="2"/>
  <c r="T8" i="2"/>
  <c r="R19" i="2"/>
</calcChain>
</file>

<file path=xl/sharedStrings.xml><?xml version="1.0" encoding="utf-8"?>
<sst xmlns="http://schemas.openxmlformats.org/spreadsheetml/2006/main" count="102" uniqueCount="84">
  <si>
    <t>Assumptions for the Policy Liability Projection</t>
  </si>
  <si>
    <t>Assumptions for the Balance Sheet</t>
  </si>
  <si>
    <t>Entry</t>
  </si>
  <si>
    <t>next</t>
  </si>
  <si>
    <t>As at 31st December 2015</t>
  </si>
  <si>
    <t>Sex</t>
  </si>
  <si>
    <t>Male</t>
  </si>
  <si>
    <t>Smoker</t>
  </si>
  <si>
    <t>Non smoker</t>
  </si>
  <si>
    <t>Cash at bank</t>
  </si>
  <si>
    <t>Policy term</t>
  </si>
  <si>
    <t>years</t>
  </si>
  <si>
    <t>Other Liability</t>
  </si>
  <si>
    <t>Premium term</t>
  </si>
  <si>
    <t>Policy liablity</t>
  </si>
  <si>
    <t>Sum insured</t>
  </si>
  <si>
    <t>increases with CPI annually</t>
  </si>
  <si>
    <t>Premium payable</t>
  </si>
  <si>
    <t>annually</t>
  </si>
  <si>
    <t>Risk free rate/Cash Earnings Rate</t>
  </si>
  <si>
    <t>SI Indexation/Expenses Inflation</t>
  </si>
  <si>
    <t>Expenses</t>
  </si>
  <si>
    <t>Fixed initial</t>
  </si>
  <si>
    <t>point of sale</t>
  </si>
  <si>
    <t>Fixed renewal</t>
  </si>
  <si>
    <t>indexed and starts from beginning year 2 (for both the indexation and the first renewal expense)</t>
  </si>
  <si>
    <t>Commission</t>
  </si>
  <si>
    <t>Variable initial</t>
  </si>
  <si>
    <t>of annual premium</t>
  </si>
  <si>
    <t>Variable renewal</t>
  </si>
  <si>
    <t>of annual premium, indexed and starts from beginning year 2</t>
  </si>
  <si>
    <t>Mortality</t>
  </si>
  <si>
    <t>Mortality table</t>
  </si>
  <si>
    <t>IA90-92</t>
  </si>
  <si>
    <t>Lapse rate</t>
  </si>
  <si>
    <t>Term premium rates</t>
  </si>
  <si>
    <t>Decrement Rates</t>
  </si>
  <si>
    <t>Decrement table</t>
  </si>
  <si>
    <t>Male non-smoker</t>
  </si>
  <si>
    <t>Year</t>
  </si>
  <si>
    <t>Age next</t>
  </si>
  <si>
    <t>lx</t>
  </si>
  <si>
    <t>dx</t>
  </si>
  <si>
    <t>wx</t>
  </si>
  <si>
    <t>lx+1</t>
  </si>
  <si>
    <t>Rate per $1 sum insured</t>
  </si>
  <si>
    <t>qx</t>
  </si>
  <si>
    <t>PV cash flows</t>
  </si>
  <si>
    <t>Calculations</t>
  </si>
  <si>
    <t>Profit margin %</t>
  </si>
  <si>
    <t>Premium</t>
  </si>
  <si>
    <t>Investment Income (on cash flow)</t>
  </si>
  <si>
    <t>Death outgo</t>
  </si>
  <si>
    <t>Expense</t>
  </si>
  <si>
    <t>Net Cash flow</t>
  </si>
  <si>
    <t>BEL eoy</t>
  </si>
  <si>
    <t>Value of future profit margins eoy</t>
  </si>
  <si>
    <t>Policy liability eoy</t>
  </si>
  <si>
    <t>Change in policy liability</t>
  </si>
  <si>
    <t>Gross Profit</t>
  </si>
  <si>
    <t>Profit Margin Release</t>
  </si>
  <si>
    <t>Interest on negative Pol Liab</t>
  </si>
  <si>
    <t>Interest on negative PolLiab plus PM with interest</t>
  </si>
  <si>
    <t>Check error</t>
  </si>
  <si>
    <t>NPV</t>
  </si>
  <si>
    <t>Assets</t>
  </si>
  <si>
    <t>Liability</t>
  </si>
  <si>
    <t>Policy Liability</t>
  </si>
  <si>
    <t>Other liability</t>
  </si>
  <si>
    <t>Equity</t>
  </si>
  <si>
    <t>Shareholder Retained Profits</t>
  </si>
  <si>
    <t>Profit</t>
  </si>
  <si>
    <t>Change in Equity</t>
  </si>
  <si>
    <t>Trial Balance</t>
  </si>
  <si>
    <t>Analysis of Cancel-Replace Impact</t>
  </si>
  <si>
    <t>PV Profit Margin Release - Life of the Policy</t>
  </si>
  <si>
    <t>No Cancel-Replace</t>
  </si>
  <si>
    <t>Cancel-Replace</t>
  </si>
  <si>
    <t>PV profit releases</t>
  </si>
  <si>
    <t>PV negative PL lost</t>
  </si>
  <si>
    <t>Total</t>
  </si>
  <si>
    <t>Interest on negative PL</t>
  </si>
  <si>
    <t>Difference</t>
  </si>
  <si>
    <t>Total PV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</si>
</sst>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&quot;$&quot;* #,##0_-;\-&quot;$&quot;* #,##0_-;_-&quot;$&quot;* &quot;-&quot;??_-;_-@_-"/>
    <numFmt numFmtId="169" formatCode="#,##0.000"/>
    <numFmt numFmtId="170" formatCode="0.00000"/>
    <numFmt numFmtId="171" formatCode="0.0%"/>
    <numFmt numFmtId="172" formatCode="0.000%"/>
    <numFmt numFmtId="173" formatCode="_(&quot;$&quot;* #,##0_);_(&quot;$&quot;* \(#,##0\);_(&quot;$&quot;* &quot;-&quot;??_);_(@_)"/>
    <numFmt numFmtId="174" formatCode="0.0000%"/>
    <numFmt numFmtId="17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b/>
      <sz val="10"/>
      <color theme="1"/>
      <name val="Century Gothic"/>
      <family val="2"/>
    </font>
    <font>
      <i/>
      <sz val="10"/>
      <name val="Century Gothic"/>
      <family val="2"/>
    </font>
    <font>
      <sz val="11"/>
      <color rgb="FF006100"/>
      <name val="Calibri"/>
      <family val="2"/>
      <scheme val="minor"/>
    </font>
    <font>
      <sz val="1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1" xfId="2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4" xfId="2" applyFont="1" applyBorder="1"/>
    <xf numFmtId="0" fontId="5" fillId="0" borderId="0" xfId="2" applyFont="1" applyBorder="1"/>
    <xf numFmtId="0" fontId="5" fillId="2" borderId="0" xfId="2" applyFont="1" applyFill="1" applyBorder="1"/>
    <xf numFmtId="0" fontId="5" fillId="2" borderId="0" xfId="2" applyFont="1" applyFill="1" applyBorder="1" applyAlignment="1">
      <alignment horizontal="right"/>
    </xf>
    <xf numFmtId="168" fontId="5" fillId="2" borderId="5" xfId="1" applyNumberFormat="1" applyFont="1" applyFill="1" applyBorder="1"/>
    <xf numFmtId="0" fontId="2" fillId="0" borderId="6" xfId="0" applyFont="1" applyBorder="1"/>
    <xf numFmtId="168" fontId="5" fillId="2" borderId="7" xfId="1" applyNumberFormat="1" applyFont="1" applyFill="1" applyBorder="1"/>
    <xf numFmtId="3" fontId="5" fillId="2" borderId="0" xfId="2" applyNumberFormat="1" applyFont="1" applyFill="1" applyBorder="1"/>
    <xf numFmtId="9" fontId="5" fillId="2" borderId="0" xfId="2" applyNumberFormat="1" applyFont="1" applyFill="1" applyBorder="1"/>
    <xf numFmtId="164" fontId="5" fillId="2" borderId="0" xfId="2" applyNumberFormat="1" applyFont="1" applyFill="1" applyBorder="1"/>
    <xf numFmtId="165" fontId="5" fillId="0" borderId="0" xfId="2" applyNumberFormat="1" applyFont="1" applyBorder="1"/>
    <xf numFmtId="0" fontId="5" fillId="0" borderId="6" xfId="2" applyFont="1" applyBorder="1"/>
    <xf numFmtId="0" fontId="5" fillId="0" borderId="8" xfId="2" applyFont="1" applyBorder="1"/>
    <xf numFmtId="9" fontId="5" fillId="2" borderId="8" xfId="2" applyNumberFormat="1" applyFont="1" applyFill="1" applyBorder="1"/>
    <xf numFmtId="0" fontId="2" fillId="0" borderId="8" xfId="0" applyFont="1" applyBorder="1"/>
    <xf numFmtId="0" fontId="2" fillId="0" borderId="7" xfId="0" applyFont="1" applyBorder="1"/>
    <xf numFmtId="0" fontId="5" fillId="0" borderId="3" xfId="2" applyFont="1" applyBorder="1"/>
    <xf numFmtId="0" fontId="5" fillId="0" borderId="0" xfId="2" applyFont="1"/>
    <xf numFmtId="0" fontId="5" fillId="0" borderId="2" xfId="2" applyFont="1" applyBorder="1"/>
    <xf numFmtId="0" fontId="4" fillId="0" borderId="0" xfId="2" applyFont="1" applyBorder="1"/>
    <xf numFmtId="0" fontId="5" fillId="0" borderId="5" xfId="2" applyFont="1" applyBorder="1"/>
    <xf numFmtId="0" fontId="4" fillId="0" borderId="4" xfId="2" applyFont="1" applyBorder="1"/>
    <xf numFmtId="0" fontId="5" fillId="0" borderId="4" xfId="2" applyFont="1" applyBorder="1" applyAlignment="1">
      <alignment horizontal="right" wrapText="1"/>
    </xf>
    <xf numFmtId="0" fontId="5" fillId="0" borderId="0" xfId="2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5" fillId="0" borderId="4" xfId="2" applyFont="1" applyBorder="1" applyAlignment="1">
      <alignment wrapText="1"/>
    </xf>
    <xf numFmtId="0" fontId="5" fillId="0" borderId="5" xfId="2" applyFont="1" applyBorder="1" applyAlignment="1">
      <alignment wrapText="1"/>
    </xf>
    <xf numFmtId="0" fontId="5" fillId="0" borderId="0" xfId="2" applyFont="1" applyAlignment="1">
      <alignment wrapText="1"/>
    </xf>
    <xf numFmtId="169" fontId="5" fillId="0" borderId="0" xfId="2" applyNumberFormat="1" applyFont="1" applyBorder="1"/>
    <xf numFmtId="169" fontId="5" fillId="0" borderId="5" xfId="2" applyNumberFormat="1" applyFont="1" applyBorder="1"/>
    <xf numFmtId="170" fontId="5" fillId="0" borderId="5" xfId="2" applyNumberFormat="1" applyFont="1" applyBorder="1"/>
    <xf numFmtId="0" fontId="5" fillId="0" borderId="7" xfId="2" applyFont="1" applyBorder="1"/>
    <xf numFmtId="170" fontId="5" fillId="0" borderId="7" xfId="2" applyNumberFormat="1" applyFont="1" applyBorder="1"/>
    <xf numFmtId="169" fontId="5" fillId="0" borderId="8" xfId="2" applyNumberFormat="1" applyFont="1" applyBorder="1"/>
    <xf numFmtId="169" fontId="5" fillId="0" borderId="7" xfId="2" applyNumberFormat="1" applyFont="1" applyBorder="1"/>
    <xf numFmtId="0" fontId="5" fillId="0" borderId="1" xfId="2" applyFont="1" applyBorder="1"/>
    <xf numFmtId="0" fontId="5" fillId="0" borderId="2" xfId="2" applyFont="1" applyFill="1" applyBorder="1"/>
    <xf numFmtId="164" fontId="5" fillId="0" borderId="3" xfId="2" applyNumberFormat="1" applyFont="1" applyFill="1" applyBorder="1"/>
    <xf numFmtId="0" fontId="6" fillId="0" borderId="4" xfId="2" applyFont="1" applyBorder="1"/>
    <xf numFmtId="3" fontId="5" fillId="0" borderId="0" xfId="2" applyNumberFormat="1" applyFont="1" applyBorder="1"/>
    <xf numFmtId="0" fontId="5" fillId="0" borderId="0" xfId="2" applyFont="1" applyFill="1" applyBorder="1"/>
    <xf numFmtId="0" fontId="5" fillId="0" borderId="8" xfId="2" applyFont="1" applyFill="1" applyBorder="1"/>
    <xf numFmtId="171" fontId="5" fillId="0" borderId="7" xfId="3" applyNumberFormat="1" applyFont="1" applyFill="1" applyBorder="1"/>
    <xf numFmtId="172" fontId="5" fillId="0" borderId="0" xfId="3" applyNumberFormat="1" applyFont="1" applyFill="1" applyBorder="1"/>
    <xf numFmtId="0" fontId="5" fillId="0" borderId="9" xfId="2" applyFont="1" applyBorder="1" applyAlignment="1">
      <alignment horizontal="center" wrapText="1"/>
    </xf>
    <xf numFmtId="3" fontId="5" fillId="0" borderId="10" xfId="2" applyNumberFormat="1" applyFont="1" applyBorder="1" applyAlignment="1">
      <alignment horizontal="right" wrapText="1"/>
    </xf>
    <xf numFmtId="0" fontId="5" fillId="0" borderId="11" xfId="2" applyFont="1" applyBorder="1" applyAlignment="1">
      <alignment horizontal="right" wrapText="1"/>
    </xf>
    <xf numFmtId="3" fontId="5" fillId="0" borderId="11" xfId="2" applyNumberFormat="1" applyFont="1" applyBorder="1" applyAlignment="1">
      <alignment horizontal="right" wrapText="1"/>
    </xf>
    <xf numFmtId="0" fontId="4" fillId="0" borderId="9" xfId="2" applyFont="1" applyFill="1" applyBorder="1" applyAlignment="1">
      <alignment horizontal="right" wrapText="1"/>
    </xf>
    <xf numFmtId="0" fontId="5" fillId="0" borderId="0" xfId="2" applyFont="1" applyFill="1" applyBorder="1" applyAlignment="1">
      <alignment wrapText="1"/>
    </xf>
    <xf numFmtId="0" fontId="5" fillId="0" borderId="10" xfId="2" applyFont="1" applyFill="1" applyBorder="1" applyAlignment="1">
      <alignment horizontal="right" wrapText="1"/>
    </xf>
    <xf numFmtId="0" fontId="5" fillId="0" borderId="11" xfId="2" applyFont="1" applyFill="1" applyBorder="1" applyAlignment="1">
      <alignment horizontal="right" wrapText="1"/>
    </xf>
    <xf numFmtId="0" fontId="5" fillId="0" borderId="12" xfId="2" applyFont="1" applyBorder="1" applyAlignment="1">
      <alignment horizontal="right" wrapText="1"/>
    </xf>
    <xf numFmtId="0" fontId="4" fillId="0" borderId="9" xfId="2" applyFont="1" applyBorder="1" applyAlignment="1">
      <alignment horizontal="right" wrapText="1"/>
    </xf>
    <xf numFmtId="0" fontId="5" fillId="0" borderId="0" xfId="2" applyFont="1" applyBorder="1" applyAlignment="1">
      <alignment wrapText="1"/>
    </xf>
    <xf numFmtId="0" fontId="5" fillId="0" borderId="9" xfId="2" applyFont="1" applyBorder="1" applyAlignment="1">
      <alignment horizontal="right" wrapText="1"/>
    </xf>
    <xf numFmtId="0" fontId="5" fillId="0" borderId="10" xfId="2" applyFont="1" applyBorder="1" applyAlignment="1">
      <alignment horizontal="right" wrapText="1"/>
    </xf>
    <xf numFmtId="0" fontId="5" fillId="0" borderId="13" xfId="2" applyFont="1" applyBorder="1" applyAlignment="1">
      <alignment horizontal="center" wrapText="1"/>
    </xf>
    <xf numFmtId="3" fontId="5" fillId="0" borderId="1" xfId="2" applyNumberFormat="1" applyFont="1" applyBorder="1" applyAlignment="1">
      <alignment horizontal="right" wrapText="1"/>
    </xf>
    <xf numFmtId="0" fontId="5" fillId="0" borderId="2" xfId="2" applyFont="1" applyBorder="1" applyAlignment="1">
      <alignment horizontal="right" wrapText="1"/>
    </xf>
    <xf numFmtId="3" fontId="5" fillId="0" borderId="2" xfId="2" applyNumberFormat="1" applyFont="1" applyBorder="1" applyAlignment="1">
      <alignment horizontal="right" wrapText="1"/>
    </xf>
    <xf numFmtId="0" fontId="4" fillId="0" borderId="13" xfId="2" applyFont="1" applyFill="1" applyBorder="1" applyAlignment="1">
      <alignment horizontal="right" wrapText="1"/>
    </xf>
    <xf numFmtId="1" fontId="5" fillId="0" borderId="4" xfId="2" applyNumberFormat="1" applyFont="1" applyFill="1" applyBorder="1"/>
    <xf numFmtId="1" fontId="5" fillId="0" borderId="0" xfId="2" applyNumberFormat="1" applyFont="1" applyFill="1" applyBorder="1"/>
    <xf numFmtId="1" fontId="5" fillId="0" borderId="5" xfId="2" applyNumberFormat="1" applyFont="1" applyBorder="1"/>
    <xf numFmtId="0" fontId="4" fillId="0" borderId="14" xfId="2" applyFont="1" applyBorder="1" applyAlignment="1">
      <alignment wrapText="1"/>
    </xf>
    <xf numFmtId="0" fontId="5" fillId="0" borderId="14" xfId="2" applyFont="1" applyBorder="1" applyAlignment="1">
      <alignment wrapText="1"/>
    </xf>
    <xf numFmtId="0" fontId="5" fillId="0" borderId="14" xfId="2" applyFont="1" applyBorder="1" applyAlignment="1">
      <alignment horizontal="center"/>
    </xf>
    <xf numFmtId="3" fontId="5" fillId="0" borderId="4" xfId="2" applyNumberFormat="1" applyFont="1" applyBorder="1" applyAlignment="1">
      <alignment horizontal="right"/>
    </xf>
    <xf numFmtId="1" fontId="5" fillId="0" borderId="0" xfId="2" applyNumberFormat="1" applyFont="1" applyBorder="1" applyAlignment="1">
      <alignment horizontal="right"/>
    </xf>
    <xf numFmtId="3" fontId="5" fillId="0" borderId="0" xfId="2" applyNumberFormat="1" applyFont="1" applyBorder="1" applyAlignment="1">
      <alignment horizontal="right"/>
    </xf>
    <xf numFmtId="3" fontId="4" fillId="0" borderId="14" xfId="2" applyNumberFormat="1" applyFont="1" applyFill="1" applyBorder="1" applyAlignment="1">
      <alignment horizontal="right"/>
    </xf>
    <xf numFmtId="3" fontId="5" fillId="0" borderId="0" xfId="2" applyNumberFormat="1" applyFont="1" applyFill="1" applyBorder="1"/>
    <xf numFmtId="1" fontId="4" fillId="0" borderId="14" xfId="2" applyNumberFormat="1" applyFont="1" applyBorder="1"/>
    <xf numFmtId="3" fontId="5" fillId="0" borderId="14" xfId="2" applyNumberFormat="1" applyFont="1" applyBorder="1"/>
    <xf numFmtId="1" fontId="5" fillId="0" borderId="4" xfId="2" applyNumberFormat="1" applyFont="1" applyBorder="1"/>
    <xf numFmtId="1" fontId="5" fillId="0" borderId="0" xfId="2" applyNumberFormat="1" applyFont="1" applyBorder="1"/>
    <xf numFmtId="0" fontId="5" fillId="0" borderId="15" xfId="2" applyFont="1" applyBorder="1" applyAlignment="1">
      <alignment horizontal="center"/>
    </xf>
    <xf numFmtId="3" fontId="5" fillId="0" borderId="6" xfId="2" applyNumberFormat="1" applyFont="1" applyBorder="1" applyAlignment="1">
      <alignment horizontal="right"/>
    </xf>
    <xf numFmtId="1" fontId="5" fillId="0" borderId="8" xfId="2" applyNumberFormat="1" applyFont="1" applyBorder="1" applyAlignment="1">
      <alignment horizontal="right"/>
    </xf>
    <xf numFmtId="3" fontId="5" fillId="0" borderId="8" xfId="2" applyNumberFormat="1" applyFont="1" applyBorder="1" applyAlignment="1">
      <alignment horizontal="right"/>
    </xf>
    <xf numFmtId="3" fontId="4" fillId="0" borderId="15" xfId="2" applyNumberFormat="1" applyFont="1" applyFill="1" applyBorder="1" applyAlignment="1">
      <alignment horizontal="right"/>
    </xf>
    <xf numFmtId="1" fontId="5" fillId="0" borderId="6" xfId="2" applyNumberFormat="1" applyFont="1" applyFill="1" applyBorder="1"/>
    <xf numFmtId="1" fontId="5" fillId="0" borderId="8" xfId="2" applyNumberFormat="1" applyFont="1" applyFill="1" applyBorder="1"/>
    <xf numFmtId="1" fontId="5" fillId="0" borderId="7" xfId="2" applyNumberFormat="1" applyFont="1" applyBorder="1"/>
    <xf numFmtId="1" fontId="4" fillId="0" borderId="15" xfId="2" applyNumberFormat="1" applyFont="1" applyBorder="1"/>
    <xf numFmtId="3" fontId="5" fillId="0" borderId="15" xfId="2" applyNumberFormat="1" applyFont="1" applyBorder="1"/>
    <xf numFmtId="1" fontId="5" fillId="0" borderId="6" xfId="2" applyNumberFormat="1" applyFont="1" applyBorder="1"/>
    <xf numFmtId="1" fontId="5" fillId="0" borderId="8" xfId="2" applyNumberFormat="1" applyFont="1" applyBorder="1"/>
    <xf numFmtId="164" fontId="5" fillId="0" borderId="0" xfId="2" applyNumberFormat="1" applyFont="1" applyBorder="1" applyAlignment="1">
      <alignment wrapText="1"/>
    </xf>
    <xf numFmtId="164" fontId="5" fillId="0" borderId="0" xfId="2" applyNumberFormat="1" applyFont="1" applyFill="1" applyBorder="1" applyAlignment="1">
      <alignment wrapText="1"/>
    </xf>
    <xf numFmtId="165" fontId="5" fillId="0" borderId="0" xfId="2" applyNumberFormat="1" applyFont="1" applyFill="1" applyBorder="1" applyAlignment="1">
      <alignment wrapText="1"/>
    </xf>
    <xf numFmtId="165" fontId="5" fillId="0" borderId="0" xfId="2" applyNumberFormat="1" applyFont="1" applyBorder="1" applyAlignment="1">
      <alignment wrapText="1"/>
    </xf>
    <xf numFmtId="172" fontId="5" fillId="0" borderId="8" xfId="3" applyNumberFormat="1" applyFont="1" applyFill="1" applyBorder="1"/>
    <xf numFmtId="0" fontId="5" fillId="0" borderId="0" xfId="2" applyFont="1" applyFill="1"/>
    <xf numFmtId="172" fontId="5" fillId="0" borderId="0" xfId="3" applyNumberFormat="1" applyFont="1" applyFill="1"/>
    <xf numFmtId="17" fontId="2" fillId="0" borderId="0" xfId="0" applyNumberFormat="1" applyFont="1"/>
    <xf numFmtId="0" fontId="7" fillId="0" borderId="0" xfId="0" applyFont="1"/>
    <xf numFmtId="168" fontId="7" fillId="0" borderId="0" xfId="1" applyNumberFormat="1" applyFont="1"/>
    <xf numFmtId="0" fontId="2" fillId="0" borderId="0" xfId="0" applyFont="1" applyAlignment="1">
      <alignment horizontal="left" indent="1"/>
    </xf>
    <xf numFmtId="168" fontId="2" fillId="0" borderId="0" xfId="1" applyNumberFormat="1" applyFont="1"/>
    <xf numFmtId="168" fontId="2" fillId="3" borderId="0" xfId="1" applyNumberFormat="1" applyFont="1" applyFill="1"/>
    <xf numFmtId="0" fontId="7" fillId="0" borderId="0" xfId="0" applyFont="1" applyAlignment="1"/>
    <xf numFmtId="1" fontId="2" fillId="0" borderId="0" xfId="0" applyNumberFormat="1" applyFont="1"/>
    <xf numFmtId="166" fontId="2" fillId="0" borderId="0" xfId="0" applyNumberFormat="1" applyFont="1"/>
    <xf numFmtId="164" fontId="5" fillId="0" borderId="0" xfId="2" applyNumberFormat="1" applyFont="1" applyBorder="1"/>
    <xf numFmtId="0" fontId="5" fillId="0" borderId="4" xfId="2" applyFont="1" applyBorder="1" applyAlignment="1">
      <alignment horizontal="left" indent="2"/>
    </xf>
    <xf numFmtId="164" fontId="5" fillId="3" borderId="0" xfId="2" applyNumberFormat="1" applyFont="1" applyFill="1" applyBorder="1"/>
    <xf numFmtId="0" fontId="8" fillId="0" borderId="4" xfId="2" applyFont="1" applyBorder="1"/>
    <xf numFmtId="0" fontId="8" fillId="0" borderId="0" xfId="2" applyFont="1" applyBorder="1"/>
    <xf numFmtId="164" fontId="8" fillId="3" borderId="0" xfId="2" applyNumberFormat="1" applyFont="1" applyFill="1" applyBorder="1"/>
    <xf numFmtId="0" fontId="8" fillId="0" borderId="6" xfId="2" applyFont="1" applyBorder="1"/>
    <xf numFmtId="0" fontId="8" fillId="0" borderId="8" xfId="2" applyFont="1" applyBorder="1"/>
    <xf numFmtId="164" fontId="8" fillId="3" borderId="8" xfId="2" applyNumberFormat="1" applyFont="1" applyFill="1" applyBorder="1"/>
    <xf numFmtId="3" fontId="5" fillId="5" borderId="0" xfId="2" applyNumberFormat="1" applyFont="1" applyFill="1" applyBorder="1"/>
    <xf numFmtId="168" fontId="10" fillId="3" borderId="0" xfId="1" applyNumberFormat="1" applyFont="1" applyFill="1"/>
    <xf numFmtId="173" fontId="10" fillId="3" borderId="0" xfId="1" applyNumberFormat="1" applyFont="1" applyFill="1"/>
    <xf numFmtId="173" fontId="9" fillId="4" borderId="0" xfId="8" applyNumberFormat="1"/>
    <xf numFmtId="1" fontId="5" fillId="0" borderId="0" xfId="2" applyNumberFormat="1" applyFont="1" applyFill="1"/>
    <xf numFmtId="1" fontId="5" fillId="0" borderId="0" xfId="2" applyNumberFormat="1" applyFont="1"/>
    <xf numFmtId="174" fontId="5" fillId="0" borderId="7" xfId="3" applyNumberFormat="1" applyFont="1" applyFill="1" applyBorder="1"/>
    <xf numFmtId="175" fontId="5" fillId="0" borderId="0" xfId="2" applyNumberFormat="1" applyFont="1" applyBorder="1" applyAlignment="1">
      <alignment horizontal="right"/>
    </xf>
  </cellXfs>
  <cellStyles count="9">
    <cellStyle name="Comma 2" xfId="4"/>
    <cellStyle name="Comma 3" xfId="5"/>
    <cellStyle name="Currency" xfId="1" builtinId="4"/>
    <cellStyle name="Good" xfId="8" builtinId="26"/>
    <cellStyle name="Normal" xfId="0" builtinId="0"/>
    <cellStyle name="Normal 2" xfId="6"/>
    <cellStyle name="Normal 3" xfId="2"/>
    <cellStyle name="Percent 2" xfId="7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zoomScale="115" zoomScaleNormal="115" workbookViewId="0">
      <selection activeCell="F24" sqref="F24"/>
    </sheetView>
  </sheetViews>
  <sheetFormatPr defaultRowHeight="13.5" x14ac:dyDescent="0.25"/>
  <cols>
    <col min="1" max="2" width="9.140625" style="1"/>
    <col min="3" max="3" width="22.42578125" style="1" customWidth="1"/>
    <col min="4" max="4" width="12.140625" style="1" customWidth="1"/>
    <col min="5" max="12" width="9.140625" style="1"/>
    <col min="13" max="13" width="13.7109375" style="1" bestFit="1" customWidth="1"/>
    <col min="14" max="14" width="10.28515625" style="1" bestFit="1" customWidth="1"/>
    <col min="15" max="15" width="9.140625" style="1"/>
    <col min="16" max="16" width="19.85546875" style="1" customWidth="1"/>
    <col min="17" max="17" width="16.140625" style="1" customWidth="1"/>
    <col min="18" max="18" width="18.28515625" style="1" customWidth="1"/>
    <col min="19" max="16384" width="9.140625" style="1"/>
  </cols>
  <sheetData>
    <row r="1" spans="2:21" x14ac:dyDescent="0.25"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3" t="s">
        <v>1</v>
      </c>
      <c r="Q2" s="5"/>
      <c r="R2" s="2"/>
      <c r="S2" s="2"/>
      <c r="T2" s="2"/>
      <c r="U2" s="2"/>
    </row>
    <row r="3" spans="2:21" x14ac:dyDescent="0.25"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6"/>
      <c r="Q3" s="7"/>
      <c r="R3" s="2"/>
      <c r="S3" s="2"/>
      <c r="T3" s="2"/>
      <c r="U3" s="2"/>
    </row>
    <row r="4" spans="2:21" x14ac:dyDescent="0.25">
      <c r="B4" s="8" t="s">
        <v>2</v>
      </c>
      <c r="C4" s="9"/>
      <c r="D4" s="10">
        <v>56</v>
      </c>
      <c r="E4" s="9" t="s">
        <v>3</v>
      </c>
      <c r="F4" s="2"/>
      <c r="G4" s="2"/>
      <c r="H4" s="2"/>
      <c r="I4" s="2"/>
      <c r="J4" s="2"/>
      <c r="K4" s="2"/>
      <c r="L4" s="2"/>
      <c r="M4" s="2"/>
      <c r="N4" s="7"/>
      <c r="O4" s="2"/>
      <c r="P4" s="6" t="s">
        <v>4</v>
      </c>
      <c r="Q4" s="7"/>
      <c r="R4" s="2"/>
      <c r="S4" s="2"/>
      <c r="T4" s="2"/>
      <c r="U4" s="2"/>
    </row>
    <row r="5" spans="2:21" x14ac:dyDescent="0.25">
      <c r="B5" s="8" t="s">
        <v>5</v>
      </c>
      <c r="C5" s="9"/>
      <c r="D5" s="11" t="s">
        <v>6</v>
      </c>
      <c r="E5" s="9"/>
      <c r="F5" s="2"/>
      <c r="G5" s="2"/>
      <c r="H5" s="2"/>
      <c r="I5" s="2"/>
      <c r="J5" s="2"/>
      <c r="K5" s="2"/>
      <c r="L5" s="2"/>
      <c r="M5" s="2"/>
      <c r="N5" s="7"/>
      <c r="O5" s="2"/>
      <c r="P5" s="6"/>
      <c r="Q5" s="7"/>
      <c r="R5" s="2"/>
      <c r="S5" s="2"/>
      <c r="T5" s="2"/>
      <c r="U5" s="2"/>
    </row>
    <row r="6" spans="2:21" x14ac:dyDescent="0.25">
      <c r="B6" s="8" t="s">
        <v>7</v>
      </c>
      <c r="C6" s="9"/>
      <c r="D6" s="11" t="s">
        <v>8</v>
      </c>
      <c r="E6" s="9"/>
      <c r="F6" s="2"/>
      <c r="G6" s="2"/>
      <c r="H6" s="2"/>
      <c r="I6" s="2"/>
      <c r="J6" s="2"/>
      <c r="K6" s="2"/>
      <c r="L6" s="2"/>
      <c r="M6" s="2"/>
      <c r="N6" s="7"/>
      <c r="O6" s="2"/>
      <c r="P6" s="6" t="s">
        <v>9</v>
      </c>
      <c r="Q6" s="12">
        <v>1000</v>
      </c>
      <c r="R6" s="2"/>
      <c r="S6" s="2"/>
      <c r="T6" s="2"/>
      <c r="U6" s="2"/>
    </row>
    <row r="7" spans="2:21" x14ac:dyDescent="0.25">
      <c r="B7" s="8" t="s">
        <v>10</v>
      </c>
      <c r="C7" s="9"/>
      <c r="D7" s="10">
        <v>10</v>
      </c>
      <c r="E7" s="9" t="s">
        <v>11</v>
      </c>
      <c r="F7" s="2"/>
      <c r="G7" s="2"/>
      <c r="H7" s="2"/>
      <c r="I7" s="2"/>
      <c r="J7" s="2"/>
      <c r="K7" s="2"/>
      <c r="L7" s="2"/>
      <c r="M7" s="2"/>
      <c r="N7" s="7"/>
      <c r="O7" s="2"/>
      <c r="P7" s="6" t="s">
        <v>12</v>
      </c>
      <c r="Q7" s="12">
        <v>100</v>
      </c>
      <c r="R7" s="2"/>
      <c r="S7" s="2"/>
      <c r="T7" s="2"/>
      <c r="U7" s="2"/>
    </row>
    <row r="8" spans="2:21" x14ac:dyDescent="0.25">
      <c r="B8" s="8" t="s">
        <v>13</v>
      </c>
      <c r="C8" s="9"/>
      <c r="D8" s="10">
        <v>10</v>
      </c>
      <c r="E8" s="9" t="s">
        <v>11</v>
      </c>
      <c r="F8" s="2"/>
      <c r="G8" s="2"/>
      <c r="H8" s="2"/>
      <c r="I8" s="2"/>
      <c r="J8" s="2"/>
      <c r="K8" s="2"/>
      <c r="L8" s="2"/>
      <c r="M8" s="2"/>
      <c r="N8" s="7"/>
      <c r="O8" s="2"/>
      <c r="P8" s="13" t="s">
        <v>14</v>
      </c>
      <c r="Q8" s="14">
        <v>0</v>
      </c>
      <c r="R8" s="2"/>
      <c r="S8" s="2"/>
      <c r="T8" s="2"/>
      <c r="U8" s="2"/>
    </row>
    <row r="9" spans="2:21" x14ac:dyDescent="0.25">
      <c r="B9" s="8" t="s">
        <v>15</v>
      </c>
      <c r="C9" s="9"/>
      <c r="D9" s="15">
        <v>250000</v>
      </c>
      <c r="E9" s="9" t="s">
        <v>16</v>
      </c>
      <c r="F9" s="2"/>
      <c r="G9" s="2"/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</row>
    <row r="10" spans="2:21" x14ac:dyDescent="0.25">
      <c r="B10" s="8" t="s">
        <v>17</v>
      </c>
      <c r="C10" s="9"/>
      <c r="D10" s="11" t="s">
        <v>18</v>
      </c>
      <c r="E10" s="9"/>
      <c r="F10" s="2"/>
      <c r="G10" s="2"/>
      <c r="H10" s="2"/>
      <c r="I10" s="2"/>
      <c r="J10" s="2"/>
      <c r="K10" s="2"/>
      <c r="L10" s="2"/>
      <c r="M10" s="2"/>
      <c r="N10" s="7"/>
      <c r="O10" s="2"/>
      <c r="P10" s="2"/>
      <c r="Q10" s="2"/>
      <c r="R10" s="2"/>
      <c r="S10" s="2"/>
      <c r="T10" s="2"/>
      <c r="U10" s="2"/>
    </row>
    <row r="11" spans="2:21" x14ac:dyDescent="0.25">
      <c r="B11" s="8"/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7"/>
      <c r="O11" s="2"/>
      <c r="P11" s="2"/>
      <c r="Q11" s="2"/>
      <c r="R11" s="2"/>
      <c r="S11" s="2"/>
      <c r="T11" s="2"/>
      <c r="U11" s="2"/>
    </row>
    <row r="12" spans="2:21" x14ac:dyDescent="0.25">
      <c r="B12" s="8" t="s">
        <v>19</v>
      </c>
      <c r="C12" s="9"/>
      <c r="D12" s="16">
        <v>7.0000000000000007E-2</v>
      </c>
      <c r="E12" s="9"/>
      <c r="F12" s="2"/>
      <c r="G12" s="2"/>
      <c r="H12" s="2"/>
      <c r="I12" s="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</row>
    <row r="13" spans="2:21" x14ac:dyDescent="0.25">
      <c r="B13" s="8"/>
      <c r="C13" s="9"/>
      <c r="D13" s="9"/>
      <c r="E13" s="9"/>
      <c r="F13" s="2"/>
      <c r="G13" s="2"/>
      <c r="H13" s="2"/>
      <c r="I13" s="2"/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</row>
    <row r="14" spans="2:21" x14ac:dyDescent="0.25">
      <c r="B14" s="8" t="s">
        <v>20</v>
      </c>
      <c r="C14" s="9"/>
      <c r="D14" s="16">
        <v>0.02</v>
      </c>
      <c r="E14" s="9"/>
      <c r="F14" s="2"/>
      <c r="G14" s="2"/>
      <c r="H14" s="2"/>
      <c r="I14" s="2"/>
      <c r="J14" s="2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</row>
    <row r="15" spans="2:21" x14ac:dyDescent="0.25">
      <c r="B15" s="8" t="s">
        <v>21</v>
      </c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</row>
    <row r="16" spans="2:21" x14ac:dyDescent="0.25">
      <c r="B16" s="8"/>
      <c r="C16" s="9" t="s">
        <v>22</v>
      </c>
      <c r="D16" s="17">
        <v>350</v>
      </c>
      <c r="E16" s="9" t="s">
        <v>23</v>
      </c>
      <c r="F16" s="2"/>
      <c r="G16" s="2"/>
      <c r="H16" s="2"/>
      <c r="I16" s="2"/>
      <c r="J16" s="2"/>
      <c r="K16" s="2"/>
      <c r="L16" s="2"/>
      <c r="M16" s="2"/>
      <c r="N16" s="7"/>
      <c r="O16" s="2"/>
      <c r="P16" s="2"/>
      <c r="Q16" s="2"/>
      <c r="R16" s="2"/>
      <c r="S16" s="2"/>
      <c r="T16" s="2"/>
      <c r="U16" s="2"/>
    </row>
    <row r="17" spans="2:21" x14ac:dyDescent="0.25">
      <c r="B17" s="8"/>
      <c r="C17" s="9" t="s">
        <v>24</v>
      </c>
      <c r="D17" s="17">
        <v>75</v>
      </c>
      <c r="E17" s="9" t="s">
        <v>25</v>
      </c>
      <c r="F17" s="2"/>
      <c r="G17" s="2"/>
      <c r="H17" s="2"/>
      <c r="I17" s="2"/>
      <c r="J17" s="2"/>
      <c r="K17" s="2"/>
      <c r="L17" s="2"/>
      <c r="M17" s="2"/>
      <c r="N17" s="7"/>
      <c r="O17" s="2"/>
      <c r="P17" s="2"/>
      <c r="Q17" s="2"/>
      <c r="R17" s="2"/>
      <c r="S17" s="2"/>
      <c r="T17" s="2"/>
      <c r="U17" s="2"/>
    </row>
    <row r="18" spans="2:21" x14ac:dyDescent="0.25">
      <c r="B18" s="8" t="s">
        <v>26</v>
      </c>
      <c r="C18" s="9"/>
      <c r="D18" s="18"/>
      <c r="E18" s="9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</row>
    <row r="19" spans="2:21" x14ac:dyDescent="0.25">
      <c r="B19" s="8"/>
      <c r="C19" s="9" t="s">
        <v>27</v>
      </c>
      <c r="D19" s="16">
        <v>0.7</v>
      </c>
      <c r="E19" s="9" t="s">
        <v>28</v>
      </c>
      <c r="F19" s="2"/>
      <c r="G19" s="2"/>
      <c r="H19" s="2"/>
      <c r="I19" s="2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</row>
    <row r="20" spans="2:21" x14ac:dyDescent="0.25">
      <c r="B20" s="8"/>
      <c r="C20" s="9" t="s">
        <v>29</v>
      </c>
      <c r="D20" s="16">
        <v>0.05</v>
      </c>
      <c r="E20" s="9" t="s">
        <v>30</v>
      </c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</row>
    <row r="21" spans="2:21" x14ac:dyDescent="0.25">
      <c r="B21" s="8" t="s">
        <v>31</v>
      </c>
      <c r="C21" s="9"/>
      <c r="D21" s="16">
        <v>1</v>
      </c>
      <c r="E21" s="9"/>
      <c r="F21" s="2"/>
      <c r="G21" s="2"/>
      <c r="H21" s="2"/>
      <c r="I21" s="2"/>
      <c r="J21" s="2"/>
      <c r="K21" s="2"/>
      <c r="L21" s="2"/>
      <c r="M21" s="2"/>
      <c r="N21" s="7"/>
      <c r="O21" s="2"/>
      <c r="P21" s="2"/>
      <c r="Q21" s="2"/>
      <c r="R21" s="2"/>
      <c r="S21" s="2"/>
      <c r="T21" s="2"/>
      <c r="U21" s="2"/>
    </row>
    <row r="22" spans="2:21" x14ac:dyDescent="0.25">
      <c r="B22" s="8" t="s">
        <v>32</v>
      </c>
      <c r="C22" s="9"/>
      <c r="D22" s="11" t="s">
        <v>33</v>
      </c>
      <c r="E22" s="9"/>
      <c r="F22" s="2"/>
      <c r="G22" s="2"/>
      <c r="H22" s="2"/>
      <c r="I22" s="2"/>
      <c r="J22" s="2"/>
      <c r="K22" s="2"/>
      <c r="L22" s="2"/>
      <c r="M22" s="2"/>
      <c r="N22" s="7"/>
      <c r="O22" s="2"/>
      <c r="P22" s="2"/>
      <c r="Q22" s="2"/>
      <c r="R22" s="2"/>
      <c r="S22" s="2"/>
      <c r="T22" s="2"/>
      <c r="U22" s="2"/>
    </row>
    <row r="23" spans="2:21" x14ac:dyDescent="0.25">
      <c r="B23" s="19" t="s">
        <v>34</v>
      </c>
      <c r="C23" s="20"/>
      <c r="D23" s="21">
        <v>0.15</v>
      </c>
      <c r="E23" s="20"/>
      <c r="F23" s="22"/>
      <c r="G23" s="22"/>
      <c r="H23" s="22"/>
      <c r="I23" s="22"/>
      <c r="J23" s="22"/>
      <c r="K23" s="22"/>
      <c r="L23" s="22"/>
      <c r="M23" s="22"/>
      <c r="N23" s="23"/>
      <c r="O23" s="2"/>
      <c r="P23" s="2"/>
      <c r="Q23" s="2"/>
      <c r="R23" s="2"/>
      <c r="S23" s="2"/>
      <c r="T23" s="2"/>
      <c r="U23" s="2"/>
    </row>
    <row r="24" spans="2:21" x14ac:dyDescent="0.25">
      <c r="L24" s="2"/>
      <c r="M24" s="2"/>
      <c r="N24" s="2"/>
      <c r="O24" s="2"/>
      <c r="P24" s="2"/>
      <c r="Q24" s="2"/>
      <c r="R24" s="2"/>
      <c r="S24" s="2"/>
      <c r="T24" s="2"/>
      <c r="U24" s="2"/>
    </row>
    <row r="26" spans="2:21" x14ac:dyDescent="0.25">
      <c r="B26" s="3" t="s">
        <v>35</v>
      </c>
      <c r="C26" s="24"/>
      <c r="D26" s="25"/>
      <c r="E26" s="3" t="s">
        <v>36</v>
      </c>
      <c r="F26" s="24"/>
      <c r="I26" s="3" t="s">
        <v>37</v>
      </c>
      <c r="J26" s="26"/>
      <c r="K26" s="26"/>
      <c r="L26" s="26"/>
      <c r="M26" s="26"/>
      <c r="N26" s="24"/>
      <c r="P26" s="27"/>
      <c r="Q26" s="9"/>
      <c r="R26" s="9"/>
      <c r="S26" s="9"/>
      <c r="T26" s="9"/>
      <c r="U26" s="9"/>
    </row>
    <row r="27" spans="2:21" x14ac:dyDescent="0.25">
      <c r="B27" s="8"/>
      <c r="C27" s="28"/>
      <c r="D27" s="25"/>
      <c r="E27" s="8"/>
      <c r="F27" s="28"/>
      <c r="I27" s="29"/>
      <c r="J27" s="9"/>
      <c r="K27" s="9"/>
      <c r="L27" s="9"/>
      <c r="M27" s="9"/>
      <c r="N27" s="28"/>
      <c r="P27" s="27"/>
      <c r="Q27" s="9"/>
      <c r="R27" s="9"/>
      <c r="S27" s="9"/>
      <c r="T27" s="9"/>
      <c r="U27" s="9"/>
    </row>
    <row r="28" spans="2:21" x14ac:dyDescent="0.25">
      <c r="B28" s="8" t="s">
        <v>38</v>
      </c>
      <c r="C28" s="28"/>
      <c r="D28" s="25"/>
      <c r="E28" s="8"/>
      <c r="F28" s="28"/>
      <c r="I28" s="30" t="s">
        <v>39</v>
      </c>
      <c r="J28" s="31" t="s">
        <v>40</v>
      </c>
      <c r="K28" s="31" t="s">
        <v>41</v>
      </c>
      <c r="L28" s="31" t="s">
        <v>42</v>
      </c>
      <c r="M28" s="31" t="s">
        <v>43</v>
      </c>
      <c r="N28" s="32" t="s">
        <v>44</v>
      </c>
      <c r="P28" s="31"/>
      <c r="Q28" s="31"/>
      <c r="R28" s="31"/>
      <c r="S28" s="31"/>
      <c r="T28" s="31"/>
      <c r="U28" s="31"/>
    </row>
    <row r="29" spans="2:21" ht="27" x14ac:dyDescent="0.25">
      <c r="B29" s="33" t="s">
        <v>40</v>
      </c>
      <c r="C29" s="34" t="s">
        <v>45</v>
      </c>
      <c r="D29" s="35"/>
      <c r="E29" s="33" t="s">
        <v>40</v>
      </c>
      <c r="F29" s="34" t="s">
        <v>46</v>
      </c>
      <c r="I29" s="30"/>
      <c r="J29" s="31"/>
      <c r="K29" s="31"/>
      <c r="L29" s="31"/>
      <c r="M29" s="31"/>
      <c r="N29" s="32"/>
      <c r="P29" s="31"/>
      <c r="Q29" s="31"/>
      <c r="R29" s="31"/>
      <c r="S29" s="31"/>
      <c r="T29" s="31"/>
      <c r="U29" s="31"/>
    </row>
    <row r="30" spans="2:21" x14ac:dyDescent="0.25">
      <c r="B30" s="8">
        <v>56</v>
      </c>
      <c r="C30" s="28">
        <v>5.5300000000000002E-3</v>
      </c>
      <c r="D30" s="25"/>
      <c r="E30" s="8">
        <v>56</v>
      </c>
      <c r="F30" s="28">
        <v>4.2599999999999999E-3</v>
      </c>
      <c r="I30" s="8">
        <v>1</v>
      </c>
      <c r="J30" s="9">
        <f>E30</f>
        <v>56</v>
      </c>
      <c r="K30" s="36">
        <v>1</v>
      </c>
      <c r="L30" s="36">
        <f>Assumptions!F30*K30</f>
        <v>4.2599999999999999E-3</v>
      </c>
      <c r="M30" s="36">
        <f>Assumptions!$D$23*(K30-L30)</f>
        <v>0.14936099999999999</v>
      </c>
      <c r="N30" s="37">
        <f t="shared" ref="N30:N39" si="0">K30-L30-M30</f>
        <v>0.84637899999999999</v>
      </c>
      <c r="P30" s="9"/>
      <c r="Q30" s="9"/>
      <c r="R30" s="36"/>
      <c r="S30" s="36"/>
      <c r="T30" s="36"/>
      <c r="U30" s="36"/>
    </row>
    <row r="31" spans="2:21" x14ac:dyDescent="0.25">
      <c r="B31" s="8">
        <f t="shared" ref="B31:B39" si="1">B30+1</f>
        <v>57</v>
      </c>
      <c r="C31" s="28">
        <v>6.2199999999999998E-3</v>
      </c>
      <c r="D31" s="25"/>
      <c r="E31" s="8">
        <f t="shared" ref="E31:E39" si="2">E30+1</f>
        <v>57</v>
      </c>
      <c r="F31" s="28">
        <v>4.7400000000000003E-3</v>
      </c>
      <c r="I31" s="8">
        <v>2</v>
      </c>
      <c r="J31" s="9">
        <f t="shared" ref="J31:J39" si="3">E31</f>
        <v>57</v>
      </c>
      <c r="K31" s="36">
        <f t="shared" ref="K31:K39" si="4">N30</f>
        <v>0.84637899999999999</v>
      </c>
      <c r="L31" s="36">
        <f>Assumptions!F31*K31</f>
        <v>4.0118364600000003E-3</v>
      </c>
      <c r="M31" s="36">
        <f>Assumptions!$D$23*(K31-L31)</f>
        <v>0.12635507453099998</v>
      </c>
      <c r="N31" s="37">
        <f t="shared" si="0"/>
        <v>0.71601208900900004</v>
      </c>
      <c r="P31" s="9"/>
      <c r="Q31" s="9"/>
      <c r="R31" s="36"/>
      <c r="S31" s="36"/>
      <c r="T31" s="36"/>
      <c r="U31" s="36"/>
    </row>
    <row r="32" spans="2:21" x14ac:dyDescent="0.25">
      <c r="B32" s="8">
        <f t="shared" si="1"/>
        <v>58</v>
      </c>
      <c r="C32" s="28">
        <v>7.0299999999999998E-3</v>
      </c>
      <c r="D32" s="25"/>
      <c r="E32" s="8">
        <f t="shared" si="2"/>
        <v>58</v>
      </c>
      <c r="F32" s="38">
        <v>5.2900000000000004E-3</v>
      </c>
      <c r="I32" s="8">
        <v>3</v>
      </c>
      <c r="J32" s="9">
        <f t="shared" si="3"/>
        <v>58</v>
      </c>
      <c r="K32" s="36">
        <f t="shared" si="4"/>
        <v>0.71601208900900004</v>
      </c>
      <c r="L32" s="36">
        <f>Assumptions!F32*K32</f>
        <v>3.7877039508576104E-3</v>
      </c>
      <c r="M32" s="36">
        <f>Assumptions!$D$23*(K32-L32)</f>
        <v>0.10683365775872136</v>
      </c>
      <c r="N32" s="37">
        <f t="shared" si="0"/>
        <v>0.60539072729942112</v>
      </c>
      <c r="P32" s="9"/>
      <c r="Q32" s="9"/>
      <c r="R32" s="36"/>
      <c r="S32" s="36"/>
      <c r="T32" s="36"/>
      <c r="U32" s="36"/>
    </row>
    <row r="33" spans="2:21" x14ac:dyDescent="0.25">
      <c r="B33" s="8">
        <f t="shared" si="1"/>
        <v>59</v>
      </c>
      <c r="C33" s="28">
        <v>7.9699999999999997E-3</v>
      </c>
      <c r="D33" s="25"/>
      <c r="E33" s="8">
        <f t="shared" si="2"/>
        <v>59</v>
      </c>
      <c r="F33" s="38">
        <v>5.9100000000000003E-3</v>
      </c>
      <c r="I33" s="8">
        <v>4</v>
      </c>
      <c r="J33" s="9">
        <f t="shared" si="3"/>
        <v>59</v>
      </c>
      <c r="K33" s="36">
        <f t="shared" si="4"/>
        <v>0.60539072729942112</v>
      </c>
      <c r="L33" s="36">
        <f>Assumptions!F33*K33</f>
        <v>3.5778591983395792E-3</v>
      </c>
      <c r="M33" s="36">
        <f>Assumptions!$D$23*(K33-L33)</f>
        <v>9.0271930215162235E-2</v>
      </c>
      <c r="N33" s="37">
        <f t="shared" si="0"/>
        <v>0.51154093788591937</v>
      </c>
      <c r="P33" s="9"/>
      <c r="Q33" s="9"/>
      <c r="R33" s="36"/>
      <c r="S33" s="36"/>
      <c r="T33" s="36"/>
      <c r="U33" s="36"/>
    </row>
    <row r="34" spans="2:21" x14ac:dyDescent="0.25">
      <c r="B34" s="8">
        <f t="shared" si="1"/>
        <v>60</v>
      </c>
      <c r="C34" s="38">
        <v>8.9999999999999993E-3</v>
      </c>
      <c r="D34" s="25"/>
      <c r="E34" s="8">
        <f t="shared" si="2"/>
        <v>60</v>
      </c>
      <c r="F34" s="38">
        <v>6.62E-3</v>
      </c>
      <c r="I34" s="8">
        <v>5</v>
      </c>
      <c r="J34" s="9">
        <f t="shared" si="3"/>
        <v>60</v>
      </c>
      <c r="K34" s="36">
        <f t="shared" si="4"/>
        <v>0.51154093788591937</v>
      </c>
      <c r="L34" s="36">
        <f>Assumptions!F34*K34</f>
        <v>3.3864010088047861E-3</v>
      </c>
      <c r="M34" s="36">
        <f>Assumptions!$D$23*(K34-L34)</f>
        <v>7.6223180531567181E-2</v>
      </c>
      <c r="N34" s="37">
        <f t="shared" si="0"/>
        <v>0.43193135634554736</v>
      </c>
      <c r="P34" s="9"/>
      <c r="Q34" s="9"/>
      <c r="R34" s="36"/>
      <c r="S34" s="36"/>
      <c r="T34" s="36"/>
      <c r="U34" s="36"/>
    </row>
    <row r="35" spans="2:21" x14ac:dyDescent="0.25">
      <c r="B35" s="8">
        <f t="shared" si="1"/>
        <v>61</v>
      </c>
      <c r="C35" s="28">
        <v>1.027E-2</v>
      </c>
      <c r="D35" s="25"/>
      <c r="E35" s="8">
        <f t="shared" si="2"/>
        <v>61</v>
      </c>
      <c r="F35" s="38">
        <v>7.43E-3</v>
      </c>
      <c r="I35" s="8">
        <v>6</v>
      </c>
      <c r="J35" s="9">
        <f t="shared" si="3"/>
        <v>61</v>
      </c>
      <c r="K35" s="36">
        <f t="shared" si="4"/>
        <v>0.43193135634554736</v>
      </c>
      <c r="L35" s="36">
        <f>Assumptions!F35*K35</f>
        <v>3.209249977647417E-3</v>
      </c>
      <c r="M35" s="36">
        <f>Assumptions!$D$23*(K35-L35)</f>
        <v>6.4308315955184991E-2</v>
      </c>
      <c r="N35" s="37">
        <f t="shared" si="0"/>
        <v>0.36441379041271493</v>
      </c>
      <c r="P35" s="9"/>
      <c r="Q35" s="9"/>
      <c r="R35" s="36"/>
      <c r="S35" s="36"/>
      <c r="T35" s="36"/>
      <c r="U35" s="36"/>
    </row>
    <row r="36" spans="2:21" x14ac:dyDescent="0.25">
      <c r="B36" s="8">
        <f t="shared" si="1"/>
        <v>62</v>
      </c>
      <c r="C36" s="28">
        <v>1.1679999999999999E-2</v>
      </c>
      <c r="D36" s="25"/>
      <c r="E36" s="8">
        <f t="shared" si="2"/>
        <v>62</v>
      </c>
      <c r="F36" s="38">
        <v>8.3599999999999994E-3</v>
      </c>
      <c r="I36" s="8">
        <v>7</v>
      </c>
      <c r="J36" s="9">
        <f t="shared" si="3"/>
        <v>62</v>
      </c>
      <c r="K36" s="36">
        <f t="shared" si="4"/>
        <v>0.36441379041271493</v>
      </c>
      <c r="L36" s="36">
        <f>Assumptions!F36*K36</f>
        <v>3.0464992878502968E-3</v>
      </c>
      <c r="M36" s="36">
        <f>Assumptions!$D$23*(K36-L36)</f>
        <v>5.4205093668729699E-2</v>
      </c>
      <c r="N36" s="37">
        <f t="shared" si="0"/>
        <v>0.30716219745613493</v>
      </c>
      <c r="P36" s="9"/>
      <c r="Q36" s="9"/>
      <c r="R36" s="36"/>
      <c r="S36" s="36"/>
      <c r="T36" s="36"/>
      <c r="U36" s="36"/>
    </row>
    <row r="37" spans="2:21" x14ac:dyDescent="0.25">
      <c r="B37" s="8">
        <f t="shared" si="1"/>
        <v>63</v>
      </c>
      <c r="C37" s="28">
        <v>1.324E-2</v>
      </c>
      <c r="D37" s="25"/>
      <c r="E37" s="8">
        <f t="shared" si="2"/>
        <v>63</v>
      </c>
      <c r="F37" s="38">
        <v>9.4000000000000004E-3</v>
      </c>
      <c r="I37" s="8">
        <v>8</v>
      </c>
      <c r="J37" s="9">
        <f t="shared" si="3"/>
        <v>63</v>
      </c>
      <c r="K37" s="36">
        <f t="shared" si="4"/>
        <v>0.30716219745613493</v>
      </c>
      <c r="L37" s="36">
        <f>Assumptions!F37*K37</f>
        <v>2.8873246560876683E-3</v>
      </c>
      <c r="M37" s="36">
        <f>Assumptions!$D$23*(K37-L37)</f>
        <v>4.5641230920007089E-2</v>
      </c>
      <c r="N37" s="37">
        <f t="shared" si="0"/>
        <v>0.25863364188004018</v>
      </c>
      <c r="P37" s="9"/>
      <c r="Q37" s="9"/>
      <c r="R37" s="36"/>
      <c r="S37" s="36"/>
      <c r="T37" s="36"/>
      <c r="U37" s="36"/>
    </row>
    <row r="38" spans="2:21" x14ac:dyDescent="0.25">
      <c r="B38" s="8">
        <f t="shared" si="1"/>
        <v>64</v>
      </c>
      <c r="C38" s="28">
        <v>1.507E-2</v>
      </c>
      <c r="D38" s="25"/>
      <c r="E38" s="8">
        <f t="shared" si="2"/>
        <v>64</v>
      </c>
      <c r="F38" s="38">
        <v>1.0580000000000001E-2</v>
      </c>
      <c r="I38" s="8">
        <v>9</v>
      </c>
      <c r="J38" s="9">
        <f t="shared" si="3"/>
        <v>64</v>
      </c>
      <c r="K38" s="36">
        <f t="shared" si="4"/>
        <v>0.25863364188004018</v>
      </c>
      <c r="L38" s="36">
        <f>Assumptions!F38*K38</f>
        <v>2.7363439310908251E-3</v>
      </c>
      <c r="M38" s="36">
        <f>Assumptions!$D$23*(K38-L38)</f>
        <v>3.83845946923424E-2</v>
      </c>
      <c r="N38" s="37">
        <f t="shared" si="0"/>
        <v>0.21751270325660693</v>
      </c>
      <c r="P38" s="9"/>
      <c r="Q38" s="9"/>
      <c r="R38" s="36"/>
      <c r="S38" s="36"/>
      <c r="T38" s="36"/>
      <c r="U38" s="36"/>
    </row>
    <row r="39" spans="2:21" x14ac:dyDescent="0.25">
      <c r="B39" s="19">
        <f t="shared" si="1"/>
        <v>65</v>
      </c>
      <c r="C39" s="39">
        <v>1.704E-2</v>
      </c>
      <c r="D39" s="25"/>
      <c r="E39" s="19">
        <f t="shared" si="2"/>
        <v>65</v>
      </c>
      <c r="F39" s="40">
        <v>1.192E-2</v>
      </c>
      <c r="I39" s="19">
        <v>10</v>
      </c>
      <c r="J39" s="20">
        <f t="shared" si="3"/>
        <v>65</v>
      </c>
      <c r="K39" s="41">
        <f t="shared" si="4"/>
        <v>0.21751270325660693</v>
      </c>
      <c r="L39" s="41">
        <f>Assumptions!F39*K39</f>
        <v>2.5927514228187547E-3</v>
      </c>
      <c r="M39" s="41">
        <f>Assumptions!$D$23*(K39-L39)</f>
        <v>3.2237992775068225E-2</v>
      </c>
      <c r="N39" s="42">
        <f t="shared" si="0"/>
        <v>0.18268195905871995</v>
      </c>
      <c r="P39" s="9"/>
      <c r="Q39" s="9"/>
      <c r="R39" s="36"/>
      <c r="S39" s="36"/>
      <c r="T39" s="36"/>
      <c r="U39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36"/>
  <sheetViews>
    <sheetView tabSelected="1" zoomScale="115" zoomScaleNormal="115" zoomScaleSheetLayoutView="90" workbookViewId="0">
      <selection activeCell="P8" sqref="P8"/>
    </sheetView>
  </sheetViews>
  <sheetFormatPr defaultRowHeight="13.5" x14ac:dyDescent="0.25"/>
  <cols>
    <col min="1" max="1" width="5.7109375" style="25" customWidth="1"/>
    <col min="2" max="2" width="11.5703125" style="25" customWidth="1"/>
    <col min="3" max="3" width="9.28515625" style="25" bestFit="1" customWidth="1"/>
    <col min="4" max="4" width="12.28515625" style="25" customWidth="1"/>
    <col min="5" max="5" width="8.5703125" style="25" customWidth="1"/>
    <col min="6" max="6" width="9.7109375" style="25" customWidth="1"/>
    <col min="7" max="7" width="11.85546875" style="25" customWidth="1"/>
    <col min="8" max="8" width="11.42578125" style="102" customWidth="1"/>
    <col min="9" max="9" width="9.140625" style="102"/>
    <col min="10" max="10" width="7.85546875" style="102" customWidth="1"/>
    <col min="11" max="11" width="13" style="102" customWidth="1"/>
    <col min="12" max="12" width="11.140625" style="25" customWidth="1"/>
    <col min="13" max="13" width="9.42578125" style="25" bestFit="1" customWidth="1"/>
    <col min="14" max="14" width="9.140625" style="25"/>
    <col min="15" max="15" width="9.28515625" style="25" bestFit="1" customWidth="1"/>
    <col min="16" max="16" width="9.140625" style="25"/>
    <col min="17" max="17" width="9.28515625" style="25" bestFit="1" customWidth="1"/>
    <col min="18" max="18" width="11.28515625" style="25" customWidth="1"/>
    <col min="19" max="19" width="11.42578125" style="25" customWidth="1"/>
    <col min="20" max="20" width="9.28515625" style="25" bestFit="1" customWidth="1"/>
    <col min="21" max="248" width="9.140625" style="25"/>
    <col min="249" max="249" width="14.85546875" style="25" customWidth="1"/>
    <col min="250" max="250" width="15.85546875" style="25" customWidth="1"/>
    <col min="251" max="251" width="9.85546875" style="25" customWidth="1"/>
    <col min="252" max="252" width="6.85546875" style="25" customWidth="1"/>
    <col min="253" max="254" width="10.85546875" style="25" customWidth="1"/>
    <col min="255" max="255" width="5.7109375" style="25" customWidth="1"/>
    <col min="256" max="256" width="11.5703125" style="25" customWidth="1"/>
    <col min="257" max="257" width="9.140625" style="25"/>
    <col min="258" max="258" width="9.7109375" style="25" customWidth="1"/>
    <col min="259" max="259" width="8.5703125" style="25" customWidth="1"/>
    <col min="260" max="261" width="0" style="25" hidden="1" customWidth="1"/>
    <col min="262" max="262" width="8.28515625" style="25" customWidth="1"/>
    <col min="263" max="263" width="11.85546875" style="25" customWidth="1"/>
    <col min="264" max="264" width="11.42578125" style="25" customWidth="1"/>
    <col min="265" max="265" width="9.140625" style="25"/>
    <col min="266" max="266" width="7.85546875" style="25" customWidth="1"/>
    <col min="267" max="504" width="9.140625" style="25"/>
    <col min="505" max="505" width="14.85546875" style="25" customWidth="1"/>
    <col min="506" max="506" width="15.85546875" style="25" customWidth="1"/>
    <col min="507" max="507" width="9.85546875" style="25" customWidth="1"/>
    <col min="508" max="508" width="6.85546875" style="25" customWidth="1"/>
    <col min="509" max="510" width="10.85546875" style="25" customWidth="1"/>
    <col min="511" max="511" width="5.7109375" style="25" customWidth="1"/>
    <col min="512" max="512" width="11.5703125" style="25" customWidth="1"/>
    <col min="513" max="513" width="9.140625" style="25"/>
    <col min="514" max="514" width="9.7109375" style="25" customWidth="1"/>
    <col min="515" max="515" width="8.5703125" style="25" customWidth="1"/>
    <col min="516" max="517" width="0" style="25" hidden="1" customWidth="1"/>
    <col min="518" max="518" width="8.28515625" style="25" customWidth="1"/>
    <col min="519" max="519" width="11.85546875" style="25" customWidth="1"/>
    <col min="520" max="520" width="11.42578125" style="25" customWidth="1"/>
    <col min="521" max="521" width="9.140625" style="25"/>
    <col min="522" max="522" width="7.85546875" style="25" customWidth="1"/>
    <col min="523" max="760" width="9.140625" style="25"/>
    <col min="761" max="761" width="14.85546875" style="25" customWidth="1"/>
    <col min="762" max="762" width="15.85546875" style="25" customWidth="1"/>
    <col min="763" max="763" width="9.85546875" style="25" customWidth="1"/>
    <col min="764" max="764" width="6.85546875" style="25" customWidth="1"/>
    <col min="765" max="766" width="10.85546875" style="25" customWidth="1"/>
    <col min="767" max="767" width="5.7109375" style="25" customWidth="1"/>
    <col min="768" max="768" width="11.5703125" style="25" customWidth="1"/>
    <col min="769" max="769" width="9.140625" style="25"/>
    <col min="770" max="770" width="9.7109375" style="25" customWidth="1"/>
    <col min="771" max="771" width="8.5703125" style="25" customWidth="1"/>
    <col min="772" max="773" width="0" style="25" hidden="1" customWidth="1"/>
    <col min="774" max="774" width="8.28515625" style="25" customWidth="1"/>
    <col min="775" max="775" width="11.85546875" style="25" customWidth="1"/>
    <col min="776" max="776" width="11.42578125" style="25" customWidth="1"/>
    <col min="777" max="777" width="9.140625" style="25"/>
    <col min="778" max="778" width="7.85546875" style="25" customWidth="1"/>
    <col min="779" max="1016" width="9.140625" style="25"/>
    <col min="1017" max="1017" width="14.85546875" style="25" customWidth="1"/>
    <col min="1018" max="1018" width="15.85546875" style="25" customWidth="1"/>
    <col min="1019" max="1019" width="9.85546875" style="25" customWidth="1"/>
    <col min="1020" max="1020" width="6.85546875" style="25" customWidth="1"/>
    <col min="1021" max="1022" width="10.85546875" style="25" customWidth="1"/>
    <col min="1023" max="1023" width="5.7109375" style="25" customWidth="1"/>
    <col min="1024" max="1024" width="11.5703125" style="25" customWidth="1"/>
    <col min="1025" max="1025" width="9.140625" style="25"/>
    <col min="1026" max="1026" width="9.7109375" style="25" customWidth="1"/>
    <col min="1027" max="1027" width="8.5703125" style="25" customWidth="1"/>
    <col min="1028" max="1029" width="0" style="25" hidden="1" customWidth="1"/>
    <col min="1030" max="1030" width="8.28515625" style="25" customWidth="1"/>
    <col min="1031" max="1031" width="11.85546875" style="25" customWidth="1"/>
    <col min="1032" max="1032" width="11.42578125" style="25" customWidth="1"/>
    <col min="1033" max="1033" width="9.140625" style="25"/>
    <col min="1034" max="1034" width="7.85546875" style="25" customWidth="1"/>
    <col min="1035" max="1272" width="9.140625" style="25"/>
    <col min="1273" max="1273" width="14.85546875" style="25" customWidth="1"/>
    <col min="1274" max="1274" width="15.85546875" style="25" customWidth="1"/>
    <col min="1275" max="1275" width="9.85546875" style="25" customWidth="1"/>
    <col min="1276" max="1276" width="6.85546875" style="25" customWidth="1"/>
    <col min="1277" max="1278" width="10.85546875" style="25" customWidth="1"/>
    <col min="1279" max="1279" width="5.7109375" style="25" customWidth="1"/>
    <col min="1280" max="1280" width="11.5703125" style="25" customWidth="1"/>
    <col min="1281" max="1281" width="9.140625" style="25"/>
    <col min="1282" max="1282" width="9.7109375" style="25" customWidth="1"/>
    <col min="1283" max="1283" width="8.5703125" style="25" customWidth="1"/>
    <col min="1284" max="1285" width="0" style="25" hidden="1" customWidth="1"/>
    <col min="1286" max="1286" width="8.28515625" style="25" customWidth="1"/>
    <col min="1287" max="1287" width="11.85546875" style="25" customWidth="1"/>
    <col min="1288" max="1288" width="11.42578125" style="25" customWidth="1"/>
    <col min="1289" max="1289" width="9.140625" style="25"/>
    <col min="1290" max="1290" width="7.85546875" style="25" customWidth="1"/>
    <col min="1291" max="1528" width="9.140625" style="25"/>
    <col min="1529" max="1529" width="14.85546875" style="25" customWidth="1"/>
    <col min="1530" max="1530" width="15.85546875" style="25" customWidth="1"/>
    <col min="1531" max="1531" width="9.85546875" style="25" customWidth="1"/>
    <col min="1532" max="1532" width="6.85546875" style="25" customWidth="1"/>
    <col min="1533" max="1534" width="10.85546875" style="25" customWidth="1"/>
    <col min="1535" max="1535" width="5.7109375" style="25" customWidth="1"/>
    <col min="1536" max="1536" width="11.5703125" style="25" customWidth="1"/>
    <col min="1537" max="1537" width="9.140625" style="25"/>
    <col min="1538" max="1538" width="9.7109375" style="25" customWidth="1"/>
    <col min="1539" max="1539" width="8.5703125" style="25" customWidth="1"/>
    <col min="1540" max="1541" width="0" style="25" hidden="1" customWidth="1"/>
    <col min="1542" max="1542" width="8.28515625" style="25" customWidth="1"/>
    <col min="1543" max="1543" width="11.85546875" style="25" customWidth="1"/>
    <col min="1544" max="1544" width="11.42578125" style="25" customWidth="1"/>
    <col min="1545" max="1545" width="9.140625" style="25"/>
    <col min="1546" max="1546" width="7.85546875" style="25" customWidth="1"/>
    <col min="1547" max="1784" width="9.140625" style="25"/>
    <col min="1785" max="1785" width="14.85546875" style="25" customWidth="1"/>
    <col min="1786" max="1786" width="15.85546875" style="25" customWidth="1"/>
    <col min="1787" max="1787" width="9.85546875" style="25" customWidth="1"/>
    <col min="1788" max="1788" width="6.85546875" style="25" customWidth="1"/>
    <col min="1789" max="1790" width="10.85546875" style="25" customWidth="1"/>
    <col min="1791" max="1791" width="5.7109375" style="25" customWidth="1"/>
    <col min="1792" max="1792" width="11.5703125" style="25" customWidth="1"/>
    <col min="1793" max="1793" width="9.140625" style="25"/>
    <col min="1794" max="1794" width="9.7109375" style="25" customWidth="1"/>
    <col min="1795" max="1795" width="8.5703125" style="25" customWidth="1"/>
    <col min="1796" max="1797" width="0" style="25" hidden="1" customWidth="1"/>
    <col min="1798" max="1798" width="8.28515625" style="25" customWidth="1"/>
    <col min="1799" max="1799" width="11.85546875" style="25" customWidth="1"/>
    <col min="1800" max="1800" width="11.42578125" style="25" customWidth="1"/>
    <col min="1801" max="1801" width="9.140625" style="25"/>
    <col min="1802" max="1802" width="7.85546875" style="25" customWidth="1"/>
    <col min="1803" max="2040" width="9.140625" style="25"/>
    <col min="2041" max="2041" width="14.85546875" style="25" customWidth="1"/>
    <col min="2042" max="2042" width="15.85546875" style="25" customWidth="1"/>
    <col min="2043" max="2043" width="9.85546875" style="25" customWidth="1"/>
    <col min="2044" max="2044" width="6.85546875" style="25" customWidth="1"/>
    <col min="2045" max="2046" width="10.85546875" style="25" customWidth="1"/>
    <col min="2047" max="2047" width="5.7109375" style="25" customWidth="1"/>
    <col min="2048" max="2048" width="11.5703125" style="25" customWidth="1"/>
    <col min="2049" max="2049" width="9.140625" style="25"/>
    <col min="2050" max="2050" width="9.7109375" style="25" customWidth="1"/>
    <col min="2051" max="2051" width="8.5703125" style="25" customWidth="1"/>
    <col min="2052" max="2053" width="0" style="25" hidden="1" customWidth="1"/>
    <col min="2054" max="2054" width="8.28515625" style="25" customWidth="1"/>
    <col min="2055" max="2055" width="11.85546875" style="25" customWidth="1"/>
    <col min="2056" max="2056" width="11.42578125" style="25" customWidth="1"/>
    <col min="2057" max="2057" width="9.140625" style="25"/>
    <col min="2058" max="2058" width="7.85546875" style="25" customWidth="1"/>
    <col min="2059" max="2296" width="9.140625" style="25"/>
    <col min="2297" max="2297" width="14.85546875" style="25" customWidth="1"/>
    <col min="2298" max="2298" width="15.85546875" style="25" customWidth="1"/>
    <col min="2299" max="2299" width="9.85546875" style="25" customWidth="1"/>
    <col min="2300" max="2300" width="6.85546875" style="25" customWidth="1"/>
    <col min="2301" max="2302" width="10.85546875" style="25" customWidth="1"/>
    <col min="2303" max="2303" width="5.7109375" style="25" customWidth="1"/>
    <col min="2304" max="2304" width="11.5703125" style="25" customWidth="1"/>
    <col min="2305" max="2305" width="9.140625" style="25"/>
    <col min="2306" max="2306" width="9.7109375" style="25" customWidth="1"/>
    <col min="2307" max="2307" width="8.5703125" style="25" customWidth="1"/>
    <col min="2308" max="2309" width="0" style="25" hidden="1" customWidth="1"/>
    <col min="2310" max="2310" width="8.28515625" style="25" customWidth="1"/>
    <col min="2311" max="2311" width="11.85546875" style="25" customWidth="1"/>
    <col min="2312" max="2312" width="11.42578125" style="25" customWidth="1"/>
    <col min="2313" max="2313" width="9.140625" style="25"/>
    <col min="2314" max="2314" width="7.85546875" style="25" customWidth="1"/>
    <col min="2315" max="2552" width="9.140625" style="25"/>
    <col min="2553" max="2553" width="14.85546875" style="25" customWidth="1"/>
    <col min="2554" max="2554" width="15.85546875" style="25" customWidth="1"/>
    <col min="2555" max="2555" width="9.85546875" style="25" customWidth="1"/>
    <col min="2556" max="2556" width="6.85546875" style="25" customWidth="1"/>
    <col min="2557" max="2558" width="10.85546875" style="25" customWidth="1"/>
    <col min="2559" max="2559" width="5.7109375" style="25" customWidth="1"/>
    <col min="2560" max="2560" width="11.5703125" style="25" customWidth="1"/>
    <col min="2561" max="2561" width="9.140625" style="25"/>
    <col min="2562" max="2562" width="9.7109375" style="25" customWidth="1"/>
    <col min="2563" max="2563" width="8.5703125" style="25" customWidth="1"/>
    <col min="2564" max="2565" width="0" style="25" hidden="1" customWidth="1"/>
    <col min="2566" max="2566" width="8.28515625" style="25" customWidth="1"/>
    <col min="2567" max="2567" width="11.85546875" style="25" customWidth="1"/>
    <col min="2568" max="2568" width="11.42578125" style="25" customWidth="1"/>
    <col min="2569" max="2569" width="9.140625" style="25"/>
    <col min="2570" max="2570" width="7.85546875" style="25" customWidth="1"/>
    <col min="2571" max="2808" width="9.140625" style="25"/>
    <col min="2809" max="2809" width="14.85546875" style="25" customWidth="1"/>
    <col min="2810" max="2810" width="15.85546875" style="25" customWidth="1"/>
    <col min="2811" max="2811" width="9.85546875" style="25" customWidth="1"/>
    <col min="2812" max="2812" width="6.85546875" style="25" customWidth="1"/>
    <col min="2813" max="2814" width="10.85546875" style="25" customWidth="1"/>
    <col min="2815" max="2815" width="5.7109375" style="25" customWidth="1"/>
    <col min="2816" max="2816" width="11.5703125" style="25" customWidth="1"/>
    <col min="2817" max="2817" width="9.140625" style="25"/>
    <col min="2818" max="2818" width="9.7109375" style="25" customWidth="1"/>
    <col min="2819" max="2819" width="8.5703125" style="25" customWidth="1"/>
    <col min="2820" max="2821" width="0" style="25" hidden="1" customWidth="1"/>
    <col min="2822" max="2822" width="8.28515625" style="25" customWidth="1"/>
    <col min="2823" max="2823" width="11.85546875" style="25" customWidth="1"/>
    <col min="2824" max="2824" width="11.42578125" style="25" customWidth="1"/>
    <col min="2825" max="2825" width="9.140625" style="25"/>
    <col min="2826" max="2826" width="7.85546875" style="25" customWidth="1"/>
    <col min="2827" max="3064" width="9.140625" style="25"/>
    <col min="3065" max="3065" width="14.85546875" style="25" customWidth="1"/>
    <col min="3066" max="3066" width="15.85546875" style="25" customWidth="1"/>
    <col min="3067" max="3067" width="9.85546875" style="25" customWidth="1"/>
    <col min="3068" max="3068" width="6.85546875" style="25" customWidth="1"/>
    <col min="3069" max="3070" width="10.85546875" style="25" customWidth="1"/>
    <col min="3071" max="3071" width="5.7109375" style="25" customWidth="1"/>
    <col min="3072" max="3072" width="11.5703125" style="25" customWidth="1"/>
    <col min="3073" max="3073" width="9.140625" style="25"/>
    <col min="3074" max="3074" width="9.7109375" style="25" customWidth="1"/>
    <col min="3075" max="3075" width="8.5703125" style="25" customWidth="1"/>
    <col min="3076" max="3077" width="0" style="25" hidden="1" customWidth="1"/>
    <col min="3078" max="3078" width="8.28515625" style="25" customWidth="1"/>
    <col min="3079" max="3079" width="11.85546875" style="25" customWidth="1"/>
    <col min="3080" max="3080" width="11.42578125" style="25" customWidth="1"/>
    <col min="3081" max="3081" width="9.140625" style="25"/>
    <col min="3082" max="3082" width="7.85546875" style="25" customWidth="1"/>
    <col min="3083" max="3320" width="9.140625" style="25"/>
    <col min="3321" max="3321" width="14.85546875" style="25" customWidth="1"/>
    <col min="3322" max="3322" width="15.85546875" style="25" customWidth="1"/>
    <col min="3323" max="3323" width="9.85546875" style="25" customWidth="1"/>
    <col min="3324" max="3324" width="6.85546875" style="25" customWidth="1"/>
    <col min="3325" max="3326" width="10.85546875" style="25" customWidth="1"/>
    <col min="3327" max="3327" width="5.7109375" style="25" customWidth="1"/>
    <col min="3328" max="3328" width="11.5703125" style="25" customWidth="1"/>
    <col min="3329" max="3329" width="9.140625" style="25"/>
    <col min="3330" max="3330" width="9.7109375" style="25" customWidth="1"/>
    <col min="3331" max="3331" width="8.5703125" style="25" customWidth="1"/>
    <col min="3332" max="3333" width="0" style="25" hidden="1" customWidth="1"/>
    <col min="3334" max="3334" width="8.28515625" style="25" customWidth="1"/>
    <col min="3335" max="3335" width="11.85546875" style="25" customWidth="1"/>
    <col min="3336" max="3336" width="11.42578125" style="25" customWidth="1"/>
    <col min="3337" max="3337" width="9.140625" style="25"/>
    <col min="3338" max="3338" width="7.85546875" style="25" customWidth="1"/>
    <col min="3339" max="3576" width="9.140625" style="25"/>
    <col min="3577" max="3577" width="14.85546875" style="25" customWidth="1"/>
    <col min="3578" max="3578" width="15.85546875" style="25" customWidth="1"/>
    <col min="3579" max="3579" width="9.85546875" style="25" customWidth="1"/>
    <col min="3580" max="3580" width="6.85546875" style="25" customWidth="1"/>
    <col min="3581" max="3582" width="10.85546875" style="25" customWidth="1"/>
    <col min="3583" max="3583" width="5.7109375" style="25" customWidth="1"/>
    <col min="3584" max="3584" width="11.5703125" style="25" customWidth="1"/>
    <col min="3585" max="3585" width="9.140625" style="25"/>
    <col min="3586" max="3586" width="9.7109375" style="25" customWidth="1"/>
    <col min="3587" max="3587" width="8.5703125" style="25" customWidth="1"/>
    <col min="3588" max="3589" width="0" style="25" hidden="1" customWidth="1"/>
    <col min="3590" max="3590" width="8.28515625" style="25" customWidth="1"/>
    <col min="3591" max="3591" width="11.85546875" style="25" customWidth="1"/>
    <col min="3592" max="3592" width="11.42578125" style="25" customWidth="1"/>
    <col min="3593" max="3593" width="9.140625" style="25"/>
    <col min="3594" max="3594" width="7.85546875" style="25" customWidth="1"/>
    <col min="3595" max="3832" width="9.140625" style="25"/>
    <col min="3833" max="3833" width="14.85546875" style="25" customWidth="1"/>
    <col min="3834" max="3834" width="15.85546875" style="25" customWidth="1"/>
    <col min="3835" max="3835" width="9.85546875" style="25" customWidth="1"/>
    <col min="3836" max="3836" width="6.85546875" style="25" customWidth="1"/>
    <col min="3837" max="3838" width="10.85546875" style="25" customWidth="1"/>
    <col min="3839" max="3839" width="5.7109375" style="25" customWidth="1"/>
    <col min="3840" max="3840" width="11.5703125" style="25" customWidth="1"/>
    <col min="3841" max="3841" width="9.140625" style="25"/>
    <col min="3842" max="3842" width="9.7109375" style="25" customWidth="1"/>
    <col min="3843" max="3843" width="8.5703125" style="25" customWidth="1"/>
    <col min="3844" max="3845" width="0" style="25" hidden="1" customWidth="1"/>
    <col min="3846" max="3846" width="8.28515625" style="25" customWidth="1"/>
    <col min="3847" max="3847" width="11.85546875" style="25" customWidth="1"/>
    <col min="3848" max="3848" width="11.42578125" style="25" customWidth="1"/>
    <col min="3849" max="3849" width="9.140625" style="25"/>
    <col min="3850" max="3850" width="7.85546875" style="25" customWidth="1"/>
    <col min="3851" max="4088" width="9.140625" style="25"/>
    <col min="4089" max="4089" width="14.85546875" style="25" customWidth="1"/>
    <col min="4090" max="4090" width="15.85546875" style="25" customWidth="1"/>
    <col min="4091" max="4091" width="9.85546875" style="25" customWidth="1"/>
    <col min="4092" max="4092" width="6.85546875" style="25" customWidth="1"/>
    <col min="4093" max="4094" width="10.85546875" style="25" customWidth="1"/>
    <col min="4095" max="4095" width="5.7109375" style="25" customWidth="1"/>
    <col min="4096" max="4096" width="11.5703125" style="25" customWidth="1"/>
    <col min="4097" max="4097" width="9.140625" style="25"/>
    <col min="4098" max="4098" width="9.7109375" style="25" customWidth="1"/>
    <col min="4099" max="4099" width="8.5703125" style="25" customWidth="1"/>
    <col min="4100" max="4101" width="0" style="25" hidden="1" customWidth="1"/>
    <col min="4102" max="4102" width="8.28515625" style="25" customWidth="1"/>
    <col min="4103" max="4103" width="11.85546875" style="25" customWidth="1"/>
    <col min="4104" max="4104" width="11.42578125" style="25" customWidth="1"/>
    <col min="4105" max="4105" width="9.140625" style="25"/>
    <col min="4106" max="4106" width="7.85546875" style="25" customWidth="1"/>
    <col min="4107" max="4344" width="9.140625" style="25"/>
    <col min="4345" max="4345" width="14.85546875" style="25" customWidth="1"/>
    <col min="4346" max="4346" width="15.85546875" style="25" customWidth="1"/>
    <col min="4347" max="4347" width="9.85546875" style="25" customWidth="1"/>
    <col min="4348" max="4348" width="6.85546875" style="25" customWidth="1"/>
    <col min="4349" max="4350" width="10.85546875" style="25" customWidth="1"/>
    <col min="4351" max="4351" width="5.7109375" style="25" customWidth="1"/>
    <col min="4352" max="4352" width="11.5703125" style="25" customWidth="1"/>
    <col min="4353" max="4353" width="9.140625" style="25"/>
    <col min="4354" max="4354" width="9.7109375" style="25" customWidth="1"/>
    <col min="4355" max="4355" width="8.5703125" style="25" customWidth="1"/>
    <col min="4356" max="4357" width="0" style="25" hidden="1" customWidth="1"/>
    <col min="4358" max="4358" width="8.28515625" style="25" customWidth="1"/>
    <col min="4359" max="4359" width="11.85546875" style="25" customWidth="1"/>
    <col min="4360" max="4360" width="11.42578125" style="25" customWidth="1"/>
    <col min="4361" max="4361" width="9.140625" style="25"/>
    <col min="4362" max="4362" width="7.85546875" style="25" customWidth="1"/>
    <col min="4363" max="4600" width="9.140625" style="25"/>
    <col min="4601" max="4601" width="14.85546875" style="25" customWidth="1"/>
    <col min="4602" max="4602" width="15.85546875" style="25" customWidth="1"/>
    <col min="4603" max="4603" width="9.85546875" style="25" customWidth="1"/>
    <col min="4604" max="4604" width="6.85546875" style="25" customWidth="1"/>
    <col min="4605" max="4606" width="10.85546875" style="25" customWidth="1"/>
    <col min="4607" max="4607" width="5.7109375" style="25" customWidth="1"/>
    <col min="4608" max="4608" width="11.5703125" style="25" customWidth="1"/>
    <col min="4609" max="4609" width="9.140625" style="25"/>
    <col min="4610" max="4610" width="9.7109375" style="25" customWidth="1"/>
    <col min="4611" max="4611" width="8.5703125" style="25" customWidth="1"/>
    <col min="4612" max="4613" width="0" style="25" hidden="1" customWidth="1"/>
    <col min="4614" max="4614" width="8.28515625" style="25" customWidth="1"/>
    <col min="4615" max="4615" width="11.85546875" style="25" customWidth="1"/>
    <col min="4616" max="4616" width="11.42578125" style="25" customWidth="1"/>
    <col min="4617" max="4617" width="9.140625" style="25"/>
    <col min="4618" max="4618" width="7.85546875" style="25" customWidth="1"/>
    <col min="4619" max="4856" width="9.140625" style="25"/>
    <col min="4857" max="4857" width="14.85546875" style="25" customWidth="1"/>
    <col min="4858" max="4858" width="15.85546875" style="25" customWidth="1"/>
    <col min="4859" max="4859" width="9.85546875" style="25" customWidth="1"/>
    <col min="4860" max="4860" width="6.85546875" style="25" customWidth="1"/>
    <col min="4861" max="4862" width="10.85546875" style="25" customWidth="1"/>
    <col min="4863" max="4863" width="5.7109375" style="25" customWidth="1"/>
    <col min="4864" max="4864" width="11.5703125" style="25" customWidth="1"/>
    <col min="4865" max="4865" width="9.140625" style="25"/>
    <col min="4866" max="4866" width="9.7109375" style="25" customWidth="1"/>
    <col min="4867" max="4867" width="8.5703125" style="25" customWidth="1"/>
    <col min="4868" max="4869" width="0" style="25" hidden="1" customWidth="1"/>
    <col min="4870" max="4870" width="8.28515625" style="25" customWidth="1"/>
    <col min="4871" max="4871" width="11.85546875" style="25" customWidth="1"/>
    <col min="4872" max="4872" width="11.42578125" style="25" customWidth="1"/>
    <col min="4873" max="4873" width="9.140625" style="25"/>
    <col min="4874" max="4874" width="7.85546875" style="25" customWidth="1"/>
    <col min="4875" max="5112" width="9.140625" style="25"/>
    <col min="5113" max="5113" width="14.85546875" style="25" customWidth="1"/>
    <col min="5114" max="5114" width="15.85546875" style="25" customWidth="1"/>
    <col min="5115" max="5115" width="9.85546875" style="25" customWidth="1"/>
    <col min="5116" max="5116" width="6.85546875" style="25" customWidth="1"/>
    <col min="5117" max="5118" width="10.85546875" style="25" customWidth="1"/>
    <col min="5119" max="5119" width="5.7109375" style="25" customWidth="1"/>
    <col min="5120" max="5120" width="11.5703125" style="25" customWidth="1"/>
    <col min="5121" max="5121" width="9.140625" style="25"/>
    <col min="5122" max="5122" width="9.7109375" style="25" customWidth="1"/>
    <col min="5123" max="5123" width="8.5703125" style="25" customWidth="1"/>
    <col min="5124" max="5125" width="0" style="25" hidden="1" customWidth="1"/>
    <col min="5126" max="5126" width="8.28515625" style="25" customWidth="1"/>
    <col min="5127" max="5127" width="11.85546875" style="25" customWidth="1"/>
    <col min="5128" max="5128" width="11.42578125" style="25" customWidth="1"/>
    <col min="5129" max="5129" width="9.140625" style="25"/>
    <col min="5130" max="5130" width="7.85546875" style="25" customWidth="1"/>
    <col min="5131" max="5368" width="9.140625" style="25"/>
    <col min="5369" max="5369" width="14.85546875" style="25" customWidth="1"/>
    <col min="5370" max="5370" width="15.85546875" style="25" customWidth="1"/>
    <col min="5371" max="5371" width="9.85546875" style="25" customWidth="1"/>
    <col min="5372" max="5372" width="6.85546875" style="25" customWidth="1"/>
    <col min="5373" max="5374" width="10.85546875" style="25" customWidth="1"/>
    <col min="5375" max="5375" width="5.7109375" style="25" customWidth="1"/>
    <col min="5376" max="5376" width="11.5703125" style="25" customWidth="1"/>
    <col min="5377" max="5377" width="9.140625" style="25"/>
    <col min="5378" max="5378" width="9.7109375" style="25" customWidth="1"/>
    <col min="5379" max="5379" width="8.5703125" style="25" customWidth="1"/>
    <col min="5380" max="5381" width="0" style="25" hidden="1" customWidth="1"/>
    <col min="5382" max="5382" width="8.28515625" style="25" customWidth="1"/>
    <col min="5383" max="5383" width="11.85546875" style="25" customWidth="1"/>
    <col min="5384" max="5384" width="11.42578125" style="25" customWidth="1"/>
    <col min="5385" max="5385" width="9.140625" style="25"/>
    <col min="5386" max="5386" width="7.85546875" style="25" customWidth="1"/>
    <col min="5387" max="5624" width="9.140625" style="25"/>
    <col min="5625" max="5625" width="14.85546875" style="25" customWidth="1"/>
    <col min="5626" max="5626" width="15.85546875" style="25" customWidth="1"/>
    <col min="5627" max="5627" width="9.85546875" style="25" customWidth="1"/>
    <col min="5628" max="5628" width="6.85546875" style="25" customWidth="1"/>
    <col min="5629" max="5630" width="10.85546875" style="25" customWidth="1"/>
    <col min="5631" max="5631" width="5.7109375" style="25" customWidth="1"/>
    <col min="5632" max="5632" width="11.5703125" style="25" customWidth="1"/>
    <col min="5633" max="5633" width="9.140625" style="25"/>
    <col min="5634" max="5634" width="9.7109375" style="25" customWidth="1"/>
    <col min="5635" max="5635" width="8.5703125" style="25" customWidth="1"/>
    <col min="5636" max="5637" width="0" style="25" hidden="1" customWidth="1"/>
    <col min="5638" max="5638" width="8.28515625" style="25" customWidth="1"/>
    <col min="5639" max="5639" width="11.85546875" style="25" customWidth="1"/>
    <col min="5640" max="5640" width="11.42578125" style="25" customWidth="1"/>
    <col min="5641" max="5641" width="9.140625" style="25"/>
    <col min="5642" max="5642" width="7.85546875" style="25" customWidth="1"/>
    <col min="5643" max="5880" width="9.140625" style="25"/>
    <col min="5881" max="5881" width="14.85546875" style="25" customWidth="1"/>
    <col min="5882" max="5882" width="15.85546875" style="25" customWidth="1"/>
    <col min="5883" max="5883" width="9.85546875" style="25" customWidth="1"/>
    <col min="5884" max="5884" width="6.85546875" style="25" customWidth="1"/>
    <col min="5885" max="5886" width="10.85546875" style="25" customWidth="1"/>
    <col min="5887" max="5887" width="5.7109375" style="25" customWidth="1"/>
    <col min="5888" max="5888" width="11.5703125" style="25" customWidth="1"/>
    <col min="5889" max="5889" width="9.140625" style="25"/>
    <col min="5890" max="5890" width="9.7109375" style="25" customWidth="1"/>
    <col min="5891" max="5891" width="8.5703125" style="25" customWidth="1"/>
    <col min="5892" max="5893" width="0" style="25" hidden="1" customWidth="1"/>
    <col min="5894" max="5894" width="8.28515625" style="25" customWidth="1"/>
    <col min="5895" max="5895" width="11.85546875" style="25" customWidth="1"/>
    <col min="5896" max="5896" width="11.42578125" style="25" customWidth="1"/>
    <col min="5897" max="5897" width="9.140625" style="25"/>
    <col min="5898" max="5898" width="7.85546875" style="25" customWidth="1"/>
    <col min="5899" max="6136" width="9.140625" style="25"/>
    <col min="6137" max="6137" width="14.85546875" style="25" customWidth="1"/>
    <col min="6138" max="6138" width="15.85546875" style="25" customWidth="1"/>
    <col min="6139" max="6139" width="9.85546875" style="25" customWidth="1"/>
    <col min="6140" max="6140" width="6.85546875" style="25" customWidth="1"/>
    <col min="6141" max="6142" width="10.85546875" style="25" customWidth="1"/>
    <col min="6143" max="6143" width="5.7109375" style="25" customWidth="1"/>
    <col min="6144" max="6144" width="11.5703125" style="25" customWidth="1"/>
    <col min="6145" max="6145" width="9.140625" style="25"/>
    <col min="6146" max="6146" width="9.7109375" style="25" customWidth="1"/>
    <col min="6147" max="6147" width="8.5703125" style="25" customWidth="1"/>
    <col min="6148" max="6149" width="0" style="25" hidden="1" customWidth="1"/>
    <col min="6150" max="6150" width="8.28515625" style="25" customWidth="1"/>
    <col min="6151" max="6151" width="11.85546875" style="25" customWidth="1"/>
    <col min="6152" max="6152" width="11.42578125" style="25" customWidth="1"/>
    <col min="6153" max="6153" width="9.140625" style="25"/>
    <col min="6154" max="6154" width="7.85546875" style="25" customWidth="1"/>
    <col min="6155" max="6392" width="9.140625" style="25"/>
    <col min="6393" max="6393" width="14.85546875" style="25" customWidth="1"/>
    <col min="6394" max="6394" width="15.85546875" style="25" customWidth="1"/>
    <col min="6395" max="6395" width="9.85546875" style="25" customWidth="1"/>
    <col min="6396" max="6396" width="6.85546875" style="25" customWidth="1"/>
    <col min="6397" max="6398" width="10.85546875" style="25" customWidth="1"/>
    <col min="6399" max="6399" width="5.7109375" style="25" customWidth="1"/>
    <col min="6400" max="6400" width="11.5703125" style="25" customWidth="1"/>
    <col min="6401" max="6401" width="9.140625" style="25"/>
    <col min="6402" max="6402" width="9.7109375" style="25" customWidth="1"/>
    <col min="6403" max="6403" width="8.5703125" style="25" customWidth="1"/>
    <col min="6404" max="6405" width="0" style="25" hidden="1" customWidth="1"/>
    <col min="6406" max="6406" width="8.28515625" style="25" customWidth="1"/>
    <col min="6407" max="6407" width="11.85546875" style="25" customWidth="1"/>
    <col min="6408" max="6408" width="11.42578125" style="25" customWidth="1"/>
    <col min="6409" max="6409" width="9.140625" style="25"/>
    <col min="6410" max="6410" width="7.85546875" style="25" customWidth="1"/>
    <col min="6411" max="6648" width="9.140625" style="25"/>
    <col min="6649" max="6649" width="14.85546875" style="25" customWidth="1"/>
    <col min="6650" max="6650" width="15.85546875" style="25" customWidth="1"/>
    <col min="6651" max="6651" width="9.85546875" style="25" customWidth="1"/>
    <col min="6652" max="6652" width="6.85546875" style="25" customWidth="1"/>
    <col min="6653" max="6654" width="10.85546875" style="25" customWidth="1"/>
    <col min="6655" max="6655" width="5.7109375" style="25" customWidth="1"/>
    <col min="6656" max="6656" width="11.5703125" style="25" customWidth="1"/>
    <col min="6657" max="6657" width="9.140625" style="25"/>
    <col min="6658" max="6658" width="9.7109375" style="25" customWidth="1"/>
    <col min="6659" max="6659" width="8.5703125" style="25" customWidth="1"/>
    <col min="6660" max="6661" width="0" style="25" hidden="1" customWidth="1"/>
    <col min="6662" max="6662" width="8.28515625" style="25" customWidth="1"/>
    <col min="6663" max="6663" width="11.85546875" style="25" customWidth="1"/>
    <col min="6664" max="6664" width="11.42578125" style="25" customWidth="1"/>
    <col min="6665" max="6665" width="9.140625" style="25"/>
    <col min="6666" max="6666" width="7.85546875" style="25" customWidth="1"/>
    <col min="6667" max="6904" width="9.140625" style="25"/>
    <col min="6905" max="6905" width="14.85546875" style="25" customWidth="1"/>
    <col min="6906" max="6906" width="15.85546875" style="25" customWidth="1"/>
    <col min="6907" max="6907" width="9.85546875" style="25" customWidth="1"/>
    <col min="6908" max="6908" width="6.85546875" style="25" customWidth="1"/>
    <col min="6909" max="6910" width="10.85546875" style="25" customWidth="1"/>
    <col min="6911" max="6911" width="5.7109375" style="25" customWidth="1"/>
    <col min="6912" max="6912" width="11.5703125" style="25" customWidth="1"/>
    <col min="6913" max="6913" width="9.140625" style="25"/>
    <col min="6914" max="6914" width="9.7109375" style="25" customWidth="1"/>
    <col min="6915" max="6915" width="8.5703125" style="25" customWidth="1"/>
    <col min="6916" max="6917" width="0" style="25" hidden="1" customWidth="1"/>
    <col min="6918" max="6918" width="8.28515625" style="25" customWidth="1"/>
    <col min="6919" max="6919" width="11.85546875" style="25" customWidth="1"/>
    <col min="6920" max="6920" width="11.42578125" style="25" customWidth="1"/>
    <col min="6921" max="6921" width="9.140625" style="25"/>
    <col min="6922" max="6922" width="7.85546875" style="25" customWidth="1"/>
    <col min="6923" max="7160" width="9.140625" style="25"/>
    <col min="7161" max="7161" width="14.85546875" style="25" customWidth="1"/>
    <col min="7162" max="7162" width="15.85546875" style="25" customWidth="1"/>
    <col min="7163" max="7163" width="9.85546875" style="25" customWidth="1"/>
    <col min="7164" max="7164" width="6.85546875" style="25" customWidth="1"/>
    <col min="7165" max="7166" width="10.85546875" style="25" customWidth="1"/>
    <col min="7167" max="7167" width="5.7109375" style="25" customWidth="1"/>
    <col min="7168" max="7168" width="11.5703125" style="25" customWidth="1"/>
    <col min="7169" max="7169" width="9.140625" style="25"/>
    <col min="7170" max="7170" width="9.7109375" style="25" customWidth="1"/>
    <col min="7171" max="7171" width="8.5703125" style="25" customWidth="1"/>
    <col min="7172" max="7173" width="0" style="25" hidden="1" customWidth="1"/>
    <col min="7174" max="7174" width="8.28515625" style="25" customWidth="1"/>
    <col min="7175" max="7175" width="11.85546875" style="25" customWidth="1"/>
    <col min="7176" max="7176" width="11.42578125" style="25" customWidth="1"/>
    <col min="7177" max="7177" width="9.140625" style="25"/>
    <col min="7178" max="7178" width="7.85546875" style="25" customWidth="1"/>
    <col min="7179" max="7416" width="9.140625" style="25"/>
    <col min="7417" max="7417" width="14.85546875" style="25" customWidth="1"/>
    <col min="7418" max="7418" width="15.85546875" style="25" customWidth="1"/>
    <col min="7419" max="7419" width="9.85546875" style="25" customWidth="1"/>
    <col min="7420" max="7420" width="6.85546875" style="25" customWidth="1"/>
    <col min="7421" max="7422" width="10.85546875" style="25" customWidth="1"/>
    <col min="7423" max="7423" width="5.7109375" style="25" customWidth="1"/>
    <col min="7424" max="7424" width="11.5703125" style="25" customWidth="1"/>
    <col min="7425" max="7425" width="9.140625" style="25"/>
    <col min="7426" max="7426" width="9.7109375" style="25" customWidth="1"/>
    <col min="7427" max="7427" width="8.5703125" style="25" customWidth="1"/>
    <col min="7428" max="7429" width="0" style="25" hidden="1" customWidth="1"/>
    <col min="7430" max="7430" width="8.28515625" style="25" customWidth="1"/>
    <col min="7431" max="7431" width="11.85546875" style="25" customWidth="1"/>
    <col min="7432" max="7432" width="11.42578125" style="25" customWidth="1"/>
    <col min="7433" max="7433" width="9.140625" style="25"/>
    <col min="7434" max="7434" width="7.85546875" style="25" customWidth="1"/>
    <col min="7435" max="7672" width="9.140625" style="25"/>
    <col min="7673" max="7673" width="14.85546875" style="25" customWidth="1"/>
    <col min="7674" max="7674" width="15.85546875" style="25" customWidth="1"/>
    <col min="7675" max="7675" width="9.85546875" style="25" customWidth="1"/>
    <col min="7676" max="7676" width="6.85546875" style="25" customWidth="1"/>
    <col min="7677" max="7678" width="10.85546875" style="25" customWidth="1"/>
    <col min="7679" max="7679" width="5.7109375" style="25" customWidth="1"/>
    <col min="7680" max="7680" width="11.5703125" style="25" customWidth="1"/>
    <col min="7681" max="7681" width="9.140625" style="25"/>
    <col min="7682" max="7682" width="9.7109375" style="25" customWidth="1"/>
    <col min="7683" max="7683" width="8.5703125" style="25" customWidth="1"/>
    <col min="7684" max="7685" width="0" style="25" hidden="1" customWidth="1"/>
    <col min="7686" max="7686" width="8.28515625" style="25" customWidth="1"/>
    <col min="7687" max="7687" width="11.85546875" style="25" customWidth="1"/>
    <col min="7688" max="7688" width="11.42578125" style="25" customWidth="1"/>
    <col min="7689" max="7689" width="9.140625" style="25"/>
    <col min="7690" max="7690" width="7.85546875" style="25" customWidth="1"/>
    <col min="7691" max="7928" width="9.140625" style="25"/>
    <col min="7929" max="7929" width="14.85546875" style="25" customWidth="1"/>
    <col min="7930" max="7930" width="15.85546875" style="25" customWidth="1"/>
    <col min="7931" max="7931" width="9.85546875" style="25" customWidth="1"/>
    <col min="7932" max="7932" width="6.85546875" style="25" customWidth="1"/>
    <col min="7933" max="7934" width="10.85546875" style="25" customWidth="1"/>
    <col min="7935" max="7935" width="5.7109375" style="25" customWidth="1"/>
    <col min="7936" max="7936" width="11.5703125" style="25" customWidth="1"/>
    <col min="7937" max="7937" width="9.140625" style="25"/>
    <col min="7938" max="7938" width="9.7109375" style="25" customWidth="1"/>
    <col min="7939" max="7939" width="8.5703125" style="25" customWidth="1"/>
    <col min="7940" max="7941" width="0" style="25" hidden="1" customWidth="1"/>
    <col min="7942" max="7942" width="8.28515625" style="25" customWidth="1"/>
    <col min="7943" max="7943" width="11.85546875" style="25" customWidth="1"/>
    <col min="7944" max="7944" width="11.42578125" style="25" customWidth="1"/>
    <col min="7945" max="7945" width="9.140625" style="25"/>
    <col min="7946" max="7946" width="7.85546875" style="25" customWidth="1"/>
    <col min="7947" max="8184" width="9.140625" style="25"/>
    <col min="8185" max="8185" width="14.85546875" style="25" customWidth="1"/>
    <col min="8186" max="8186" width="15.85546875" style="25" customWidth="1"/>
    <col min="8187" max="8187" width="9.85546875" style="25" customWidth="1"/>
    <col min="8188" max="8188" width="6.85546875" style="25" customWidth="1"/>
    <col min="8189" max="8190" width="10.85546875" style="25" customWidth="1"/>
    <col min="8191" max="8191" width="5.7109375" style="25" customWidth="1"/>
    <col min="8192" max="8192" width="11.5703125" style="25" customWidth="1"/>
    <col min="8193" max="8193" width="9.140625" style="25"/>
    <col min="8194" max="8194" width="9.7109375" style="25" customWidth="1"/>
    <col min="8195" max="8195" width="8.5703125" style="25" customWidth="1"/>
    <col min="8196" max="8197" width="0" style="25" hidden="1" customWidth="1"/>
    <col min="8198" max="8198" width="8.28515625" style="25" customWidth="1"/>
    <col min="8199" max="8199" width="11.85546875" style="25" customWidth="1"/>
    <col min="8200" max="8200" width="11.42578125" style="25" customWidth="1"/>
    <col min="8201" max="8201" width="9.140625" style="25"/>
    <col min="8202" max="8202" width="7.85546875" style="25" customWidth="1"/>
    <col min="8203" max="8440" width="9.140625" style="25"/>
    <col min="8441" max="8441" width="14.85546875" style="25" customWidth="1"/>
    <col min="8442" max="8442" width="15.85546875" style="25" customWidth="1"/>
    <col min="8443" max="8443" width="9.85546875" style="25" customWidth="1"/>
    <col min="8444" max="8444" width="6.85546875" style="25" customWidth="1"/>
    <col min="8445" max="8446" width="10.85546875" style="25" customWidth="1"/>
    <col min="8447" max="8447" width="5.7109375" style="25" customWidth="1"/>
    <col min="8448" max="8448" width="11.5703125" style="25" customWidth="1"/>
    <col min="8449" max="8449" width="9.140625" style="25"/>
    <col min="8450" max="8450" width="9.7109375" style="25" customWidth="1"/>
    <col min="8451" max="8451" width="8.5703125" style="25" customWidth="1"/>
    <col min="8452" max="8453" width="0" style="25" hidden="1" customWidth="1"/>
    <col min="8454" max="8454" width="8.28515625" style="25" customWidth="1"/>
    <col min="8455" max="8455" width="11.85546875" style="25" customWidth="1"/>
    <col min="8456" max="8456" width="11.42578125" style="25" customWidth="1"/>
    <col min="8457" max="8457" width="9.140625" style="25"/>
    <col min="8458" max="8458" width="7.85546875" style="25" customWidth="1"/>
    <col min="8459" max="8696" width="9.140625" style="25"/>
    <col min="8697" max="8697" width="14.85546875" style="25" customWidth="1"/>
    <col min="8698" max="8698" width="15.85546875" style="25" customWidth="1"/>
    <col min="8699" max="8699" width="9.85546875" style="25" customWidth="1"/>
    <col min="8700" max="8700" width="6.85546875" style="25" customWidth="1"/>
    <col min="8701" max="8702" width="10.85546875" style="25" customWidth="1"/>
    <col min="8703" max="8703" width="5.7109375" style="25" customWidth="1"/>
    <col min="8704" max="8704" width="11.5703125" style="25" customWidth="1"/>
    <col min="8705" max="8705" width="9.140625" style="25"/>
    <col min="8706" max="8706" width="9.7109375" style="25" customWidth="1"/>
    <col min="8707" max="8707" width="8.5703125" style="25" customWidth="1"/>
    <col min="8708" max="8709" width="0" style="25" hidden="1" customWidth="1"/>
    <col min="8710" max="8710" width="8.28515625" style="25" customWidth="1"/>
    <col min="8711" max="8711" width="11.85546875" style="25" customWidth="1"/>
    <col min="8712" max="8712" width="11.42578125" style="25" customWidth="1"/>
    <col min="8713" max="8713" width="9.140625" style="25"/>
    <col min="8714" max="8714" width="7.85546875" style="25" customWidth="1"/>
    <col min="8715" max="8952" width="9.140625" style="25"/>
    <col min="8953" max="8953" width="14.85546875" style="25" customWidth="1"/>
    <col min="8954" max="8954" width="15.85546875" style="25" customWidth="1"/>
    <col min="8955" max="8955" width="9.85546875" style="25" customWidth="1"/>
    <col min="8956" max="8956" width="6.85546875" style="25" customWidth="1"/>
    <col min="8957" max="8958" width="10.85546875" style="25" customWidth="1"/>
    <col min="8959" max="8959" width="5.7109375" style="25" customWidth="1"/>
    <col min="8960" max="8960" width="11.5703125" style="25" customWidth="1"/>
    <col min="8961" max="8961" width="9.140625" style="25"/>
    <col min="8962" max="8962" width="9.7109375" style="25" customWidth="1"/>
    <col min="8963" max="8963" width="8.5703125" style="25" customWidth="1"/>
    <col min="8964" max="8965" width="0" style="25" hidden="1" customWidth="1"/>
    <col min="8966" max="8966" width="8.28515625" style="25" customWidth="1"/>
    <col min="8967" max="8967" width="11.85546875" style="25" customWidth="1"/>
    <col min="8968" max="8968" width="11.42578125" style="25" customWidth="1"/>
    <col min="8969" max="8969" width="9.140625" style="25"/>
    <col min="8970" max="8970" width="7.85546875" style="25" customWidth="1"/>
    <col min="8971" max="9208" width="9.140625" style="25"/>
    <col min="9209" max="9209" width="14.85546875" style="25" customWidth="1"/>
    <col min="9210" max="9210" width="15.85546875" style="25" customWidth="1"/>
    <col min="9211" max="9211" width="9.85546875" style="25" customWidth="1"/>
    <col min="9212" max="9212" width="6.85546875" style="25" customWidth="1"/>
    <col min="9213" max="9214" width="10.85546875" style="25" customWidth="1"/>
    <col min="9215" max="9215" width="5.7109375" style="25" customWidth="1"/>
    <col min="9216" max="9216" width="11.5703125" style="25" customWidth="1"/>
    <col min="9217" max="9217" width="9.140625" style="25"/>
    <col min="9218" max="9218" width="9.7109375" style="25" customWidth="1"/>
    <col min="9219" max="9219" width="8.5703125" style="25" customWidth="1"/>
    <col min="9220" max="9221" width="0" style="25" hidden="1" customWidth="1"/>
    <col min="9222" max="9222" width="8.28515625" style="25" customWidth="1"/>
    <col min="9223" max="9223" width="11.85546875" style="25" customWidth="1"/>
    <col min="9224" max="9224" width="11.42578125" style="25" customWidth="1"/>
    <col min="9225" max="9225" width="9.140625" style="25"/>
    <col min="9226" max="9226" width="7.85546875" style="25" customWidth="1"/>
    <col min="9227" max="9464" width="9.140625" style="25"/>
    <col min="9465" max="9465" width="14.85546875" style="25" customWidth="1"/>
    <col min="9466" max="9466" width="15.85546875" style="25" customWidth="1"/>
    <col min="9467" max="9467" width="9.85546875" style="25" customWidth="1"/>
    <col min="9468" max="9468" width="6.85546875" style="25" customWidth="1"/>
    <col min="9469" max="9470" width="10.85546875" style="25" customWidth="1"/>
    <col min="9471" max="9471" width="5.7109375" style="25" customWidth="1"/>
    <col min="9472" max="9472" width="11.5703125" style="25" customWidth="1"/>
    <col min="9473" max="9473" width="9.140625" style="25"/>
    <col min="9474" max="9474" width="9.7109375" style="25" customWidth="1"/>
    <col min="9475" max="9475" width="8.5703125" style="25" customWidth="1"/>
    <col min="9476" max="9477" width="0" style="25" hidden="1" customWidth="1"/>
    <col min="9478" max="9478" width="8.28515625" style="25" customWidth="1"/>
    <col min="9479" max="9479" width="11.85546875" style="25" customWidth="1"/>
    <col min="9480" max="9480" width="11.42578125" style="25" customWidth="1"/>
    <col min="9481" max="9481" width="9.140625" style="25"/>
    <col min="9482" max="9482" width="7.85546875" style="25" customWidth="1"/>
    <col min="9483" max="9720" width="9.140625" style="25"/>
    <col min="9721" max="9721" width="14.85546875" style="25" customWidth="1"/>
    <col min="9722" max="9722" width="15.85546875" style="25" customWidth="1"/>
    <col min="9723" max="9723" width="9.85546875" style="25" customWidth="1"/>
    <col min="9724" max="9724" width="6.85546875" style="25" customWidth="1"/>
    <col min="9725" max="9726" width="10.85546875" style="25" customWidth="1"/>
    <col min="9727" max="9727" width="5.7109375" style="25" customWidth="1"/>
    <col min="9728" max="9728" width="11.5703125" style="25" customWidth="1"/>
    <col min="9729" max="9729" width="9.140625" style="25"/>
    <col min="9730" max="9730" width="9.7109375" style="25" customWidth="1"/>
    <col min="9731" max="9731" width="8.5703125" style="25" customWidth="1"/>
    <col min="9732" max="9733" width="0" style="25" hidden="1" customWidth="1"/>
    <col min="9734" max="9734" width="8.28515625" style="25" customWidth="1"/>
    <col min="9735" max="9735" width="11.85546875" style="25" customWidth="1"/>
    <col min="9736" max="9736" width="11.42578125" style="25" customWidth="1"/>
    <col min="9737" max="9737" width="9.140625" style="25"/>
    <col min="9738" max="9738" width="7.85546875" style="25" customWidth="1"/>
    <col min="9739" max="9976" width="9.140625" style="25"/>
    <col min="9977" max="9977" width="14.85546875" style="25" customWidth="1"/>
    <col min="9978" max="9978" width="15.85546875" style="25" customWidth="1"/>
    <col min="9979" max="9979" width="9.85546875" style="25" customWidth="1"/>
    <col min="9980" max="9980" width="6.85546875" style="25" customWidth="1"/>
    <col min="9981" max="9982" width="10.85546875" style="25" customWidth="1"/>
    <col min="9983" max="9983" width="5.7109375" style="25" customWidth="1"/>
    <col min="9984" max="9984" width="11.5703125" style="25" customWidth="1"/>
    <col min="9985" max="9985" width="9.140625" style="25"/>
    <col min="9986" max="9986" width="9.7109375" style="25" customWidth="1"/>
    <col min="9987" max="9987" width="8.5703125" style="25" customWidth="1"/>
    <col min="9988" max="9989" width="0" style="25" hidden="1" customWidth="1"/>
    <col min="9990" max="9990" width="8.28515625" style="25" customWidth="1"/>
    <col min="9991" max="9991" width="11.85546875" style="25" customWidth="1"/>
    <col min="9992" max="9992" width="11.42578125" style="25" customWidth="1"/>
    <col min="9993" max="9993" width="9.140625" style="25"/>
    <col min="9994" max="9994" width="7.85546875" style="25" customWidth="1"/>
    <col min="9995" max="10232" width="9.140625" style="25"/>
    <col min="10233" max="10233" width="14.85546875" style="25" customWidth="1"/>
    <col min="10234" max="10234" width="15.85546875" style="25" customWidth="1"/>
    <col min="10235" max="10235" width="9.85546875" style="25" customWidth="1"/>
    <col min="10236" max="10236" width="6.85546875" style="25" customWidth="1"/>
    <col min="10237" max="10238" width="10.85546875" style="25" customWidth="1"/>
    <col min="10239" max="10239" width="5.7109375" style="25" customWidth="1"/>
    <col min="10240" max="10240" width="11.5703125" style="25" customWidth="1"/>
    <col min="10241" max="10241" width="9.140625" style="25"/>
    <col min="10242" max="10242" width="9.7109375" style="25" customWidth="1"/>
    <col min="10243" max="10243" width="8.5703125" style="25" customWidth="1"/>
    <col min="10244" max="10245" width="0" style="25" hidden="1" customWidth="1"/>
    <col min="10246" max="10246" width="8.28515625" style="25" customWidth="1"/>
    <col min="10247" max="10247" width="11.85546875" style="25" customWidth="1"/>
    <col min="10248" max="10248" width="11.42578125" style="25" customWidth="1"/>
    <col min="10249" max="10249" width="9.140625" style="25"/>
    <col min="10250" max="10250" width="7.85546875" style="25" customWidth="1"/>
    <col min="10251" max="10488" width="9.140625" style="25"/>
    <col min="10489" max="10489" width="14.85546875" style="25" customWidth="1"/>
    <col min="10490" max="10490" width="15.85546875" style="25" customWidth="1"/>
    <col min="10491" max="10491" width="9.85546875" style="25" customWidth="1"/>
    <col min="10492" max="10492" width="6.85546875" style="25" customWidth="1"/>
    <col min="10493" max="10494" width="10.85546875" style="25" customWidth="1"/>
    <col min="10495" max="10495" width="5.7109375" style="25" customWidth="1"/>
    <col min="10496" max="10496" width="11.5703125" style="25" customWidth="1"/>
    <col min="10497" max="10497" width="9.140625" style="25"/>
    <col min="10498" max="10498" width="9.7109375" style="25" customWidth="1"/>
    <col min="10499" max="10499" width="8.5703125" style="25" customWidth="1"/>
    <col min="10500" max="10501" width="0" style="25" hidden="1" customWidth="1"/>
    <col min="10502" max="10502" width="8.28515625" style="25" customWidth="1"/>
    <col min="10503" max="10503" width="11.85546875" style="25" customWidth="1"/>
    <col min="10504" max="10504" width="11.42578125" style="25" customWidth="1"/>
    <col min="10505" max="10505" width="9.140625" style="25"/>
    <col min="10506" max="10506" width="7.85546875" style="25" customWidth="1"/>
    <col min="10507" max="10744" width="9.140625" style="25"/>
    <col min="10745" max="10745" width="14.85546875" style="25" customWidth="1"/>
    <col min="10746" max="10746" width="15.85546875" style="25" customWidth="1"/>
    <col min="10747" max="10747" width="9.85546875" style="25" customWidth="1"/>
    <col min="10748" max="10748" width="6.85546875" style="25" customWidth="1"/>
    <col min="10749" max="10750" width="10.85546875" style="25" customWidth="1"/>
    <col min="10751" max="10751" width="5.7109375" style="25" customWidth="1"/>
    <col min="10752" max="10752" width="11.5703125" style="25" customWidth="1"/>
    <col min="10753" max="10753" width="9.140625" style="25"/>
    <col min="10754" max="10754" width="9.7109375" style="25" customWidth="1"/>
    <col min="10755" max="10755" width="8.5703125" style="25" customWidth="1"/>
    <col min="10756" max="10757" width="0" style="25" hidden="1" customWidth="1"/>
    <col min="10758" max="10758" width="8.28515625" style="25" customWidth="1"/>
    <col min="10759" max="10759" width="11.85546875" style="25" customWidth="1"/>
    <col min="10760" max="10760" width="11.42578125" style="25" customWidth="1"/>
    <col min="10761" max="10761" width="9.140625" style="25"/>
    <col min="10762" max="10762" width="7.85546875" style="25" customWidth="1"/>
    <col min="10763" max="11000" width="9.140625" style="25"/>
    <col min="11001" max="11001" width="14.85546875" style="25" customWidth="1"/>
    <col min="11002" max="11002" width="15.85546875" style="25" customWidth="1"/>
    <col min="11003" max="11003" width="9.85546875" style="25" customWidth="1"/>
    <col min="11004" max="11004" width="6.85546875" style="25" customWidth="1"/>
    <col min="11005" max="11006" width="10.85546875" style="25" customWidth="1"/>
    <col min="11007" max="11007" width="5.7109375" style="25" customWidth="1"/>
    <col min="11008" max="11008" width="11.5703125" style="25" customWidth="1"/>
    <col min="11009" max="11009" width="9.140625" style="25"/>
    <col min="11010" max="11010" width="9.7109375" style="25" customWidth="1"/>
    <col min="11011" max="11011" width="8.5703125" style="25" customWidth="1"/>
    <col min="11012" max="11013" width="0" style="25" hidden="1" customWidth="1"/>
    <col min="11014" max="11014" width="8.28515625" style="25" customWidth="1"/>
    <col min="11015" max="11015" width="11.85546875" style="25" customWidth="1"/>
    <col min="11016" max="11016" width="11.42578125" style="25" customWidth="1"/>
    <col min="11017" max="11017" width="9.140625" style="25"/>
    <col min="11018" max="11018" width="7.85546875" style="25" customWidth="1"/>
    <col min="11019" max="11256" width="9.140625" style="25"/>
    <col min="11257" max="11257" width="14.85546875" style="25" customWidth="1"/>
    <col min="11258" max="11258" width="15.85546875" style="25" customWidth="1"/>
    <col min="11259" max="11259" width="9.85546875" style="25" customWidth="1"/>
    <col min="11260" max="11260" width="6.85546875" style="25" customWidth="1"/>
    <col min="11261" max="11262" width="10.85546875" style="25" customWidth="1"/>
    <col min="11263" max="11263" width="5.7109375" style="25" customWidth="1"/>
    <col min="11264" max="11264" width="11.5703125" style="25" customWidth="1"/>
    <col min="11265" max="11265" width="9.140625" style="25"/>
    <col min="11266" max="11266" width="9.7109375" style="25" customWidth="1"/>
    <col min="11267" max="11267" width="8.5703125" style="25" customWidth="1"/>
    <col min="11268" max="11269" width="0" style="25" hidden="1" customWidth="1"/>
    <col min="11270" max="11270" width="8.28515625" style="25" customWidth="1"/>
    <col min="11271" max="11271" width="11.85546875" style="25" customWidth="1"/>
    <col min="11272" max="11272" width="11.42578125" style="25" customWidth="1"/>
    <col min="11273" max="11273" width="9.140625" style="25"/>
    <col min="11274" max="11274" width="7.85546875" style="25" customWidth="1"/>
    <col min="11275" max="11512" width="9.140625" style="25"/>
    <col min="11513" max="11513" width="14.85546875" style="25" customWidth="1"/>
    <col min="11514" max="11514" width="15.85546875" style="25" customWidth="1"/>
    <col min="11515" max="11515" width="9.85546875" style="25" customWidth="1"/>
    <col min="11516" max="11516" width="6.85546875" style="25" customWidth="1"/>
    <col min="11517" max="11518" width="10.85546875" style="25" customWidth="1"/>
    <col min="11519" max="11519" width="5.7109375" style="25" customWidth="1"/>
    <col min="11520" max="11520" width="11.5703125" style="25" customWidth="1"/>
    <col min="11521" max="11521" width="9.140625" style="25"/>
    <col min="11522" max="11522" width="9.7109375" style="25" customWidth="1"/>
    <col min="11523" max="11523" width="8.5703125" style="25" customWidth="1"/>
    <col min="11524" max="11525" width="0" style="25" hidden="1" customWidth="1"/>
    <col min="11526" max="11526" width="8.28515625" style="25" customWidth="1"/>
    <col min="11527" max="11527" width="11.85546875" style="25" customWidth="1"/>
    <col min="11528" max="11528" width="11.42578125" style="25" customWidth="1"/>
    <col min="11529" max="11529" width="9.140625" style="25"/>
    <col min="11530" max="11530" width="7.85546875" style="25" customWidth="1"/>
    <col min="11531" max="11768" width="9.140625" style="25"/>
    <col min="11769" max="11769" width="14.85546875" style="25" customWidth="1"/>
    <col min="11770" max="11770" width="15.85546875" style="25" customWidth="1"/>
    <col min="11771" max="11771" width="9.85546875" style="25" customWidth="1"/>
    <col min="11772" max="11772" width="6.85546875" style="25" customWidth="1"/>
    <col min="11773" max="11774" width="10.85546875" style="25" customWidth="1"/>
    <col min="11775" max="11775" width="5.7109375" style="25" customWidth="1"/>
    <col min="11776" max="11776" width="11.5703125" style="25" customWidth="1"/>
    <col min="11777" max="11777" width="9.140625" style="25"/>
    <col min="11778" max="11778" width="9.7109375" style="25" customWidth="1"/>
    <col min="11779" max="11779" width="8.5703125" style="25" customWidth="1"/>
    <col min="11780" max="11781" width="0" style="25" hidden="1" customWidth="1"/>
    <col min="11782" max="11782" width="8.28515625" style="25" customWidth="1"/>
    <col min="11783" max="11783" width="11.85546875" style="25" customWidth="1"/>
    <col min="11784" max="11784" width="11.42578125" style="25" customWidth="1"/>
    <col min="11785" max="11785" width="9.140625" style="25"/>
    <col min="11786" max="11786" width="7.85546875" style="25" customWidth="1"/>
    <col min="11787" max="12024" width="9.140625" style="25"/>
    <col min="12025" max="12025" width="14.85546875" style="25" customWidth="1"/>
    <col min="12026" max="12026" width="15.85546875" style="25" customWidth="1"/>
    <col min="12027" max="12027" width="9.85546875" style="25" customWidth="1"/>
    <col min="12028" max="12028" width="6.85546875" style="25" customWidth="1"/>
    <col min="12029" max="12030" width="10.85546875" style="25" customWidth="1"/>
    <col min="12031" max="12031" width="5.7109375" style="25" customWidth="1"/>
    <col min="12032" max="12032" width="11.5703125" style="25" customWidth="1"/>
    <col min="12033" max="12033" width="9.140625" style="25"/>
    <col min="12034" max="12034" width="9.7109375" style="25" customWidth="1"/>
    <col min="12035" max="12035" width="8.5703125" style="25" customWidth="1"/>
    <col min="12036" max="12037" width="0" style="25" hidden="1" customWidth="1"/>
    <col min="12038" max="12038" width="8.28515625" style="25" customWidth="1"/>
    <col min="12039" max="12039" width="11.85546875" style="25" customWidth="1"/>
    <col min="12040" max="12040" width="11.42578125" style="25" customWidth="1"/>
    <col min="12041" max="12041" width="9.140625" style="25"/>
    <col min="12042" max="12042" width="7.85546875" style="25" customWidth="1"/>
    <col min="12043" max="12280" width="9.140625" style="25"/>
    <col min="12281" max="12281" width="14.85546875" style="25" customWidth="1"/>
    <col min="12282" max="12282" width="15.85546875" style="25" customWidth="1"/>
    <col min="12283" max="12283" width="9.85546875" style="25" customWidth="1"/>
    <col min="12284" max="12284" width="6.85546875" style="25" customWidth="1"/>
    <col min="12285" max="12286" width="10.85546875" style="25" customWidth="1"/>
    <col min="12287" max="12287" width="5.7109375" style="25" customWidth="1"/>
    <col min="12288" max="12288" width="11.5703125" style="25" customWidth="1"/>
    <col min="12289" max="12289" width="9.140625" style="25"/>
    <col min="12290" max="12290" width="9.7109375" style="25" customWidth="1"/>
    <col min="12291" max="12291" width="8.5703125" style="25" customWidth="1"/>
    <col min="12292" max="12293" width="0" style="25" hidden="1" customWidth="1"/>
    <col min="12294" max="12294" width="8.28515625" style="25" customWidth="1"/>
    <col min="12295" max="12295" width="11.85546875" style="25" customWidth="1"/>
    <col min="12296" max="12296" width="11.42578125" style="25" customWidth="1"/>
    <col min="12297" max="12297" width="9.140625" style="25"/>
    <col min="12298" max="12298" width="7.85546875" style="25" customWidth="1"/>
    <col min="12299" max="12536" width="9.140625" style="25"/>
    <col min="12537" max="12537" width="14.85546875" style="25" customWidth="1"/>
    <col min="12538" max="12538" width="15.85546875" style="25" customWidth="1"/>
    <col min="12539" max="12539" width="9.85546875" style="25" customWidth="1"/>
    <col min="12540" max="12540" width="6.85546875" style="25" customWidth="1"/>
    <col min="12541" max="12542" width="10.85546875" style="25" customWidth="1"/>
    <col min="12543" max="12543" width="5.7109375" style="25" customWidth="1"/>
    <col min="12544" max="12544" width="11.5703125" style="25" customWidth="1"/>
    <col min="12545" max="12545" width="9.140625" style="25"/>
    <col min="12546" max="12546" width="9.7109375" style="25" customWidth="1"/>
    <col min="12547" max="12547" width="8.5703125" style="25" customWidth="1"/>
    <col min="12548" max="12549" width="0" style="25" hidden="1" customWidth="1"/>
    <col min="12550" max="12550" width="8.28515625" style="25" customWidth="1"/>
    <col min="12551" max="12551" width="11.85546875" style="25" customWidth="1"/>
    <col min="12552" max="12552" width="11.42578125" style="25" customWidth="1"/>
    <col min="12553" max="12553" width="9.140625" style="25"/>
    <col min="12554" max="12554" width="7.85546875" style="25" customWidth="1"/>
    <col min="12555" max="12792" width="9.140625" style="25"/>
    <col min="12793" max="12793" width="14.85546875" style="25" customWidth="1"/>
    <col min="12794" max="12794" width="15.85546875" style="25" customWidth="1"/>
    <col min="12795" max="12795" width="9.85546875" style="25" customWidth="1"/>
    <col min="12796" max="12796" width="6.85546875" style="25" customWidth="1"/>
    <col min="12797" max="12798" width="10.85546875" style="25" customWidth="1"/>
    <col min="12799" max="12799" width="5.7109375" style="25" customWidth="1"/>
    <col min="12800" max="12800" width="11.5703125" style="25" customWidth="1"/>
    <col min="12801" max="12801" width="9.140625" style="25"/>
    <col min="12802" max="12802" width="9.7109375" style="25" customWidth="1"/>
    <col min="12803" max="12803" width="8.5703125" style="25" customWidth="1"/>
    <col min="12804" max="12805" width="0" style="25" hidden="1" customWidth="1"/>
    <col min="12806" max="12806" width="8.28515625" style="25" customWidth="1"/>
    <col min="12807" max="12807" width="11.85546875" style="25" customWidth="1"/>
    <col min="12808" max="12808" width="11.42578125" style="25" customWidth="1"/>
    <col min="12809" max="12809" width="9.140625" style="25"/>
    <col min="12810" max="12810" width="7.85546875" style="25" customWidth="1"/>
    <col min="12811" max="13048" width="9.140625" style="25"/>
    <col min="13049" max="13049" width="14.85546875" style="25" customWidth="1"/>
    <col min="13050" max="13050" width="15.85546875" style="25" customWidth="1"/>
    <col min="13051" max="13051" width="9.85546875" style="25" customWidth="1"/>
    <col min="13052" max="13052" width="6.85546875" style="25" customWidth="1"/>
    <col min="13053" max="13054" width="10.85546875" style="25" customWidth="1"/>
    <col min="13055" max="13055" width="5.7109375" style="25" customWidth="1"/>
    <col min="13056" max="13056" width="11.5703125" style="25" customWidth="1"/>
    <col min="13057" max="13057" width="9.140625" style="25"/>
    <col min="13058" max="13058" width="9.7109375" style="25" customWidth="1"/>
    <col min="13059" max="13059" width="8.5703125" style="25" customWidth="1"/>
    <col min="13060" max="13061" width="0" style="25" hidden="1" customWidth="1"/>
    <col min="13062" max="13062" width="8.28515625" style="25" customWidth="1"/>
    <col min="13063" max="13063" width="11.85546875" style="25" customWidth="1"/>
    <col min="13064" max="13064" width="11.42578125" style="25" customWidth="1"/>
    <col min="13065" max="13065" width="9.140625" style="25"/>
    <col min="13066" max="13066" width="7.85546875" style="25" customWidth="1"/>
    <col min="13067" max="13304" width="9.140625" style="25"/>
    <col min="13305" max="13305" width="14.85546875" style="25" customWidth="1"/>
    <col min="13306" max="13306" width="15.85546875" style="25" customWidth="1"/>
    <col min="13307" max="13307" width="9.85546875" style="25" customWidth="1"/>
    <col min="13308" max="13308" width="6.85546875" style="25" customWidth="1"/>
    <col min="13309" max="13310" width="10.85546875" style="25" customWidth="1"/>
    <col min="13311" max="13311" width="5.7109375" style="25" customWidth="1"/>
    <col min="13312" max="13312" width="11.5703125" style="25" customWidth="1"/>
    <col min="13313" max="13313" width="9.140625" style="25"/>
    <col min="13314" max="13314" width="9.7109375" style="25" customWidth="1"/>
    <col min="13315" max="13315" width="8.5703125" style="25" customWidth="1"/>
    <col min="13316" max="13317" width="0" style="25" hidden="1" customWidth="1"/>
    <col min="13318" max="13318" width="8.28515625" style="25" customWidth="1"/>
    <col min="13319" max="13319" width="11.85546875" style="25" customWidth="1"/>
    <col min="13320" max="13320" width="11.42578125" style="25" customWidth="1"/>
    <col min="13321" max="13321" width="9.140625" style="25"/>
    <col min="13322" max="13322" width="7.85546875" style="25" customWidth="1"/>
    <col min="13323" max="13560" width="9.140625" style="25"/>
    <col min="13561" max="13561" width="14.85546875" style="25" customWidth="1"/>
    <col min="13562" max="13562" width="15.85546875" style="25" customWidth="1"/>
    <col min="13563" max="13563" width="9.85546875" style="25" customWidth="1"/>
    <col min="13564" max="13564" width="6.85546875" style="25" customWidth="1"/>
    <col min="13565" max="13566" width="10.85546875" style="25" customWidth="1"/>
    <col min="13567" max="13567" width="5.7109375" style="25" customWidth="1"/>
    <col min="13568" max="13568" width="11.5703125" style="25" customWidth="1"/>
    <col min="13569" max="13569" width="9.140625" style="25"/>
    <col min="13570" max="13570" width="9.7109375" style="25" customWidth="1"/>
    <col min="13571" max="13571" width="8.5703125" style="25" customWidth="1"/>
    <col min="13572" max="13573" width="0" style="25" hidden="1" customWidth="1"/>
    <col min="13574" max="13574" width="8.28515625" style="25" customWidth="1"/>
    <col min="13575" max="13575" width="11.85546875" style="25" customWidth="1"/>
    <col min="13576" max="13576" width="11.42578125" style="25" customWidth="1"/>
    <col min="13577" max="13577" width="9.140625" style="25"/>
    <col min="13578" max="13578" width="7.85546875" style="25" customWidth="1"/>
    <col min="13579" max="13816" width="9.140625" style="25"/>
    <col min="13817" max="13817" width="14.85546875" style="25" customWidth="1"/>
    <col min="13818" max="13818" width="15.85546875" style="25" customWidth="1"/>
    <col min="13819" max="13819" width="9.85546875" style="25" customWidth="1"/>
    <col min="13820" max="13820" width="6.85546875" style="25" customWidth="1"/>
    <col min="13821" max="13822" width="10.85546875" style="25" customWidth="1"/>
    <col min="13823" max="13823" width="5.7109375" style="25" customWidth="1"/>
    <col min="13824" max="13824" width="11.5703125" style="25" customWidth="1"/>
    <col min="13825" max="13825" width="9.140625" style="25"/>
    <col min="13826" max="13826" width="9.7109375" style="25" customWidth="1"/>
    <col min="13827" max="13827" width="8.5703125" style="25" customWidth="1"/>
    <col min="13828" max="13829" width="0" style="25" hidden="1" customWidth="1"/>
    <col min="13830" max="13830" width="8.28515625" style="25" customWidth="1"/>
    <col min="13831" max="13831" width="11.85546875" style="25" customWidth="1"/>
    <col min="13832" max="13832" width="11.42578125" style="25" customWidth="1"/>
    <col min="13833" max="13833" width="9.140625" style="25"/>
    <col min="13834" max="13834" width="7.85546875" style="25" customWidth="1"/>
    <col min="13835" max="14072" width="9.140625" style="25"/>
    <col min="14073" max="14073" width="14.85546875" style="25" customWidth="1"/>
    <col min="14074" max="14074" width="15.85546875" style="25" customWidth="1"/>
    <col min="14075" max="14075" width="9.85546875" style="25" customWidth="1"/>
    <col min="14076" max="14076" width="6.85546875" style="25" customWidth="1"/>
    <col min="14077" max="14078" width="10.85546875" style="25" customWidth="1"/>
    <col min="14079" max="14079" width="5.7109375" style="25" customWidth="1"/>
    <col min="14080" max="14080" width="11.5703125" style="25" customWidth="1"/>
    <col min="14081" max="14081" width="9.140625" style="25"/>
    <col min="14082" max="14082" width="9.7109375" style="25" customWidth="1"/>
    <col min="14083" max="14083" width="8.5703125" style="25" customWidth="1"/>
    <col min="14084" max="14085" width="0" style="25" hidden="1" customWidth="1"/>
    <col min="14086" max="14086" width="8.28515625" style="25" customWidth="1"/>
    <col min="14087" max="14087" width="11.85546875" style="25" customWidth="1"/>
    <col min="14088" max="14088" width="11.42578125" style="25" customWidth="1"/>
    <col min="14089" max="14089" width="9.140625" style="25"/>
    <col min="14090" max="14090" width="7.85546875" style="25" customWidth="1"/>
    <col min="14091" max="14328" width="9.140625" style="25"/>
    <col min="14329" max="14329" width="14.85546875" style="25" customWidth="1"/>
    <col min="14330" max="14330" width="15.85546875" style="25" customWidth="1"/>
    <col min="14331" max="14331" width="9.85546875" style="25" customWidth="1"/>
    <col min="14332" max="14332" width="6.85546875" style="25" customWidth="1"/>
    <col min="14333" max="14334" width="10.85546875" style="25" customWidth="1"/>
    <col min="14335" max="14335" width="5.7109375" style="25" customWidth="1"/>
    <col min="14336" max="14336" width="11.5703125" style="25" customWidth="1"/>
    <col min="14337" max="14337" width="9.140625" style="25"/>
    <col min="14338" max="14338" width="9.7109375" style="25" customWidth="1"/>
    <col min="14339" max="14339" width="8.5703125" style="25" customWidth="1"/>
    <col min="14340" max="14341" width="0" style="25" hidden="1" customWidth="1"/>
    <col min="14342" max="14342" width="8.28515625" style="25" customWidth="1"/>
    <col min="14343" max="14343" width="11.85546875" style="25" customWidth="1"/>
    <col min="14344" max="14344" width="11.42578125" style="25" customWidth="1"/>
    <col min="14345" max="14345" width="9.140625" style="25"/>
    <col min="14346" max="14346" width="7.85546875" style="25" customWidth="1"/>
    <col min="14347" max="14584" width="9.140625" style="25"/>
    <col min="14585" max="14585" width="14.85546875" style="25" customWidth="1"/>
    <col min="14586" max="14586" width="15.85546875" style="25" customWidth="1"/>
    <col min="14587" max="14587" width="9.85546875" style="25" customWidth="1"/>
    <col min="14588" max="14588" width="6.85546875" style="25" customWidth="1"/>
    <col min="14589" max="14590" width="10.85546875" style="25" customWidth="1"/>
    <col min="14591" max="14591" width="5.7109375" style="25" customWidth="1"/>
    <col min="14592" max="14592" width="11.5703125" style="25" customWidth="1"/>
    <col min="14593" max="14593" width="9.140625" style="25"/>
    <col min="14594" max="14594" width="9.7109375" style="25" customWidth="1"/>
    <col min="14595" max="14595" width="8.5703125" style="25" customWidth="1"/>
    <col min="14596" max="14597" width="0" style="25" hidden="1" customWidth="1"/>
    <col min="14598" max="14598" width="8.28515625" style="25" customWidth="1"/>
    <col min="14599" max="14599" width="11.85546875" style="25" customWidth="1"/>
    <col min="14600" max="14600" width="11.42578125" style="25" customWidth="1"/>
    <col min="14601" max="14601" width="9.140625" style="25"/>
    <col min="14602" max="14602" width="7.85546875" style="25" customWidth="1"/>
    <col min="14603" max="14840" width="9.140625" style="25"/>
    <col min="14841" max="14841" width="14.85546875" style="25" customWidth="1"/>
    <col min="14842" max="14842" width="15.85546875" style="25" customWidth="1"/>
    <col min="14843" max="14843" width="9.85546875" style="25" customWidth="1"/>
    <col min="14844" max="14844" width="6.85546875" style="25" customWidth="1"/>
    <col min="14845" max="14846" width="10.85546875" style="25" customWidth="1"/>
    <col min="14847" max="14847" width="5.7109375" style="25" customWidth="1"/>
    <col min="14848" max="14848" width="11.5703125" style="25" customWidth="1"/>
    <col min="14849" max="14849" width="9.140625" style="25"/>
    <col min="14850" max="14850" width="9.7109375" style="25" customWidth="1"/>
    <col min="14851" max="14851" width="8.5703125" style="25" customWidth="1"/>
    <col min="14852" max="14853" width="0" style="25" hidden="1" customWidth="1"/>
    <col min="14854" max="14854" width="8.28515625" style="25" customWidth="1"/>
    <col min="14855" max="14855" width="11.85546875" style="25" customWidth="1"/>
    <col min="14856" max="14856" width="11.42578125" style="25" customWidth="1"/>
    <col min="14857" max="14857" width="9.140625" style="25"/>
    <col min="14858" max="14858" width="7.85546875" style="25" customWidth="1"/>
    <col min="14859" max="15096" width="9.140625" style="25"/>
    <col min="15097" max="15097" width="14.85546875" style="25" customWidth="1"/>
    <col min="15098" max="15098" width="15.85546875" style="25" customWidth="1"/>
    <col min="15099" max="15099" width="9.85546875" style="25" customWidth="1"/>
    <col min="15100" max="15100" width="6.85546875" style="25" customWidth="1"/>
    <col min="15101" max="15102" width="10.85546875" style="25" customWidth="1"/>
    <col min="15103" max="15103" width="5.7109375" style="25" customWidth="1"/>
    <col min="15104" max="15104" width="11.5703125" style="25" customWidth="1"/>
    <col min="15105" max="15105" width="9.140625" style="25"/>
    <col min="15106" max="15106" width="9.7109375" style="25" customWidth="1"/>
    <col min="15107" max="15107" width="8.5703125" style="25" customWidth="1"/>
    <col min="15108" max="15109" width="0" style="25" hidden="1" customWidth="1"/>
    <col min="15110" max="15110" width="8.28515625" style="25" customWidth="1"/>
    <col min="15111" max="15111" width="11.85546875" style="25" customWidth="1"/>
    <col min="15112" max="15112" width="11.42578125" style="25" customWidth="1"/>
    <col min="15113" max="15113" width="9.140625" style="25"/>
    <col min="15114" max="15114" width="7.85546875" style="25" customWidth="1"/>
    <col min="15115" max="15352" width="9.140625" style="25"/>
    <col min="15353" max="15353" width="14.85546875" style="25" customWidth="1"/>
    <col min="15354" max="15354" width="15.85546875" style="25" customWidth="1"/>
    <col min="15355" max="15355" width="9.85546875" style="25" customWidth="1"/>
    <col min="15356" max="15356" width="6.85546875" style="25" customWidth="1"/>
    <col min="15357" max="15358" width="10.85546875" style="25" customWidth="1"/>
    <col min="15359" max="15359" width="5.7109375" style="25" customWidth="1"/>
    <col min="15360" max="15360" width="11.5703125" style="25" customWidth="1"/>
    <col min="15361" max="15361" width="9.140625" style="25"/>
    <col min="15362" max="15362" width="9.7109375" style="25" customWidth="1"/>
    <col min="15363" max="15363" width="8.5703125" style="25" customWidth="1"/>
    <col min="15364" max="15365" width="0" style="25" hidden="1" customWidth="1"/>
    <col min="15366" max="15366" width="8.28515625" style="25" customWidth="1"/>
    <col min="15367" max="15367" width="11.85546875" style="25" customWidth="1"/>
    <col min="15368" max="15368" width="11.42578125" style="25" customWidth="1"/>
    <col min="15369" max="15369" width="9.140625" style="25"/>
    <col min="15370" max="15370" width="7.85546875" style="25" customWidth="1"/>
    <col min="15371" max="15608" width="9.140625" style="25"/>
    <col min="15609" max="15609" width="14.85546875" style="25" customWidth="1"/>
    <col min="15610" max="15610" width="15.85546875" style="25" customWidth="1"/>
    <col min="15611" max="15611" width="9.85546875" style="25" customWidth="1"/>
    <col min="15612" max="15612" width="6.85546875" style="25" customWidth="1"/>
    <col min="15613" max="15614" width="10.85546875" style="25" customWidth="1"/>
    <col min="15615" max="15615" width="5.7109375" style="25" customWidth="1"/>
    <col min="15616" max="15616" width="11.5703125" style="25" customWidth="1"/>
    <col min="15617" max="15617" width="9.140625" style="25"/>
    <col min="15618" max="15618" width="9.7109375" style="25" customWidth="1"/>
    <col min="15619" max="15619" width="8.5703125" style="25" customWidth="1"/>
    <col min="15620" max="15621" width="0" style="25" hidden="1" customWidth="1"/>
    <col min="15622" max="15622" width="8.28515625" style="25" customWidth="1"/>
    <col min="15623" max="15623" width="11.85546875" style="25" customWidth="1"/>
    <col min="15624" max="15624" width="11.42578125" style="25" customWidth="1"/>
    <col min="15625" max="15625" width="9.140625" style="25"/>
    <col min="15626" max="15626" width="7.85546875" style="25" customWidth="1"/>
    <col min="15627" max="15864" width="9.140625" style="25"/>
    <col min="15865" max="15865" width="14.85546875" style="25" customWidth="1"/>
    <col min="15866" max="15866" width="15.85546875" style="25" customWidth="1"/>
    <col min="15867" max="15867" width="9.85546875" style="25" customWidth="1"/>
    <col min="15868" max="15868" width="6.85546875" style="25" customWidth="1"/>
    <col min="15869" max="15870" width="10.85546875" style="25" customWidth="1"/>
    <col min="15871" max="15871" width="5.7109375" style="25" customWidth="1"/>
    <col min="15872" max="15872" width="11.5703125" style="25" customWidth="1"/>
    <col min="15873" max="15873" width="9.140625" style="25"/>
    <col min="15874" max="15874" width="9.7109375" style="25" customWidth="1"/>
    <col min="15875" max="15875" width="8.5703125" style="25" customWidth="1"/>
    <col min="15876" max="15877" width="0" style="25" hidden="1" customWidth="1"/>
    <col min="15878" max="15878" width="8.28515625" style="25" customWidth="1"/>
    <col min="15879" max="15879" width="11.85546875" style="25" customWidth="1"/>
    <col min="15880" max="15880" width="11.42578125" style="25" customWidth="1"/>
    <col min="15881" max="15881" width="9.140625" style="25"/>
    <col min="15882" max="15882" width="7.85546875" style="25" customWidth="1"/>
    <col min="15883" max="16120" width="9.140625" style="25"/>
    <col min="16121" max="16121" width="14.85546875" style="25" customWidth="1"/>
    <col min="16122" max="16122" width="15.85546875" style="25" customWidth="1"/>
    <col min="16123" max="16123" width="9.85546875" style="25" customWidth="1"/>
    <col min="16124" max="16124" width="6.85546875" style="25" customWidth="1"/>
    <col min="16125" max="16126" width="10.85546875" style="25" customWidth="1"/>
    <col min="16127" max="16127" width="5.7109375" style="25" customWidth="1"/>
    <col min="16128" max="16128" width="11.5703125" style="25" customWidth="1"/>
    <col min="16129" max="16129" width="9.140625" style="25"/>
    <col min="16130" max="16130" width="9.7109375" style="25" customWidth="1"/>
    <col min="16131" max="16131" width="8.5703125" style="25" customWidth="1"/>
    <col min="16132" max="16133" width="0" style="25" hidden="1" customWidth="1"/>
    <col min="16134" max="16134" width="8.28515625" style="25" customWidth="1"/>
    <col min="16135" max="16135" width="11.85546875" style="25" customWidth="1"/>
    <col min="16136" max="16136" width="11.42578125" style="25" customWidth="1"/>
    <col min="16137" max="16137" width="9.140625" style="25"/>
    <col min="16138" max="16138" width="7.85546875" style="25" customWidth="1"/>
    <col min="16139" max="16384" width="9.140625" style="25"/>
  </cols>
  <sheetData>
    <row r="3" spans="2:21" x14ac:dyDescent="0.25">
      <c r="B3" s="43"/>
      <c r="C3" s="26"/>
      <c r="D3" s="26"/>
      <c r="E3" s="26"/>
      <c r="F3" s="26"/>
      <c r="G3" s="26"/>
      <c r="H3" s="44"/>
      <c r="I3" s="43" t="s">
        <v>47</v>
      </c>
      <c r="J3" s="44"/>
      <c r="K3" s="45">
        <f>C19-E19-F19-G19</f>
        <v>946.91953360680031</v>
      </c>
      <c r="L3" s="26"/>
      <c r="M3" s="26"/>
      <c r="N3" s="26"/>
      <c r="O3" s="26"/>
      <c r="P3" s="26"/>
      <c r="Q3" s="26"/>
      <c r="R3" s="26"/>
      <c r="S3" s="26"/>
      <c r="T3" s="24"/>
    </row>
    <row r="4" spans="2:21" ht="16.5" x14ac:dyDescent="0.25">
      <c r="B4" s="46" t="s">
        <v>48</v>
      </c>
      <c r="C4" s="9"/>
      <c r="D4" s="9"/>
      <c r="E4" s="9"/>
      <c r="F4" s="9"/>
      <c r="G4" s="47"/>
      <c r="H4" s="48"/>
      <c r="I4" s="19" t="s">
        <v>49</v>
      </c>
      <c r="J4" s="49"/>
      <c r="K4" s="128">
        <f>K3/C19</f>
        <v>0.10029223868038356</v>
      </c>
      <c r="L4" s="9"/>
      <c r="M4" s="9"/>
      <c r="N4" s="9"/>
      <c r="O4" s="9"/>
      <c r="P4" s="9"/>
      <c r="Q4" s="9"/>
      <c r="R4" s="9"/>
      <c r="S4" s="9"/>
      <c r="T4" s="28"/>
    </row>
    <row r="5" spans="2:21" x14ac:dyDescent="0.25">
      <c r="B5" s="29"/>
      <c r="C5" s="9"/>
      <c r="D5" s="9"/>
      <c r="E5" s="9"/>
      <c r="F5" s="9"/>
      <c r="G5" s="9"/>
      <c r="H5" s="48"/>
      <c r="I5" s="9"/>
      <c r="J5" s="48"/>
      <c r="K5" s="51"/>
      <c r="L5" s="9"/>
      <c r="M5" s="9"/>
      <c r="N5" s="9"/>
      <c r="O5" s="9"/>
      <c r="P5" s="9"/>
      <c r="Q5" s="9"/>
      <c r="R5" s="9"/>
      <c r="S5" s="9"/>
      <c r="T5" s="28"/>
    </row>
    <row r="6" spans="2:21" s="35" customFormat="1" ht="81" x14ac:dyDescent="0.25">
      <c r="B6" s="52" t="s">
        <v>39</v>
      </c>
      <c r="C6" s="53" t="s">
        <v>50</v>
      </c>
      <c r="D6" s="54" t="s">
        <v>51</v>
      </c>
      <c r="E6" s="55" t="s">
        <v>52</v>
      </c>
      <c r="F6" s="55" t="s">
        <v>53</v>
      </c>
      <c r="G6" s="54" t="s">
        <v>26</v>
      </c>
      <c r="H6" s="56" t="s">
        <v>54</v>
      </c>
      <c r="I6" s="57"/>
      <c r="J6" s="58" t="s">
        <v>55</v>
      </c>
      <c r="K6" s="59" t="s">
        <v>56</v>
      </c>
      <c r="L6" s="60" t="s">
        <v>57</v>
      </c>
      <c r="M6" s="61" t="s">
        <v>58</v>
      </c>
      <c r="N6" s="62"/>
      <c r="O6" s="63" t="s">
        <v>59</v>
      </c>
      <c r="P6" s="31"/>
      <c r="Q6" s="64" t="s">
        <v>60</v>
      </c>
      <c r="R6" s="54" t="s">
        <v>61</v>
      </c>
      <c r="S6" s="60" t="s">
        <v>62</v>
      </c>
      <c r="T6" s="63" t="s">
        <v>63</v>
      </c>
    </row>
    <row r="7" spans="2:21" s="35" customFormat="1" x14ac:dyDescent="0.25">
      <c r="B7" s="65"/>
      <c r="C7" s="66"/>
      <c r="D7" s="67"/>
      <c r="E7" s="68"/>
      <c r="F7" s="68"/>
      <c r="G7" s="67"/>
      <c r="H7" s="69"/>
      <c r="I7" s="122">
        <f>NPV(Assumptions!$D$12,C8:$C$17)*(1+Assumptions!$D$12)*$K$4</f>
        <v>946.91953360680043</v>
      </c>
      <c r="J7" s="70">
        <f>(J8+E8)/(1+Assumptions!$D$12)+G8+F8-C8</f>
        <v>-946.91953360680145</v>
      </c>
      <c r="K7" s="71">
        <f>$K$4*C8+K8/(1+Assumptions!$D$12)</f>
        <v>946.91953360680043</v>
      </c>
      <c r="L7" s="72">
        <f t="shared" ref="L7:L17" si="0">K7+J7</f>
        <v>-1.0231815394945443E-12</v>
      </c>
      <c r="M7" s="73"/>
      <c r="N7" s="122">
        <f>NPV(Assumptions!$D$12,Q8:$Q$17)</f>
        <v>946.91953360680031</v>
      </c>
      <c r="O7" s="74"/>
      <c r="P7" s="62"/>
      <c r="Q7" s="33"/>
      <c r="R7" s="62"/>
      <c r="S7" s="34"/>
      <c r="T7" s="74"/>
    </row>
    <row r="8" spans="2:21" x14ac:dyDescent="0.25">
      <c r="B8" s="75">
        <v>1</v>
      </c>
      <c r="C8" s="76">
        <f>Assumptions!K30*Assumptions!C30*Assumptions!$D$9*(1+Assumptions!$D$14)^(B8-1)</f>
        <v>1382.5</v>
      </c>
      <c r="D8" s="129">
        <f>(C8-F8-G8)*Assumptions!$D$12</f>
        <v>4.5325000000000086</v>
      </c>
      <c r="E8" s="78">
        <f>Assumptions!L30*Assumptions!$D$9*(1+Assumptions!$D$14)^(B8-1)</f>
        <v>1065</v>
      </c>
      <c r="F8" s="78">
        <f>Assumptions!D16*Assumptions!K30</f>
        <v>350</v>
      </c>
      <c r="G8" s="77">
        <f>Assumptions!D19*C8</f>
        <v>967.74999999999989</v>
      </c>
      <c r="H8" s="79">
        <f t="shared" ref="H8:H17" si="1">C8+D8-E8-F8-G8</f>
        <v>-995.71749999999986</v>
      </c>
      <c r="I8" s="122">
        <f>NPV(Assumptions!$D$12,C9:$C$17)*(1+Assumptions!$D$12)*$K$4</f>
        <v>864.84409958535218</v>
      </c>
      <c r="J8" s="70">
        <f>(J9+E9)/(1+Assumptions!$D$12)+G9+F9-C9</f>
        <v>-2008.9214009592774</v>
      </c>
      <c r="K8" s="71">
        <f>$K$4*C9+K9/(1+Assumptions!$D$12)</f>
        <v>864.84409958535218</v>
      </c>
      <c r="L8" s="72">
        <f t="shared" si="0"/>
        <v>-1144.0773013739254</v>
      </c>
      <c r="M8" s="81">
        <f t="shared" ref="M8:M17" si="2">L8-L7</f>
        <v>-1144.0773013739245</v>
      </c>
      <c r="N8" s="122">
        <f>NPV(Assumptions!$D$12,Q9:$Q$17)</f>
        <v>864.84409958535207</v>
      </c>
      <c r="O8" s="82">
        <f t="shared" ref="O8:O17" si="3">H8-M8</f>
        <v>148.3598013739246</v>
      </c>
      <c r="P8" s="47">
        <f>C8-E8-F8-G8-M8+(L7+C8-F8-G8)*Assumptions!$D$12</f>
        <v>148.35980137392451</v>
      </c>
      <c r="Q8" s="83">
        <f>C8*$K$4*(1+Assumptions!$D$12)</f>
        <v>148.3598013739244</v>
      </c>
      <c r="R8" s="84">
        <f>Assumptions!$D$12*-L7</f>
        <v>7.1622707764618112E-14</v>
      </c>
      <c r="S8" s="72">
        <f t="shared" ref="S8:S17" si="4">Q8+R8</f>
        <v>148.35980137392448</v>
      </c>
      <c r="T8" s="82">
        <f t="shared" ref="T8:T17" si="5">O8-S8</f>
        <v>0</v>
      </c>
      <c r="U8" s="25">
        <f>Q8/(C8*1.07)</f>
        <v>0.10029223868038356</v>
      </c>
    </row>
    <row r="9" spans="2:21" x14ac:dyDescent="0.25">
      <c r="B9" s="75">
        <f t="shared" ref="B9:B17" si="6">B8+1</f>
        <v>2</v>
      </c>
      <c r="C9" s="76">
        <f>Assumptions!K31*Assumptions!C31*Assumptions!$D$9*(1+Assumptions!$D$14)^(B9-1)</f>
        <v>1342.4417318999999</v>
      </c>
      <c r="D9" s="77">
        <f>(C9-F9-G9)*Assumptions!$D$12</f>
        <v>84.740015626350001</v>
      </c>
      <c r="E9" s="78">
        <f>Assumptions!L31*Assumptions!$D$9*(1+Assumptions!$D$14)^(B9-1)</f>
        <v>1023.0182973000001</v>
      </c>
      <c r="F9" s="78">
        <f>Assumptions!$D$17*Assumptions!K31*(1+Assumptions!$D$14)^(B9-1)</f>
        <v>64.747993500000007</v>
      </c>
      <c r="G9" s="77">
        <f>Assumptions!$D$20*C9</f>
        <v>67.122086594999999</v>
      </c>
      <c r="H9" s="79">
        <f t="shared" si="1"/>
        <v>272.29337013134983</v>
      </c>
      <c r="I9" s="122">
        <f>NPV(Assumptions!$D$12,C10:$C$17)*(1+Assumptions!$D$12)*$K$4</f>
        <v>781.32214590478884</v>
      </c>
      <c r="J9" s="70">
        <f>(J10+E10)/(1+Assumptions!$D$12)+G10+F10-C10</f>
        <v>-1877.2525288950771</v>
      </c>
      <c r="K9" s="71">
        <f>$K$4*C10+K10/(1+Assumptions!$D$12)</f>
        <v>781.32214590478907</v>
      </c>
      <c r="L9" s="72">
        <f t="shared" si="0"/>
        <v>-1095.9303829902881</v>
      </c>
      <c r="M9" s="81">
        <f t="shared" si="2"/>
        <v>48.146918383637285</v>
      </c>
      <c r="N9" s="122">
        <f>NPV(Assumptions!$D$12,Q10:$Q$17)</f>
        <v>781.32214590478895</v>
      </c>
      <c r="O9" s="82">
        <f t="shared" si="3"/>
        <v>224.14645174771255</v>
      </c>
      <c r="P9" s="47">
        <f>C9-E9-F9-G9-M9+(L8+C9-F9-G9)*Assumptions!$D$12</f>
        <v>144.06104065153778</v>
      </c>
      <c r="Q9" s="83">
        <f>C9*$K$4*(1+Assumptions!$D$12)</f>
        <v>144.06104065153784</v>
      </c>
      <c r="R9" s="84">
        <f>Assumptions!$D$12*-L8</f>
        <v>80.085411096174781</v>
      </c>
      <c r="S9" s="72">
        <f t="shared" si="4"/>
        <v>224.1464517477126</v>
      </c>
      <c r="T9" s="82">
        <f t="shared" si="5"/>
        <v>0</v>
      </c>
      <c r="U9" s="25">
        <f t="shared" ref="U9:U17" si="7">Q9/(C9*1.07)</f>
        <v>0.10029223868038356</v>
      </c>
    </row>
    <row r="10" spans="2:21" x14ac:dyDescent="0.25">
      <c r="B10" s="75">
        <f t="shared" si="6"/>
        <v>3</v>
      </c>
      <c r="C10" s="76">
        <f>Assumptions!K32*Assumptions!C32*Assumptions!$D$9*(1+Assumptions!$D$14)^(B10-1)</f>
        <v>1309.2302527892236</v>
      </c>
      <c r="D10" s="77">
        <f>(C10-F10-G10)*Assumptions!$D$12</f>
        <v>83.152882179107323</v>
      </c>
      <c r="E10" s="78">
        <f>Assumptions!L32*Assumptions!$D$9*(1+Assumptions!$D$14)^(B10-1)</f>
        <v>985.18179761806448</v>
      </c>
      <c r="F10" s="78">
        <f>Assumptions!$D$17*Assumptions!K32*(1+Assumptions!$D$14)^(B10-1)</f>
        <v>55.87042330537227</v>
      </c>
      <c r="G10" s="77">
        <f>Assumptions!$D$20*C10</f>
        <v>65.461512639461191</v>
      </c>
      <c r="H10" s="79">
        <f t="shared" si="1"/>
        <v>285.86940140543305</v>
      </c>
      <c r="I10" s="122">
        <f>NPV(Assumptions!$D$12,C11:$C$17)*(1+Assumptions!$D$12)*$K$4</f>
        <v>695.51766880778655</v>
      </c>
      <c r="J10" s="70">
        <f>(J11+E11)/(1+Assumptions!$D$12)+G11+F11-C11</f>
        <v>-1722.7908045122995</v>
      </c>
      <c r="K10" s="71">
        <f>$K$4*C11+K11/(1+Assumptions!$D$12)</f>
        <v>695.51766880778644</v>
      </c>
      <c r="L10" s="72">
        <f t="shared" si="0"/>
        <v>-1027.2731357045132</v>
      </c>
      <c r="M10" s="81">
        <f t="shared" si="2"/>
        <v>68.657247285774929</v>
      </c>
      <c r="N10" s="122">
        <f>NPV(Assumptions!$D$12,Q11:$Q$17)</f>
        <v>695.51766880778644</v>
      </c>
      <c r="O10" s="82">
        <f t="shared" si="3"/>
        <v>217.21215411965812</v>
      </c>
      <c r="P10" s="47">
        <f>C10-E10-F10-G10-M10+(L9+C10-F10-G10)*Assumptions!$D$12</f>
        <v>140.49702731033793</v>
      </c>
      <c r="Q10" s="83">
        <f>C10*$K$4*(1+Assumptions!$D$12)</f>
        <v>140.49702731033781</v>
      </c>
      <c r="R10" s="84">
        <f>Assumptions!$D$12*-L9</f>
        <v>76.715126809320168</v>
      </c>
      <c r="S10" s="72">
        <f t="shared" si="4"/>
        <v>217.21215411965798</v>
      </c>
      <c r="T10" s="82">
        <f t="shared" si="5"/>
        <v>0</v>
      </c>
      <c r="U10" s="25">
        <f t="shared" si="7"/>
        <v>0.10029223868038355</v>
      </c>
    </row>
    <row r="11" spans="2:21" x14ac:dyDescent="0.25">
      <c r="B11" s="75">
        <f t="shared" si="6"/>
        <v>4</v>
      </c>
      <c r="C11" s="76">
        <f>Assumptions!K33*Assumptions!C33*Assumptions!$D$9*(1+Assumptions!$D$14)^(B11-1)</f>
        <v>1280.0726247499081</v>
      </c>
      <c r="D11" s="77">
        <f>(C11-F11-G11)*Assumptions!$D$12</f>
        <v>81.751990760455072</v>
      </c>
      <c r="E11" s="78">
        <f>Assumptions!L33*Assumptions!$D$9*(1+Assumptions!$D$14)^(B11-1)</f>
        <v>949.21320103788696</v>
      </c>
      <c r="F11" s="78">
        <f>Assumptions!$D$17*Assumptions!K33*(1+Assumptions!$D$14)^(B11-1)</f>
        <v>48.1834112201973</v>
      </c>
      <c r="G11" s="77">
        <f>Assumptions!$D$20*C11</f>
        <v>64.003631237495412</v>
      </c>
      <c r="H11" s="79">
        <f t="shared" si="1"/>
        <v>300.4243720147835</v>
      </c>
      <c r="I11" s="122">
        <f>NPV(Assumptions!$D$12,C12:$C$17)*(1+Assumptions!$D$12)*$K$4</f>
        <v>606.83586197001375</v>
      </c>
      <c r="J11" s="70">
        <f>(J12+E12)/(1+Assumptions!$D$12)+G12+F12-C12</f>
        <v>-1542.9617888133771</v>
      </c>
      <c r="K11" s="71">
        <f>$K$4*C12+K12/(1+Assumptions!$D$12)</f>
        <v>606.83586197001364</v>
      </c>
      <c r="L11" s="72">
        <f t="shared" si="0"/>
        <v>-936.12592684336346</v>
      </c>
      <c r="M11" s="81">
        <f t="shared" si="2"/>
        <v>91.147208861149693</v>
      </c>
      <c r="N11" s="122">
        <f>NPV(Assumptions!$D$12,Q12:$Q$17)</f>
        <v>606.83586197001375</v>
      </c>
      <c r="O11" s="82">
        <f t="shared" si="3"/>
        <v>209.27716315363381</v>
      </c>
      <c r="P11" s="47">
        <f ca="1">C11-E11-F11-G11-M11+(L10+C11-F11-G11)*Assumptions!$D$12</f>
        <v>137.36804365431786</v>
      </c>
      <c r="Q11" s="83">
        <f>C11*$K$4*(1+Assumptions!$D$12)</f>
        <v>137.36804365431786</v>
      </c>
      <c r="R11" s="84">
        <f>Assumptions!$D$12*-L10</f>
        <v>71.909119499315921</v>
      </c>
      <c r="S11" s="72">
        <f t="shared" si="4"/>
        <v>209.27716315363378</v>
      </c>
      <c r="T11" s="82">
        <f t="shared" si="5"/>
        <v>0</v>
      </c>
      <c r="U11" s="25">
        <f t="shared" si="7"/>
        <v>0.10029223868038357</v>
      </c>
    </row>
    <row r="12" spans="2:21" x14ac:dyDescent="0.25">
      <c r="B12" s="75">
        <f t="shared" si="6"/>
        <v>5</v>
      </c>
      <c r="C12" s="76">
        <f>Assumptions!K34*Assumptions!C34*Assumptions!$D$9*(1+Assumptions!$D$14)^(B12-1)</f>
        <v>1245.8438152296333</v>
      </c>
      <c r="D12" s="77">
        <f>(C12-F12-G12)*Assumptions!$D$12</f>
        <v>79.94164481056815</v>
      </c>
      <c r="E12" s="78">
        <f>Assumptions!L34*Assumptions!$D$9*(1+Assumptions!$D$14)^(B12-1)</f>
        <v>916.38733964668597</v>
      </c>
      <c r="F12" s="78">
        <f>Assumptions!$D$17*Assumptions!K34*(1+Assumptions!$D$14)^(B12-1)</f>
        <v>41.528127174321121</v>
      </c>
      <c r="G12" s="77">
        <f>Assumptions!$D$20*C12</f>
        <v>62.292190761481663</v>
      </c>
      <c r="H12" s="79">
        <f t="shared" si="1"/>
        <v>305.57780245771255</v>
      </c>
      <c r="I12" s="122">
        <f>NPV(Assumptions!$D$12,C13:$C$17)*(1+Assumptions!$D$12)*$K$4</f>
        <v>515.61951446314026</v>
      </c>
      <c r="J12" s="70">
        <f>(J13+E13)/(1+Assumptions!$D$12)+G13+F13-C13</f>
        <v>-1345.3913115726009</v>
      </c>
      <c r="K12" s="71">
        <f>$K$4*C13+K13/(1+Assumptions!$D$12)</f>
        <v>515.61951446314026</v>
      </c>
      <c r="L12" s="72">
        <f t="shared" si="0"/>
        <v>-829.77179710946064</v>
      </c>
      <c r="M12" s="81">
        <f t="shared" si="2"/>
        <v>106.35412973390282</v>
      </c>
      <c r="N12" s="122">
        <f>NPV(Assumptions!$D$12,Q13:$Q$17)</f>
        <v>515.61951446314026</v>
      </c>
      <c r="O12" s="82">
        <f t="shared" si="3"/>
        <v>199.22367272380973</v>
      </c>
      <c r="P12" s="47">
        <f ca="1">C12-E12-F12-G12-M12+(L11+C12-F12-G12)*Assumptions!$D$12</f>
        <v>133.69485784477436</v>
      </c>
      <c r="Q12" s="83">
        <f>C12*$K$4*(1+Assumptions!$D$12)</f>
        <v>133.69485784477436</v>
      </c>
      <c r="R12" s="84">
        <f>Assumptions!$D$12*-L11</f>
        <v>65.528814879035451</v>
      </c>
      <c r="S12" s="72">
        <f t="shared" si="4"/>
        <v>199.22367272380981</v>
      </c>
      <c r="T12" s="82">
        <f t="shared" si="5"/>
        <v>0</v>
      </c>
      <c r="U12" s="25">
        <f t="shared" si="7"/>
        <v>0.10029223868038356</v>
      </c>
    </row>
    <row r="13" spans="2:21" x14ac:dyDescent="0.25">
      <c r="B13" s="75">
        <f t="shared" si="6"/>
        <v>6</v>
      </c>
      <c r="C13" s="76">
        <f>Assumptions!K35*Assumptions!C35*Assumptions!$D$9*(1+Assumptions!$D$14)^(B13-1)</f>
        <v>1224.4076776249281</v>
      </c>
      <c r="D13" s="77">
        <f>(C13-F13-G13)*Assumptions!$D$12</f>
        <v>78.919453188141134</v>
      </c>
      <c r="E13" s="78">
        <f>Assumptions!L35*Assumptions!$D$9*(1+Assumptions!$D$14)^(B13-1)</f>
        <v>885.81782324763549</v>
      </c>
      <c r="F13" s="78">
        <f>Assumptions!$D$17*Assumptions!K35*(1+Assumptions!$D$14)^(B13-1)</f>
        <v>35.766533913094307</v>
      </c>
      <c r="G13" s="77">
        <f>Assumptions!$D$20*C13</f>
        <v>61.220383881246406</v>
      </c>
      <c r="H13" s="79">
        <f t="shared" si="1"/>
        <v>320.52238977109312</v>
      </c>
      <c r="I13" s="122">
        <f>NPV(Assumptions!$D$12,C14:$C$17)*(1+Assumptions!$D$12)*$K$4</f>
        <v>420.31839233585498</v>
      </c>
      <c r="J13" s="70">
        <f>(J14+E14)/(1+Assumptions!$D$12)+G14+F14-C14</f>
        <v>-1119.04631361159</v>
      </c>
      <c r="K13" s="71">
        <f>$K$4*C14+K14/(1+Assumptions!$D$12)</f>
        <v>420.31839233585498</v>
      </c>
      <c r="L13" s="72">
        <f t="shared" si="0"/>
        <v>-698.72792127573507</v>
      </c>
      <c r="M13" s="81">
        <f t="shared" si="2"/>
        <v>131.04387583372556</v>
      </c>
      <c r="N13" s="122">
        <f>NPV(Assumptions!$D$12,Q14:$Q$17)</f>
        <v>420.31839233585504</v>
      </c>
      <c r="O13" s="82">
        <f t="shared" si="3"/>
        <v>189.47851393736755</v>
      </c>
      <c r="P13" s="47">
        <f>C13-E13-F13-G13-M13+(L12+C13-F13-G13)*Assumptions!$D$12</f>
        <v>131.3944881397052</v>
      </c>
      <c r="Q13" s="83">
        <f>C13*$K$4*(1+Assumptions!$D$12)</f>
        <v>131.39448813970517</v>
      </c>
      <c r="R13" s="84">
        <f>Assumptions!$D$12*-L12</f>
        <v>58.08402579766225</v>
      </c>
      <c r="S13" s="72">
        <f t="shared" si="4"/>
        <v>189.47851393736744</v>
      </c>
      <c r="T13" s="82">
        <f t="shared" si="5"/>
        <v>0</v>
      </c>
      <c r="U13" s="25">
        <f t="shared" si="7"/>
        <v>0.10029223868038357</v>
      </c>
    </row>
    <row r="14" spans="2:21" x14ac:dyDescent="0.25">
      <c r="B14" s="75">
        <f t="shared" si="6"/>
        <v>7</v>
      </c>
      <c r="C14" s="76">
        <f>Assumptions!K36*Assumptions!C36*Assumptions!$D$9*(1+Assumptions!$D$14)^(B14-1)</f>
        <v>1198.3362182070941</v>
      </c>
      <c r="D14" s="77">
        <f>(C14-F14-G14)*Assumptions!$D$12</f>
        <v>77.53481565269395</v>
      </c>
      <c r="E14" s="78">
        <f>Assumptions!L36*Assumptions!$D$9*(1+Assumptions!$D$14)^(B14-1)</f>
        <v>857.71325207288589</v>
      </c>
      <c r="F14" s="78">
        <f>Assumptions!$D$17*Assumptions!K36*(1+Assumptions!$D$14)^(B14-1)</f>
        <v>30.779183686826048</v>
      </c>
      <c r="G14" s="77">
        <f>Assumptions!$D$20*C14</f>
        <v>59.916810910354712</v>
      </c>
      <c r="H14" s="79">
        <f t="shared" si="1"/>
        <v>327.46178718972135</v>
      </c>
      <c r="I14" s="122">
        <f>NPV(Assumptions!$D$12,C15:$C$17)*(1+Assumptions!$D$12)*$K$4</f>
        <v>321.14399024248661</v>
      </c>
      <c r="J14" s="70">
        <f>(J15+E15)/(1+Assumptions!$D$12)+G15+F15-C15</f>
        <v>-869.91776837467989</v>
      </c>
      <c r="K14" s="71">
        <f>$K$4*C15+K15/(1+Assumptions!$D$12)</f>
        <v>321.14399024248661</v>
      </c>
      <c r="L14" s="72">
        <f t="shared" si="0"/>
        <v>-548.77377813219323</v>
      </c>
      <c r="M14" s="81">
        <f t="shared" si="2"/>
        <v>149.95414314354184</v>
      </c>
      <c r="N14" s="122">
        <f>NPV(Assumptions!$D$12,Q15:$Q$17)</f>
        <v>321.14399024248661</v>
      </c>
      <c r="O14" s="82">
        <f t="shared" si="3"/>
        <v>177.50764404617951</v>
      </c>
      <c r="P14" s="47">
        <f>C14-E14-F14-G14-M14+(L13+C14-F14-G14)*Assumptions!$D$12</f>
        <v>128.59668955687812</v>
      </c>
      <c r="Q14" s="83">
        <f>C14*$K$4*(1+Assumptions!$D$12)</f>
        <v>128.59668955687829</v>
      </c>
      <c r="R14" s="84">
        <f>Assumptions!$D$12*-L13</f>
        <v>48.91095448930146</v>
      </c>
      <c r="S14" s="72">
        <f t="shared" si="4"/>
        <v>177.50764404617973</v>
      </c>
      <c r="T14" s="82">
        <f t="shared" si="5"/>
        <v>-2.2737367544323206E-13</v>
      </c>
      <c r="U14" s="25">
        <f t="shared" si="7"/>
        <v>0.10029223868038357</v>
      </c>
    </row>
    <row r="15" spans="2:21" x14ac:dyDescent="0.25">
      <c r="B15" s="75">
        <f t="shared" si="6"/>
        <v>8</v>
      </c>
      <c r="C15" s="76">
        <f>Assumptions!K37*Assumptions!C37*Assumptions!$D$9*(1+Assumptions!$D$14)^(B15-1)</f>
        <v>1167.876613881632</v>
      </c>
      <c r="D15" s="77">
        <f>(C15-F15-G15)*Assumptions!$D$12</f>
        <v>75.811422550355559</v>
      </c>
      <c r="E15" s="78">
        <f>Assumptions!L37*Assumptions!$D$9*(1+Assumptions!$D$14)^(B15-1)</f>
        <v>829.15711257457258</v>
      </c>
      <c r="F15" s="78">
        <f>Assumptions!$D$17*Assumptions!K37*(1+Assumptions!$D$14)^(B15-1)</f>
        <v>26.46246103961402</v>
      </c>
      <c r="G15" s="77">
        <f>Assumptions!$D$20*C15</f>
        <v>58.393830694081601</v>
      </c>
      <c r="H15" s="79">
        <f t="shared" si="1"/>
        <v>329.67463212371928</v>
      </c>
      <c r="I15" s="122">
        <f>NPV(Assumptions!$D$12,C16:$C$17)*(1+Assumptions!$D$12)*$K$4</f>
        <v>218.2960822432</v>
      </c>
      <c r="J15" s="70">
        <f>(J16+E16)/(1+Assumptions!$D$12)+G16+F16-C16</f>
        <v>-601.13738003718811</v>
      </c>
      <c r="K15" s="71">
        <f>$K$4*C16+K16/(1+Assumptions!$D$12)</f>
        <v>218.29608224320003</v>
      </c>
      <c r="L15" s="72">
        <f t="shared" si="0"/>
        <v>-382.84129779398808</v>
      </c>
      <c r="M15" s="81">
        <f t="shared" si="2"/>
        <v>165.93248033820515</v>
      </c>
      <c r="N15" s="122">
        <f>NPV(Assumptions!$D$12,Q16:$Q$17)</f>
        <v>218.29608224320003</v>
      </c>
      <c r="O15" s="82">
        <f t="shared" si="3"/>
        <v>163.74215178551412</v>
      </c>
      <c r="P15" s="47">
        <f>C15-E15-F15-G15-M15+(L14+C15-F15-G15)*Assumptions!$D$12</f>
        <v>125.32798731626067</v>
      </c>
      <c r="Q15" s="83">
        <f>C15*$K$4*(1+Assumptions!$D$12)</f>
        <v>125.32798731626063</v>
      </c>
      <c r="R15" s="84">
        <f>Assumptions!$D$12*-L14</f>
        <v>38.414164469253528</v>
      </c>
      <c r="S15" s="72">
        <f t="shared" si="4"/>
        <v>163.74215178551415</v>
      </c>
      <c r="T15" s="82">
        <f t="shared" si="5"/>
        <v>0</v>
      </c>
      <c r="U15" s="25">
        <f t="shared" si="7"/>
        <v>0.10029223868038356</v>
      </c>
    </row>
    <row r="16" spans="2:21" x14ac:dyDescent="0.25">
      <c r="B16" s="75">
        <f t="shared" si="6"/>
        <v>9</v>
      </c>
      <c r="C16" s="76">
        <f>Assumptions!K38*Assumptions!C38*Assumptions!$D$9*(1+Assumptions!$D$14)^(B16-1)</f>
        <v>1141.6675321413873</v>
      </c>
      <c r="D16" s="77">
        <f>(C16-F16-G16)*Assumptions!$D$12</f>
        <v>74.329980590456728</v>
      </c>
      <c r="E16" s="78">
        <f>Assumptions!L38*Assumptions!$D$9*(1+Assumptions!$D$14)^(B16-1)</f>
        <v>801.51575912779549</v>
      </c>
      <c r="F16" s="78">
        <f>Assumptions!$D$17*Assumptions!K38*(1+Assumptions!$D$14)^(B16-1)</f>
        <v>22.727289956364711</v>
      </c>
      <c r="G16" s="77">
        <f>Assumptions!$D$20*C16</f>
        <v>57.083376607069368</v>
      </c>
      <c r="H16" s="79">
        <f t="shared" si="1"/>
        <v>334.67108704061434</v>
      </c>
      <c r="I16" s="122">
        <f>NPV(Assumptions!$D$12,C17:$C$17)*(1+Assumptions!$D$12)*$K$4</f>
        <v>111.06138788915375</v>
      </c>
      <c r="J16" s="70">
        <f>(J17+E17)/(1+Assumptions!$D$12)+G17+F17-C17</f>
        <v>-308.54590959917687</v>
      </c>
      <c r="K16" s="71">
        <f>$K$4*C17+K17/(1+Assumptions!$D$12)</f>
        <v>111.06138788915375</v>
      </c>
      <c r="L16" s="72">
        <f t="shared" si="0"/>
        <v>-197.4845217100231</v>
      </c>
      <c r="M16" s="81">
        <f t="shared" si="2"/>
        <v>185.35677608396497</v>
      </c>
      <c r="N16" s="122">
        <f>NPV(Assumptions!$D$12,Q17)</f>
        <v>111.06138788915375</v>
      </c>
      <c r="O16" s="82">
        <f t="shared" si="3"/>
        <v>149.31431095664936</v>
      </c>
      <c r="P16" s="47">
        <f>C16-E16-F16-G16-M16+(L15+C16-F16-G16)*Assumptions!$D$12</f>
        <v>122.51542011107026</v>
      </c>
      <c r="Q16" s="83">
        <f>C16*$K$4*(1+Assumptions!$D$12)</f>
        <v>122.51542011107028</v>
      </c>
      <c r="R16" s="84">
        <f>Assumptions!$D$12*-L15</f>
        <v>26.798890845579169</v>
      </c>
      <c r="S16" s="72">
        <f t="shared" si="4"/>
        <v>149.31431095664945</v>
      </c>
      <c r="T16" s="82">
        <f t="shared" si="5"/>
        <v>0</v>
      </c>
      <c r="U16" s="25">
        <f t="shared" si="7"/>
        <v>0.10029223868038356</v>
      </c>
    </row>
    <row r="17" spans="2:21" x14ac:dyDescent="0.25">
      <c r="B17" s="85">
        <f t="shared" si="6"/>
        <v>10</v>
      </c>
      <c r="C17" s="86">
        <f>Assumptions!K39*Assumptions!C39*Assumptions!$D$9*(1+Assumptions!$D$14)^(B17-1)</f>
        <v>1107.3776929348428</v>
      </c>
      <c r="D17" s="87">
        <f>(C17-F17-G17)*Assumptions!$D$12</f>
        <v>72.27589055014171</v>
      </c>
      <c r="E17" s="88">
        <f>Assumptions!L39*Assumptions!$D$9*(1+Assumptions!$D$14)^(B17-1)</f>
        <v>774.64448942390413</v>
      </c>
      <c r="F17" s="88">
        <f>Assumptions!$D$17*Assumptions!K39*(1+Assumptions!$D$14)^(B17-1)</f>
        <v>19.496086143219063</v>
      </c>
      <c r="G17" s="87">
        <f>Assumptions!$D$20*C17</f>
        <v>55.368884646742146</v>
      </c>
      <c r="H17" s="89">
        <f t="shared" si="1"/>
        <v>330.14412327111904</v>
      </c>
      <c r="I17" s="80"/>
      <c r="J17" s="90">
        <f>(J18+E18)/(1+Assumptions!$D$12)+G18+F18-C18</f>
        <v>0</v>
      </c>
      <c r="K17" s="91">
        <f>$K$4*C18+J18/(1+Assumptions!$D$12)</f>
        <v>0</v>
      </c>
      <c r="L17" s="92">
        <f t="shared" si="0"/>
        <v>0</v>
      </c>
      <c r="M17" s="93">
        <f t="shared" si="2"/>
        <v>197.4845217100231</v>
      </c>
      <c r="N17" s="47"/>
      <c r="O17" s="94">
        <f t="shared" si="3"/>
        <v>132.65960156109594</v>
      </c>
      <c r="P17" s="47">
        <f>C17-E17-F17-G17-M17+(L16+C17-F17-G17)*Assumptions!$D$12</f>
        <v>118.83568504139441</v>
      </c>
      <c r="Q17" s="95">
        <f>C17*$K$4*(1+Assumptions!$D$12)</f>
        <v>118.83568504139451</v>
      </c>
      <c r="R17" s="96">
        <f>Assumptions!$D$12*-L16</f>
        <v>13.823916519701619</v>
      </c>
      <c r="S17" s="92">
        <f t="shared" si="4"/>
        <v>132.65960156109614</v>
      </c>
      <c r="T17" s="94">
        <f t="shared" si="5"/>
        <v>0</v>
      </c>
      <c r="U17" s="25">
        <f t="shared" si="7"/>
        <v>0.10029223868038356</v>
      </c>
    </row>
    <row r="18" spans="2:21" x14ac:dyDescent="0.25">
      <c r="B18" s="8"/>
      <c r="C18" s="9"/>
      <c r="D18" s="9"/>
      <c r="E18" s="9"/>
      <c r="F18" s="9"/>
      <c r="G18" s="9"/>
      <c r="H18" s="48"/>
      <c r="I18" s="48"/>
      <c r="J18" s="48"/>
      <c r="K18" s="48"/>
      <c r="L18" s="9"/>
      <c r="M18" s="9"/>
      <c r="N18" s="9"/>
      <c r="O18" s="9"/>
      <c r="P18" s="9"/>
      <c r="Q18" s="9"/>
      <c r="R18" s="9"/>
      <c r="S18" s="9"/>
      <c r="T18" s="28"/>
    </row>
    <row r="19" spans="2:21" s="35" customFormat="1" x14ac:dyDescent="0.25">
      <c r="B19" s="33" t="s">
        <v>64</v>
      </c>
      <c r="C19" s="97">
        <f>NPV(Assumptions!$D$12,C8:C17)*(1+Assumptions!$D$12)</f>
        <v>9441.6033191211536</v>
      </c>
      <c r="D19" s="98"/>
      <c r="E19" s="98">
        <f>NPV(Assumptions!$D$12,E8:E17)</f>
        <v>6507.3313853198497</v>
      </c>
      <c r="F19" s="97">
        <f>NPV(Assumptions!$D$12,F8:F17)*(1+Assumptions!$D$12)</f>
        <v>616.64723423844578</v>
      </c>
      <c r="G19" s="97">
        <f>NPV(Assumptions!$D$12,G8:G17)*(1+Assumptions!$D$12)</f>
        <v>1370.7051659560577</v>
      </c>
      <c r="H19" s="99"/>
      <c r="I19" s="99"/>
      <c r="J19" s="99"/>
      <c r="K19" s="97"/>
      <c r="L19" s="62"/>
      <c r="M19" s="62"/>
      <c r="N19" s="62"/>
      <c r="O19" s="97">
        <f>NPV(Assumptions!$D$12,O8:O17)</f>
        <v>1294.1966065422143</v>
      </c>
      <c r="P19" s="100"/>
      <c r="Q19" s="97">
        <f>NPV(Assumptions!$D$12,Q8:Q17)</f>
        <v>946.91953360680031</v>
      </c>
      <c r="R19" s="97">
        <f>NPV(Assumptions!$D$12,R8:R17)</f>
        <v>347.27707293541374</v>
      </c>
      <c r="S19" s="97">
        <f>NPV(Assumptions!$D$12,S8:S17)</f>
        <v>1294.1966065422141</v>
      </c>
      <c r="T19" s="34"/>
    </row>
    <row r="20" spans="2:21" x14ac:dyDescent="0.25">
      <c r="B20" s="19"/>
      <c r="C20" s="20"/>
      <c r="D20" s="20"/>
      <c r="E20" s="20"/>
      <c r="F20" s="20"/>
      <c r="G20" s="20"/>
      <c r="H20" s="49"/>
      <c r="I20" s="101"/>
      <c r="J20" s="49"/>
      <c r="K20" s="49"/>
      <c r="L20" s="20"/>
      <c r="M20" s="20"/>
      <c r="N20" s="20"/>
      <c r="O20" s="20"/>
      <c r="P20" s="20"/>
      <c r="Q20" s="20"/>
      <c r="R20" s="20"/>
      <c r="S20" s="20"/>
      <c r="T20" s="39"/>
    </row>
    <row r="21" spans="2:21" x14ac:dyDescent="0.25">
      <c r="I21" s="103"/>
    </row>
    <row r="23" spans="2:21" x14ac:dyDescent="0.25">
      <c r="I23" s="43" t="s">
        <v>47</v>
      </c>
      <c r="J23" s="44"/>
      <c r="K23" s="45">
        <f>-J10</f>
        <v>1722.7908045122995</v>
      </c>
    </row>
    <row r="24" spans="2:21" x14ac:dyDescent="0.25">
      <c r="I24" s="19" t="s">
        <v>49</v>
      </c>
      <c r="J24" s="49"/>
      <c r="K24" s="50">
        <f>K23/L24</f>
        <v>0.24842294353023517</v>
      </c>
      <c r="L24" s="97">
        <f>NPV(Assumptions!$D$12,C11:C17)*(1+Assumptions!$D$12)</f>
        <v>6934.910198029359</v>
      </c>
    </row>
    <row r="26" spans="2:21" ht="81" x14ac:dyDescent="0.25">
      <c r="I26" s="126"/>
      <c r="J26" s="126">
        <f>J10</f>
        <v>-1722.7908045122995</v>
      </c>
      <c r="O26" s="63" t="s">
        <v>59</v>
      </c>
      <c r="P26" s="31"/>
      <c r="Q26" s="64" t="s">
        <v>60</v>
      </c>
      <c r="R26" s="54" t="s">
        <v>61</v>
      </c>
      <c r="S26" s="60" t="s">
        <v>62</v>
      </c>
      <c r="T26" s="63" t="s">
        <v>63</v>
      </c>
    </row>
    <row r="27" spans="2:21" x14ac:dyDescent="0.25">
      <c r="G27" s="102">
        <f t="shared" ref="G27:G33" si="8">B11</f>
        <v>4</v>
      </c>
      <c r="H27" s="126">
        <f t="shared" ref="H27:J33" si="9">H11</f>
        <v>300.4243720147835</v>
      </c>
      <c r="I27" s="126">
        <f>NPV(Assumptions!$D$12,C12:$C$17)*(1+Assumptions!$D$12)*$K$24</f>
        <v>1503.1267927992149</v>
      </c>
      <c r="J27" s="126">
        <f t="shared" si="9"/>
        <v>-1542.9617888133771</v>
      </c>
      <c r="L27" s="127">
        <f>I27+J27</f>
        <v>-39.834996014162243</v>
      </c>
      <c r="M27" s="81">
        <f t="shared" ref="M27:M33" si="10">L27-L26</f>
        <v>-39.834996014162243</v>
      </c>
      <c r="O27" s="82">
        <f>H27-M27</f>
        <v>340.25936802894574</v>
      </c>
      <c r="Q27" s="83">
        <f>C11*$K$24*(1+Assumptions!$D$12)</f>
        <v>340.25936802894563</v>
      </c>
      <c r="R27" s="84">
        <f>Assumptions!$D$12*-L26</f>
        <v>0</v>
      </c>
      <c r="S27" s="72">
        <f t="shared" ref="S27:S33" si="11">Q27+R27</f>
        <v>340.25936802894563</v>
      </c>
      <c r="T27" s="82">
        <f t="shared" ref="T27:T33" si="12">O27-S27</f>
        <v>0</v>
      </c>
    </row>
    <row r="28" spans="2:21" x14ac:dyDescent="0.25">
      <c r="G28" s="102">
        <f t="shared" si="8"/>
        <v>5</v>
      </c>
      <c r="H28" s="126">
        <f t="shared" ref="H28" si="13">H12</f>
        <v>305.57780245771255</v>
      </c>
      <c r="I28" s="126">
        <f>NPV(Assumptions!$D$12,C13:$C$17)*(1+Assumptions!$D$12)*$K$24</f>
        <v>1277.184747393796</v>
      </c>
      <c r="J28" s="126">
        <f t="shared" si="9"/>
        <v>-1345.3913115726009</v>
      </c>
      <c r="L28" s="127">
        <f t="shared" ref="L28:L33" si="14">I28+J28</f>
        <v>-68.206564178804911</v>
      </c>
      <c r="M28" s="81">
        <f t="shared" si="10"/>
        <v>-28.371568164642667</v>
      </c>
      <c r="O28" s="82">
        <f t="shared" ref="O28:O33" si="15">H28-M28</f>
        <v>333.94937062235522</v>
      </c>
      <c r="Q28" s="83">
        <f>C12*$K$24*(1+Assumptions!$D$12)</f>
        <v>331.1609209013638</v>
      </c>
      <c r="R28" s="84">
        <f>Assumptions!$D$12*-L27</f>
        <v>2.7884497209913572</v>
      </c>
      <c r="S28" s="72">
        <f t="shared" si="11"/>
        <v>333.94937062235516</v>
      </c>
      <c r="T28" s="82">
        <f t="shared" si="12"/>
        <v>0</v>
      </c>
    </row>
    <row r="29" spans="2:21" x14ac:dyDescent="0.25">
      <c r="G29" s="102">
        <f t="shared" si="8"/>
        <v>6</v>
      </c>
      <c r="H29" s="126">
        <f t="shared" ref="H29" si="16">H13</f>
        <v>320.52238977109312</v>
      </c>
      <c r="I29" s="126">
        <f>NPV(Assumptions!$D$12,C14:$C$17)*(1+Assumptions!$D$12)*$K$24</f>
        <v>1041.1247531997958</v>
      </c>
      <c r="J29" s="126">
        <f t="shared" si="9"/>
        <v>-1119.04631361159</v>
      </c>
      <c r="L29" s="127">
        <f t="shared" si="14"/>
        <v>-77.921560411794189</v>
      </c>
      <c r="M29" s="81">
        <f t="shared" si="10"/>
        <v>-9.7149962329892787</v>
      </c>
      <c r="O29" s="82">
        <f t="shared" si="15"/>
        <v>330.2373860040824</v>
      </c>
      <c r="Q29" s="83">
        <f>C13*$K$24*(1+Assumptions!$D$12)</f>
        <v>325.46292651156614</v>
      </c>
      <c r="R29" s="84">
        <f>Assumptions!$D$12*-L28</f>
        <v>4.7744594925163444</v>
      </c>
      <c r="S29" s="72">
        <f t="shared" si="11"/>
        <v>330.23738600408251</v>
      </c>
      <c r="T29" s="82">
        <f t="shared" si="12"/>
        <v>0</v>
      </c>
    </row>
    <row r="30" spans="2:21" x14ac:dyDescent="0.25">
      <c r="G30" s="102">
        <f t="shared" si="8"/>
        <v>7</v>
      </c>
      <c r="H30" s="126">
        <f t="shared" ref="H30" si="17">H14</f>
        <v>327.46178718972135</v>
      </c>
      <c r="I30" s="126">
        <f>NPV(Assumptions!$D$12,C15:$C$17)*(1+Assumptions!$D$12)*$K$24</f>
        <v>795.47068051127223</v>
      </c>
      <c r="J30" s="126">
        <f t="shared" si="9"/>
        <v>-869.91776837467989</v>
      </c>
      <c r="L30" s="127">
        <f t="shared" si="14"/>
        <v>-74.44708786340766</v>
      </c>
      <c r="M30" s="81">
        <f t="shared" si="10"/>
        <v>3.4744725483865295</v>
      </c>
      <c r="O30" s="82">
        <f t="shared" si="15"/>
        <v>323.98731464133482</v>
      </c>
      <c r="Q30" s="83">
        <f>C14*$K$24*(1+Assumptions!$D$12)</f>
        <v>318.53280541250928</v>
      </c>
      <c r="R30" s="84">
        <f>Assumptions!$D$12*-L29</f>
        <v>5.4545092288255939</v>
      </c>
      <c r="S30" s="72">
        <f t="shared" si="11"/>
        <v>323.98731464133488</v>
      </c>
      <c r="T30" s="82">
        <f t="shared" si="12"/>
        <v>0</v>
      </c>
    </row>
    <row r="31" spans="2:21" x14ac:dyDescent="0.25">
      <c r="G31" s="102">
        <f t="shared" si="8"/>
        <v>8</v>
      </c>
      <c r="H31" s="126">
        <f t="shared" ref="H31" si="18">H15</f>
        <v>329.67463212371928</v>
      </c>
      <c r="I31" s="126">
        <f>NPV(Assumptions!$D$12,C16:$C$17)*(1+Assumptions!$D$12)*$K$24</f>
        <v>540.71736781942036</v>
      </c>
      <c r="J31" s="126">
        <f t="shared" si="9"/>
        <v>-601.13738003718811</v>
      </c>
      <c r="L31" s="127">
        <f t="shared" si="14"/>
        <v>-60.420012217767749</v>
      </c>
      <c r="M31" s="81">
        <f t="shared" si="10"/>
        <v>14.027075645639911</v>
      </c>
      <c r="O31" s="82">
        <f t="shared" si="15"/>
        <v>315.64755647807937</v>
      </c>
      <c r="Q31" s="83">
        <f>C15*$K$24*(1+Assumptions!$D$12)</f>
        <v>310.43626032764087</v>
      </c>
      <c r="R31" s="84">
        <f>Assumptions!$D$12*-L30</f>
        <v>5.2112961504385371</v>
      </c>
      <c r="S31" s="72">
        <f t="shared" si="11"/>
        <v>315.64755647807942</v>
      </c>
      <c r="T31" s="82">
        <f t="shared" si="12"/>
        <v>0</v>
      </c>
    </row>
    <row r="32" spans="2:21" x14ac:dyDescent="0.25">
      <c r="G32" s="102">
        <f t="shared" si="8"/>
        <v>9</v>
      </c>
      <c r="H32" s="126">
        <f t="shared" ref="H32" si="19">H16</f>
        <v>334.67108704061434</v>
      </c>
      <c r="I32" s="126">
        <f>NPV(Assumptions!$D$12,C17:$C$17)*(1+Assumptions!$D$12)*$K$24</f>
        <v>275.09802607859456</v>
      </c>
      <c r="J32" s="126">
        <f t="shared" si="9"/>
        <v>-308.54590959917687</v>
      </c>
      <c r="L32" s="127">
        <f t="shared" si="14"/>
        <v>-33.447883520582309</v>
      </c>
      <c r="M32" s="81">
        <f t="shared" si="10"/>
        <v>26.97212869718544</v>
      </c>
      <c r="O32" s="82">
        <f t="shared" si="15"/>
        <v>307.6989583434289</v>
      </c>
      <c r="Q32" s="83">
        <f>C16*$K$24*(1+Assumptions!$D$12)</f>
        <v>303.46955748818522</v>
      </c>
      <c r="R32" s="84">
        <f>Assumptions!$D$12*-L31</f>
        <v>4.2294008552437425</v>
      </c>
      <c r="S32" s="72">
        <f t="shared" si="11"/>
        <v>307.69895834342896</v>
      </c>
      <c r="T32" s="82">
        <f t="shared" si="12"/>
        <v>0</v>
      </c>
    </row>
    <row r="33" spans="7:20" x14ac:dyDescent="0.25">
      <c r="G33" s="102">
        <f t="shared" si="8"/>
        <v>10</v>
      </c>
      <c r="H33" s="126">
        <f t="shared" ref="H33" si="20">H17</f>
        <v>330.14412327111904</v>
      </c>
      <c r="I33" s="126"/>
      <c r="J33" s="126">
        <f t="shared" si="9"/>
        <v>0</v>
      </c>
      <c r="L33" s="127">
        <f t="shared" si="14"/>
        <v>0</v>
      </c>
      <c r="M33" s="81">
        <f t="shared" si="10"/>
        <v>33.447883520582309</v>
      </c>
      <c r="O33" s="82">
        <f t="shared" si="15"/>
        <v>296.69623975053673</v>
      </c>
      <c r="Q33" s="83">
        <f>C17*$K$24*(1+Assumptions!$D$12)</f>
        <v>294.35488790409619</v>
      </c>
      <c r="R33" s="84">
        <f>Assumptions!$D$12*-L32</f>
        <v>2.3413518464407619</v>
      </c>
      <c r="S33" s="72">
        <f t="shared" si="11"/>
        <v>296.69623975053696</v>
      </c>
      <c r="T33" s="82">
        <f t="shared" si="12"/>
        <v>0</v>
      </c>
    </row>
    <row r="34" spans="7:20" x14ac:dyDescent="0.25">
      <c r="T34" s="82"/>
    </row>
    <row r="35" spans="7:20" x14ac:dyDescent="0.25">
      <c r="L35" s="97"/>
      <c r="M35" s="97"/>
      <c r="O35" s="97">
        <f>NPV(Assumptions!$D$12,O27:O33)</f>
        <v>1741.2768313740241</v>
      </c>
      <c r="Q35" s="97"/>
      <c r="R35" s="97"/>
      <c r="T35" s="82"/>
    </row>
    <row r="36" spans="7:20" x14ac:dyDescent="0.25">
      <c r="T36" s="94"/>
    </row>
  </sheetData>
  <pageMargins left="0.36" right="0.39" top="0.28999999999999998" bottom="0.43" header="0.51181102362204722" footer="0.16"/>
  <pageSetup paperSize="9" scale="4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3:Q18"/>
  <sheetViews>
    <sheetView zoomScale="115" zoomScaleNormal="115" workbookViewId="0">
      <selection activeCell="M11" sqref="M11"/>
    </sheetView>
  </sheetViews>
  <sheetFormatPr defaultRowHeight="13.5" x14ac:dyDescent="0.25"/>
  <cols>
    <col min="1" max="5" width="9.140625" style="1"/>
    <col min="6" max="6" width="32" style="1" customWidth="1"/>
    <col min="7" max="7" width="11.7109375" style="1" customWidth="1"/>
    <col min="8" max="8" width="12.7109375" style="1" customWidth="1"/>
    <col min="9" max="9" width="12.28515625" style="1" customWidth="1"/>
    <col min="10" max="10" width="9.28515625" style="1" bestFit="1" customWidth="1"/>
    <col min="11" max="11" width="12.28515625" style="1" customWidth="1"/>
    <col min="12" max="12" width="12.7109375" style="1" customWidth="1"/>
    <col min="13" max="13" width="13.85546875" style="1" customWidth="1"/>
    <col min="14" max="17" width="9.28515625" style="1" bestFit="1" customWidth="1"/>
    <col min="18" max="16384" width="9.140625" style="1"/>
  </cols>
  <sheetData>
    <row r="3" spans="6:17" x14ac:dyDescent="0.25">
      <c r="G3" s="104">
        <v>42339</v>
      </c>
      <c r="H3" s="104">
        <v>42705</v>
      </c>
      <c r="I3" s="104">
        <v>43070</v>
      </c>
      <c r="J3" s="104"/>
      <c r="K3" s="104">
        <v>42339</v>
      </c>
      <c r="L3" s="104">
        <v>42705</v>
      </c>
      <c r="M3" s="104">
        <v>43070</v>
      </c>
      <c r="N3" s="104"/>
      <c r="O3" s="104"/>
      <c r="P3" s="104"/>
      <c r="Q3" s="104"/>
    </row>
    <row r="4" spans="6:17" x14ac:dyDescent="0.25">
      <c r="F4" s="105" t="s">
        <v>65</v>
      </c>
      <c r="G4" s="106">
        <f>SUM(G5)</f>
        <v>1000</v>
      </c>
      <c r="H4" s="106">
        <f>SUM(H5)</f>
        <v>4.282500000000141</v>
      </c>
      <c r="I4" s="106">
        <f t="shared" ref="I4" si="0">SUM(I5)</f>
        <v>276.57587013134997</v>
      </c>
      <c r="J4" s="106"/>
      <c r="K4" s="106">
        <f>SUM(K5)</f>
        <v>1000</v>
      </c>
      <c r="L4" s="106">
        <f>SUM(L5)</f>
        <v>74.282500000000141</v>
      </c>
      <c r="M4" s="106">
        <f t="shared" ref="M4" si="1">SUM(M5)</f>
        <v>351.77564513134996</v>
      </c>
      <c r="N4" s="106"/>
      <c r="O4" s="106"/>
      <c r="P4" s="106"/>
      <c r="Q4" s="106"/>
    </row>
    <row r="5" spans="6:17" ht="15" x14ac:dyDescent="0.25">
      <c r="F5" s="107" t="s">
        <v>9</v>
      </c>
      <c r="G5" s="108">
        <f>Assumptions!Q6</f>
        <v>1000</v>
      </c>
      <c r="H5" s="123">
        <f>G5+Model!H8</f>
        <v>4.282500000000141</v>
      </c>
      <c r="I5" s="123">
        <f>H5+Model!H9</f>
        <v>276.57587013134997</v>
      </c>
      <c r="J5" s="108"/>
      <c r="K5" s="108">
        <f>Assumptions!Q6</f>
        <v>1000</v>
      </c>
      <c r="L5" s="125">
        <f>K5*(1+Assumptions!$D$12)+Model!H8</f>
        <v>74.282500000000141</v>
      </c>
      <c r="M5" s="125">
        <f>L5*(1+Assumptions!$D$12)+Model!H9</f>
        <v>351.77564513134996</v>
      </c>
      <c r="N5" s="108"/>
      <c r="O5" s="108"/>
      <c r="P5" s="108"/>
      <c r="Q5" s="108"/>
    </row>
    <row r="6" spans="6:17" x14ac:dyDescent="0.25">
      <c r="F6" s="105" t="s">
        <v>66</v>
      </c>
      <c r="G6" s="106">
        <f>SUM(G7:G8)</f>
        <v>100</v>
      </c>
      <c r="H6" s="106">
        <f>SUM(H7:H8)</f>
        <v>-1044.0773013739254</v>
      </c>
      <c r="I6" s="106">
        <f t="shared" ref="I6" si="2">SUM(I7:I8)</f>
        <v>-995.93038299028808</v>
      </c>
      <c r="J6" s="106"/>
      <c r="K6" s="106">
        <f>SUM(K7:K8)</f>
        <v>100</v>
      </c>
      <c r="L6" s="106">
        <f>SUM(L7:L8)</f>
        <v>-1044.0773013739254</v>
      </c>
      <c r="M6" s="106">
        <f t="shared" ref="M6" si="3">SUM(M7:M8)</f>
        <v>-995.93038299028808</v>
      </c>
      <c r="N6" s="106"/>
      <c r="O6" s="106"/>
      <c r="P6" s="106"/>
      <c r="Q6" s="106"/>
    </row>
    <row r="7" spans="6:17" x14ac:dyDescent="0.25">
      <c r="F7" s="107" t="s">
        <v>67</v>
      </c>
      <c r="G7" s="108">
        <v>0</v>
      </c>
      <c r="H7" s="109">
        <f>Model!L8</f>
        <v>-1144.0773013739254</v>
      </c>
      <c r="I7" s="109">
        <f>Model!L9</f>
        <v>-1095.9303829902881</v>
      </c>
      <c r="J7" s="108"/>
      <c r="K7" s="108">
        <v>0</v>
      </c>
      <c r="L7" s="109">
        <f>Model!L8</f>
        <v>-1144.0773013739254</v>
      </c>
      <c r="M7" s="109">
        <f>Model!L9</f>
        <v>-1095.9303829902881</v>
      </c>
      <c r="N7" s="108"/>
      <c r="O7" s="108"/>
      <c r="P7" s="108"/>
      <c r="Q7" s="108"/>
    </row>
    <row r="8" spans="6:17" x14ac:dyDescent="0.25">
      <c r="F8" s="107" t="s">
        <v>68</v>
      </c>
      <c r="G8" s="108">
        <f>Assumptions!Q7</f>
        <v>100</v>
      </c>
      <c r="H8" s="109">
        <f>G8</f>
        <v>100</v>
      </c>
      <c r="I8" s="109">
        <f>H8</f>
        <v>100</v>
      </c>
      <c r="J8" s="108"/>
      <c r="K8" s="108">
        <f>Assumptions!Q7</f>
        <v>100</v>
      </c>
      <c r="L8" s="109">
        <f>K8</f>
        <v>100</v>
      </c>
      <c r="M8" s="109">
        <f>L8</f>
        <v>100</v>
      </c>
      <c r="N8" s="108"/>
      <c r="O8" s="108"/>
      <c r="P8" s="108"/>
      <c r="Q8" s="108"/>
    </row>
    <row r="9" spans="6:17" x14ac:dyDescent="0.25">
      <c r="F9" s="110" t="s">
        <v>69</v>
      </c>
      <c r="G9" s="106">
        <f>SUM(G10:G11)</f>
        <v>900</v>
      </c>
      <c r="H9" s="106">
        <f t="shared" ref="H9:I9" si="4">SUM(H10:H11)</f>
        <v>1048.3598013739247</v>
      </c>
      <c r="I9" s="106">
        <f t="shared" si="4"/>
        <v>1272.5062531216372</v>
      </c>
      <c r="J9" s="106"/>
      <c r="K9" s="106">
        <f>SUM(K10:K11)</f>
        <v>900</v>
      </c>
      <c r="L9" s="106">
        <f t="shared" ref="L9:M9" si="5">SUM(L10:L11)</f>
        <v>1118.3598013739245</v>
      </c>
      <c r="M9" s="106">
        <f t="shared" si="5"/>
        <v>1347.706028121637</v>
      </c>
      <c r="N9" s="106"/>
      <c r="O9" s="106"/>
      <c r="P9" s="106"/>
      <c r="Q9" s="106"/>
    </row>
    <row r="10" spans="6:17" ht="15" x14ac:dyDescent="0.25">
      <c r="F10" s="107" t="s">
        <v>70</v>
      </c>
      <c r="G10" s="108">
        <f>G4-G6</f>
        <v>900</v>
      </c>
      <c r="H10" s="109">
        <f>G10</f>
        <v>900</v>
      </c>
      <c r="I10" s="123">
        <f>H10</f>
        <v>900</v>
      </c>
      <c r="J10" s="106"/>
      <c r="K10" s="108">
        <f>K4-K6</f>
        <v>900</v>
      </c>
      <c r="L10" s="109">
        <f>K10</f>
        <v>900</v>
      </c>
      <c r="M10" s="125">
        <f>L10+L11</f>
        <v>1118.3598013739245</v>
      </c>
      <c r="N10" s="108"/>
      <c r="O10" s="108"/>
      <c r="P10" s="108"/>
      <c r="Q10" s="108"/>
    </row>
    <row r="11" spans="6:17" ht="15" x14ac:dyDescent="0.25">
      <c r="F11" s="107" t="s">
        <v>71</v>
      </c>
      <c r="G11" s="108">
        <v>0</v>
      </c>
      <c r="H11" s="124">
        <f>Model!O8</f>
        <v>148.3598013739246</v>
      </c>
      <c r="I11" s="123">
        <f>H11+Model!O9</f>
        <v>372.50625312163714</v>
      </c>
      <c r="J11" s="106"/>
      <c r="K11" s="108">
        <v>0</v>
      </c>
      <c r="L11" s="125">
        <f>Model!S8+K5*Assumptions!$D$12</f>
        <v>218.35980137392448</v>
      </c>
      <c r="M11" s="125">
        <f>Model!S9+L5*Assumptions!$D$12</f>
        <v>229.34622674771262</v>
      </c>
      <c r="N11" s="108"/>
      <c r="O11" s="108"/>
      <c r="P11" s="108"/>
      <c r="Q11" s="108"/>
    </row>
    <row r="12" spans="6:17" x14ac:dyDescent="0.25">
      <c r="F12" s="105" t="s">
        <v>72</v>
      </c>
      <c r="G12" s="106"/>
      <c r="H12" s="106">
        <f t="shared" ref="H12:I12" si="6">H9-G9</f>
        <v>148.35980137392471</v>
      </c>
      <c r="I12" s="106">
        <f t="shared" si="6"/>
        <v>224.14645174771249</v>
      </c>
      <c r="J12" s="106"/>
      <c r="K12" s="106"/>
      <c r="L12" s="106">
        <f t="shared" ref="L12" si="7">L9-K9</f>
        <v>218.35980137392448</v>
      </c>
      <c r="M12" s="106">
        <f t="shared" ref="M12" si="8">M9-L9</f>
        <v>229.34622674771254</v>
      </c>
      <c r="N12" s="106"/>
      <c r="O12" s="106"/>
      <c r="P12" s="106"/>
      <c r="Q12" s="106"/>
    </row>
    <row r="13" spans="6:17" x14ac:dyDescent="0.25">
      <c r="F13" s="105" t="s">
        <v>73</v>
      </c>
      <c r="G13" s="106"/>
      <c r="H13" s="106">
        <f t="shared" ref="H13:I13" si="9">H4-H6-H9</f>
        <v>0</v>
      </c>
      <c r="I13" s="106">
        <f t="shared" si="9"/>
        <v>0</v>
      </c>
      <c r="J13" s="106"/>
      <c r="K13" s="106"/>
      <c r="L13" s="106">
        <f t="shared" ref="L13:M13" si="10">L4-L6-L9</f>
        <v>0</v>
      </c>
      <c r="M13" s="106">
        <f t="shared" si="10"/>
        <v>0</v>
      </c>
      <c r="N13" s="106"/>
      <c r="O13" s="106"/>
      <c r="P13" s="106"/>
      <c r="Q13" s="106"/>
    </row>
    <row r="14" spans="6:17" x14ac:dyDescent="0.25">
      <c r="H14" s="111"/>
      <c r="I14" s="112"/>
    </row>
    <row r="15" spans="6:17" x14ac:dyDescent="0.25">
      <c r="F15" s="105"/>
      <c r="H15" s="108"/>
      <c r="I15" s="108"/>
      <c r="J15" s="108"/>
      <c r="K15" s="108"/>
      <c r="L15" s="108"/>
      <c r="M15" s="108"/>
      <c r="N15" s="108"/>
      <c r="O15" s="108"/>
      <c r="P15" s="108"/>
      <c r="Q15" s="108"/>
    </row>
    <row r="16" spans="6:17" x14ac:dyDescent="0.25">
      <c r="F16" s="107"/>
      <c r="H16" s="108"/>
      <c r="I16" s="108"/>
      <c r="J16" s="108"/>
      <c r="K16" s="108"/>
      <c r="L16" s="108"/>
      <c r="M16" s="108"/>
      <c r="N16" s="108"/>
      <c r="O16" s="108"/>
      <c r="P16" s="108"/>
      <c r="Q16" s="108"/>
    </row>
    <row r="17" spans="6:17" x14ac:dyDescent="0.25">
      <c r="F17" s="107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6:17" x14ac:dyDescent="0.25">
      <c r="F18" s="107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</sheetData>
  <pageMargins left="0.7" right="0.7" top="0.75" bottom="0.75" header="0.3" footer="0.3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7"/>
  <sheetViews>
    <sheetView workbookViewId="0">
      <selection activeCell="F7" sqref="F7"/>
    </sheetView>
  </sheetViews>
  <sheetFormatPr defaultRowHeight="13.5" x14ac:dyDescent="0.25"/>
  <cols>
    <col min="1" max="3" width="9.140625" style="1"/>
    <col min="4" max="4" width="14.85546875" style="1" customWidth="1"/>
    <col min="5" max="7" width="9.140625" style="1"/>
    <col min="8" max="8" width="11.85546875" style="1" customWidth="1"/>
    <col min="9" max="11" width="9.140625" style="1"/>
    <col min="12" max="12" width="42.42578125" style="1" bestFit="1" customWidth="1"/>
    <col min="13" max="16384" width="9.140625" style="1"/>
  </cols>
  <sheetData>
    <row r="3" spans="4:17" ht="15" x14ac:dyDescent="0.25">
      <c r="L3"/>
      <c r="M3"/>
      <c r="N3"/>
      <c r="O3"/>
      <c r="P3"/>
      <c r="Q3"/>
    </row>
    <row r="4" spans="4:17" ht="15" x14ac:dyDescent="0.25">
      <c r="D4" s="3" t="s">
        <v>74</v>
      </c>
      <c r="E4" s="26"/>
      <c r="F4" s="26"/>
      <c r="G4" s="26"/>
      <c r="H4" s="24"/>
      <c r="L4"/>
      <c r="M4"/>
      <c r="N4"/>
      <c r="O4"/>
      <c r="P4"/>
      <c r="Q4"/>
    </row>
    <row r="5" spans="4:17" ht="15" x14ac:dyDescent="0.25">
      <c r="D5" s="8"/>
      <c r="E5" s="9"/>
      <c r="F5" s="9"/>
      <c r="G5" s="9"/>
      <c r="H5" s="28"/>
      <c r="L5"/>
      <c r="M5"/>
      <c r="N5"/>
      <c r="O5"/>
      <c r="P5"/>
      <c r="Q5"/>
    </row>
    <row r="6" spans="4:17" ht="15" x14ac:dyDescent="0.25">
      <c r="D6" s="29" t="s">
        <v>75</v>
      </c>
      <c r="E6" s="9"/>
      <c r="F6" s="9"/>
      <c r="G6" s="9"/>
      <c r="H6" s="28"/>
      <c r="L6"/>
      <c r="M6"/>
      <c r="N6"/>
      <c r="O6"/>
      <c r="P6"/>
      <c r="Q6"/>
    </row>
    <row r="7" spans="4:17" ht="15" x14ac:dyDescent="0.25">
      <c r="D7" s="8" t="s">
        <v>76</v>
      </c>
      <c r="E7" s="9"/>
      <c r="F7" s="113">
        <f>Model!Q19</f>
        <v>946.91953360680031</v>
      </c>
      <c r="G7" s="9"/>
      <c r="H7" s="28"/>
      <c r="L7"/>
      <c r="M7"/>
      <c r="N7"/>
      <c r="O7"/>
      <c r="P7"/>
      <c r="Q7"/>
    </row>
    <row r="8" spans="4:17" ht="15" x14ac:dyDescent="0.25">
      <c r="D8" s="8"/>
      <c r="E8" s="9"/>
      <c r="F8" s="9"/>
      <c r="G8" s="9"/>
      <c r="H8" s="28"/>
      <c r="L8"/>
      <c r="M8"/>
      <c r="N8"/>
      <c r="O8"/>
      <c r="P8"/>
      <c r="Q8"/>
    </row>
    <row r="9" spans="4:17" ht="15" x14ac:dyDescent="0.25">
      <c r="D9" s="8" t="s">
        <v>77</v>
      </c>
      <c r="E9" s="9"/>
      <c r="F9" s="9"/>
      <c r="G9" s="9"/>
      <c r="H9" s="28"/>
      <c r="L9"/>
      <c r="M9"/>
      <c r="N9"/>
      <c r="O9"/>
      <c r="P9"/>
      <c r="Q9"/>
    </row>
    <row r="10" spans="4:17" ht="15" x14ac:dyDescent="0.25">
      <c r="D10" s="114" t="s">
        <v>78</v>
      </c>
      <c r="E10" s="9"/>
      <c r="F10" s="115"/>
      <c r="G10" s="9"/>
      <c r="H10" s="28"/>
      <c r="L10"/>
      <c r="M10"/>
      <c r="N10"/>
      <c r="O10"/>
      <c r="P10"/>
      <c r="Q10"/>
    </row>
    <row r="11" spans="4:17" ht="15" x14ac:dyDescent="0.25">
      <c r="D11" s="114" t="s">
        <v>79</v>
      </c>
      <c r="E11" s="9"/>
      <c r="F11" s="115"/>
      <c r="G11" s="9"/>
      <c r="H11" s="28"/>
      <c r="L11"/>
      <c r="M11"/>
      <c r="N11"/>
      <c r="O11"/>
      <c r="P11"/>
      <c r="Q11"/>
    </row>
    <row r="12" spans="4:17" ht="15" x14ac:dyDescent="0.25">
      <c r="D12" s="114" t="s">
        <v>80</v>
      </c>
      <c r="E12" s="9"/>
      <c r="F12" s="115"/>
      <c r="G12" s="9"/>
      <c r="H12" s="28"/>
      <c r="L12"/>
      <c r="M12"/>
      <c r="N12"/>
      <c r="O12"/>
      <c r="P12"/>
      <c r="Q12"/>
    </row>
    <row r="13" spans="4:17" ht="15" x14ac:dyDescent="0.25">
      <c r="D13" s="8"/>
      <c r="E13" s="9"/>
      <c r="F13" s="9"/>
      <c r="G13" s="9"/>
      <c r="H13" s="28"/>
      <c r="L13"/>
      <c r="M13"/>
      <c r="N13"/>
      <c r="O13"/>
      <c r="P13"/>
      <c r="Q13"/>
    </row>
    <row r="14" spans="4:17" ht="15" x14ac:dyDescent="0.25">
      <c r="D14" s="29" t="s">
        <v>81</v>
      </c>
      <c r="E14" s="9"/>
      <c r="F14" s="9"/>
      <c r="G14" s="9"/>
      <c r="H14" s="28"/>
      <c r="L14"/>
      <c r="M14"/>
      <c r="N14"/>
      <c r="O14"/>
      <c r="P14"/>
      <c r="Q14"/>
    </row>
    <row r="15" spans="4:17" ht="15" x14ac:dyDescent="0.25">
      <c r="D15" s="8" t="s">
        <v>76</v>
      </c>
      <c r="E15" s="9"/>
      <c r="F15" s="115"/>
      <c r="G15" s="9"/>
      <c r="H15" s="28"/>
      <c r="L15"/>
      <c r="M15"/>
      <c r="N15"/>
      <c r="O15"/>
      <c r="P15"/>
      <c r="Q15"/>
    </row>
    <row r="16" spans="4:17" ht="15" x14ac:dyDescent="0.25">
      <c r="D16" s="8" t="s">
        <v>77</v>
      </c>
      <c r="E16" s="9"/>
      <c r="F16" s="115"/>
      <c r="G16" s="9"/>
      <c r="H16" s="28"/>
      <c r="L16"/>
      <c r="M16"/>
      <c r="N16"/>
      <c r="O16"/>
      <c r="P16"/>
      <c r="Q16"/>
    </row>
    <row r="17" spans="4:17" ht="15" x14ac:dyDescent="0.25">
      <c r="D17" s="116" t="s">
        <v>82</v>
      </c>
      <c r="E17" s="117"/>
      <c r="F17" s="118"/>
      <c r="G17" s="9"/>
      <c r="H17" s="28"/>
      <c r="L17"/>
      <c r="M17"/>
      <c r="N17"/>
      <c r="O17"/>
      <c r="P17"/>
      <c r="Q17"/>
    </row>
    <row r="18" spans="4:17" ht="15" x14ac:dyDescent="0.25">
      <c r="D18" s="8"/>
      <c r="E18" s="9"/>
      <c r="F18" s="9"/>
      <c r="G18" s="9"/>
      <c r="H18" s="28"/>
      <c r="L18"/>
      <c r="M18"/>
      <c r="N18"/>
      <c r="O18"/>
      <c r="P18"/>
      <c r="Q18"/>
    </row>
    <row r="19" spans="4:17" ht="15" x14ac:dyDescent="0.25">
      <c r="D19" s="29" t="s">
        <v>83</v>
      </c>
      <c r="E19" s="9"/>
      <c r="F19" s="9"/>
      <c r="G19" s="9"/>
      <c r="H19" s="28"/>
      <c r="L19"/>
      <c r="M19"/>
      <c r="N19"/>
      <c r="O19"/>
      <c r="P19"/>
      <c r="Q19"/>
    </row>
    <row r="20" spans="4:17" ht="15" x14ac:dyDescent="0.25">
      <c r="D20" s="8" t="s">
        <v>76</v>
      </c>
      <c r="E20" s="9"/>
      <c r="F20" s="115"/>
      <c r="G20" s="9"/>
      <c r="H20" s="28"/>
      <c r="L20"/>
      <c r="M20"/>
      <c r="N20"/>
      <c r="O20"/>
      <c r="P20"/>
      <c r="Q20"/>
    </row>
    <row r="21" spans="4:17" ht="15" x14ac:dyDescent="0.25">
      <c r="D21" s="8" t="s">
        <v>77</v>
      </c>
      <c r="E21" s="9"/>
      <c r="F21" s="115"/>
      <c r="G21" s="9"/>
      <c r="H21" s="28"/>
      <c r="L21"/>
      <c r="M21"/>
      <c r="N21"/>
      <c r="O21"/>
      <c r="P21"/>
      <c r="Q21"/>
    </row>
    <row r="22" spans="4:17" ht="15" x14ac:dyDescent="0.25">
      <c r="D22" s="119" t="s">
        <v>82</v>
      </c>
      <c r="E22" s="120"/>
      <c r="F22" s="121"/>
      <c r="G22" s="20"/>
      <c r="H22" s="39"/>
      <c r="L22"/>
      <c r="M22"/>
      <c r="N22"/>
      <c r="O22"/>
      <c r="P22"/>
      <c r="Q22"/>
    </row>
    <row r="23" spans="4:17" ht="15" x14ac:dyDescent="0.25">
      <c r="L23"/>
      <c r="M23"/>
      <c r="N23"/>
      <c r="O23"/>
      <c r="P23"/>
      <c r="Q23"/>
    </row>
    <row r="24" spans="4:17" ht="15" x14ac:dyDescent="0.25">
      <c r="L24"/>
      <c r="M24"/>
      <c r="N24"/>
      <c r="O24"/>
      <c r="P24"/>
      <c r="Q24"/>
    </row>
    <row r="25" spans="4:17" ht="15" x14ac:dyDescent="0.25">
      <c r="L25"/>
      <c r="M25"/>
      <c r="N25"/>
      <c r="O25"/>
      <c r="P25"/>
      <c r="Q25"/>
    </row>
    <row r="26" spans="4:17" ht="15" x14ac:dyDescent="0.25">
      <c r="L26"/>
      <c r="M26"/>
      <c r="N26"/>
      <c r="O26"/>
      <c r="P26"/>
      <c r="Q26"/>
    </row>
    <row r="27" spans="4:17" ht="15" x14ac:dyDescent="0.25">
      <c r="L27"/>
      <c r="M27"/>
      <c r="N27"/>
      <c r="O27"/>
      <c r="P27"/>
      <c r="Q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Assumptions</vt:lpstr>
      <vt:lpstr>Model</vt:lpstr>
      <vt:lpstr>Balance Sheet</vt:lpstr>
      <vt:lpstr>Analysis</vt:lpstr>
      <vt:lpstr>'Balance Sheet'!Print_Area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Zhu, Vincent-JF</cp:lastModifiedBy>
  <dcterms:created xsi:type="dcterms:W3CDTF">2015-09-09T08:01:57Z</dcterms:created>
  <dcterms:modified xsi:type="dcterms:W3CDTF">2019-10-04T08:20:32Z</dcterms:modified>
</cp:coreProperties>
</file>