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1700" yWindow="0" windowWidth="20400" windowHeight="12435"/>
  </bookViews>
  <sheets>
    <sheet name="(a)" sheetId="1" r:id="rId1"/>
    <sheet name="(b) (i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2" l="1"/>
  <c r="D63" i="2"/>
  <c r="C63" i="2"/>
  <c r="B87" i="2"/>
  <c r="B86" i="2"/>
  <c r="B84" i="2"/>
  <c r="B85" i="2"/>
  <c r="B4" i="2"/>
  <c r="B82" i="2" l="1"/>
  <c r="B14" i="2"/>
  <c r="B16" i="2"/>
  <c r="B34" i="2"/>
  <c r="D25" i="2"/>
  <c r="E59" i="2" s="1"/>
  <c r="C25" i="2"/>
  <c r="B25" i="2"/>
  <c r="C82" i="2" s="1"/>
  <c r="C85" i="2" s="1"/>
  <c r="B95" i="2"/>
  <c r="B94" i="2"/>
  <c r="B93" i="2"/>
  <c r="B97" i="2" s="1"/>
  <c r="B92" i="2"/>
  <c r="B89" i="2"/>
  <c r="B88" i="2"/>
  <c r="D59" i="2"/>
  <c r="C58" i="2"/>
  <c r="J10" i="2"/>
  <c r="J9" i="2"/>
  <c r="J8" i="2"/>
  <c r="J7" i="2"/>
  <c r="J6" i="2"/>
  <c r="B96" i="2" l="1"/>
  <c r="B98" i="2" s="1"/>
  <c r="B90" i="2"/>
  <c r="B38" i="2" s="1"/>
  <c r="B39" i="2" s="1"/>
  <c r="C59" i="2"/>
  <c r="C84" i="2"/>
  <c r="C92" i="2" s="1"/>
  <c r="D58" i="2"/>
  <c r="C61" i="2"/>
  <c r="C65" i="2"/>
  <c r="C64" i="2"/>
  <c r="C89" i="2"/>
  <c r="C93" i="2"/>
  <c r="C97" i="2" s="1"/>
  <c r="B47" i="2"/>
  <c r="B48" i="2" s="1"/>
  <c r="D82" i="2"/>
  <c r="D85" i="2" s="1"/>
  <c r="C86" i="2"/>
  <c r="C87" i="2"/>
  <c r="E50" i="1"/>
  <c r="D50" i="1"/>
  <c r="C50" i="1"/>
  <c r="B50" i="1"/>
  <c r="E47" i="1"/>
  <c r="D47" i="1"/>
  <c r="C47" i="1"/>
  <c r="C48" i="1" s="1"/>
  <c r="B47" i="1"/>
  <c r="B48" i="1"/>
  <c r="E48" i="1"/>
  <c r="D48" i="1"/>
  <c r="D51" i="1" s="1"/>
  <c r="D41" i="1"/>
  <c r="E41" i="1" s="1"/>
  <c r="C41" i="1"/>
  <c r="E35" i="1"/>
  <c r="D35" i="1"/>
  <c r="C35" i="1"/>
  <c r="B35" i="1"/>
  <c r="E97" i="1"/>
  <c r="D97" i="1"/>
  <c r="C97" i="1"/>
  <c r="B97" i="1"/>
  <c r="E89" i="1"/>
  <c r="D89" i="1"/>
  <c r="C89" i="1"/>
  <c r="B89" i="1"/>
  <c r="D66" i="2" l="1"/>
  <c r="D64" i="2"/>
  <c r="C66" i="2"/>
  <c r="C60" i="2"/>
  <c r="C71" i="2" s="1"/>
  <c r="D84" i="2"/>
  <c r="D92" i="2" s="1"/>
  <c r="D61" i="2"/>
  <c r="D65" i="2"/>
  <c r="D60" i="2"/>
  <c r="C95" i="2"/>
  <c r="D87" i="2"/>
  <c r="D93" i="2"/>
  <c r="D97" i="2" s="1"/>
  <c r="D89" i="2"/>
  <c r="D86" i="2"/>
  <c r="C94" i="2"/>
  <c r="C88" i="2"/>
  <c r="C90" i="2" s="1"/>
  <c r="E82" i="2"/>
  <c r="E85" i="2" s="1"/>
  <c r="E58" i="2"/>
  <c r="B35" i="2"/>
  <c r="B36" i="2" s="1"/>
  <c r="E51" i="1"/>
  <c r="C51" i="1"/>
  <c r="B51" i="1"/>
  <c r="C68" i="2" l="1"/>
  <c r="D88" i="2"/>
  <c r="D90" i="2" s="1"/>
  <c r="D38" i="2" s="1"/>
  <c r="D39" i="2" s="1"/>
  <c r="D68" i="2"/>
  <c r="C96" i="2"/>
  <c r="C98" i="2" s="1"/>
  <c r="E93" i="2"/>
  <c r="E97" i="2" s="1"/>
  <c r="E89" i="2"/>
  <c r="E84" i="2"/>
  <c r="B50" i="2"/>
  <c r="B51" i="2" s="1"/>
  <c r="B41" i="2"/>
  <c r="C38" i="2"/>
  <c r="C39" i="2" s="1"/>
  <c r="E65" i="2"/>
  <c r="E60" i="2"/>
  <c r="E64" i="2"/>
  <c r="E66" i="2"/>
  <c r="E61" i="2"/>
  <c r="D94" i="2"/>
  <c r="E86" i="2"/>
  <c r="E94" i="2" s="1"/>
  <c r="E87" i="2"/>
  <c r="E95" i="2" s="1"/>
  <c r="D95" i="2"/>
  <c r="E63" i="1"/>
  <c r="E64" i="1" s="1"/>
  <c r="D63" i="1"/>
  <c r="C63" i="1"/>
  <c r="C64" i="1" s="1"/>
  <c r="E66" i="1"/>
  <c r="D66" i="1"/>
  <c r="E65" i="1"/>
  <c r="D65" i="1"/>
  <c r="C66" i="1"/>
  <c r="C65" i="1"/>
  <c r="D64" i="1"/>
  <c r="C47" i="2" l="1"/>
  <c r="C48" i="2" s="1"/>
  <c r="D96" i="2"/>
  <c r="D98" i="2" s="1"/>
  <c r="D70" i="2" s="1"/>
  <c r="E92" i="2"/>
  <c r="E96" i="2" s="1"/>
  <c r="E88" i="2"/>
  <c r="E90" i="2" s="1"/>
  <c r="B44" i="2"/>
  <c r="C70" i="2"/>
  <c r="C72" i="2" s="1"/>
  <c r="E68" i="2"/>
  <c r="C35" i="2"/>
  <c r="E59" i="1"/>
  <c r="D47" i="2" l="1"/>
  <c r="D48" i="2" s="1"/>
  <c r="C74" i="2"/>
  <c r="C75" i="2" s="1"/>
  <c r="E38" i="2"/>
  <c r="E39" i="2" s="1"/>
  <c r="E98" i="2"/>
  <c r="E70" i="2" s="1"/>
  <c r="E47" i="2"/>
  <c r="E48" i="2" s="1"/>
  <c r="D35" i="2"/>
  <c r="B95" i="1"/>
  <c r="B94" i="1"/>
  <c r="B93" i="1"/>
  <c r="B92" i="1"/>
  <c r="C82" i="1"/>
  <c r="C86" i="1" s="1"/>
  <c r="D59" i="1"/>
  <c r="C59" i="1"/>
  <c r="C58" i="1"/>
  <c r="C60" i="1" s="1"/>
  <c r="J10" i="1"/>
  <c r="J9" i="1"/>
  <c r="J8" i="1"/>
  <c r="J7" i="1"/>
  <c r="J6" i="1"/>
  <c r="E35" i="2" l="1"/>
  <c r="C36" i="2"/>
  <c r="C41" i="2"/>
  <c r="C84" i="1"/>
  <c r="C92" i="1" s="1"/>
  <c r="C61" i="1"/>
  <c r="C71" i="1" s="1"/>
  <c r="D58" i="1"/>
  <c r="D60" i="1" s="1"/>
  <c r="D82" i="1"/>
  <c r="C85" i="1"/>
  <c r="C87" i="1"/>
  <c r="B96" i="1"/>
  <c r="B98" i="1" s="1"/>
  <c r="C94" i="1"/>
  <c r="B88" i="1"/>
  <c r="B90" i="1" s="1"/>
  <c r="B38" i="1" s="1"/>
  <c r="B39" i="1" s="1"/>
  <c r="C44" i="2" l="1"/>
  <c r="C50" i="2"/>
  <c r="C51" i="2" s="1"/>
  <c r="C33" i="2"/>
  <c r="C88" i="1"/>
  <c r="C90" i="1" s="1"/>
  <c r="C38" i="1" s="1"/>
  <c r="C39" i="1" s="1"/>
  <c r="D84" i="1"/>
  <c r="D92" i="1" s="1"/>
  <c r="C68" i="1"/>
  <c r="B36" i="1"/>
  <c r="B41" i="1" s="1"/>
  <c r="D87" i="1"/>
  <c r="C95" i="1"/>
  <c r="E82" i="1"/>
  <c r="E58" i="1"/>
  <c r="E60" i="1" s="1"/>
  <c r="D61" i="1"/>
  <c r="D85" i="1"/>
  <c r="C93" i="1"/>
  <c r="D86" i="1"/>
  <c r="C34" i="2" l="1"/>
  <c r="D71" i="2" s="1"/>
  <c r="D72" i="2" s="1"/>
  <c r="D74" i="2" s="1"/>
  <c r="D75" i="2" s="1"/>
  <c r="E84" i="1"/>
  <c r="E92" i="1" s="1"/>
  <c r="C96" i="1"/>
  <c r="C98" i="1" s="1"/>
  <c r="B44" i="1"/>
  <c r="C44" i="1"/>
  <c r="E85" i="1"/>
  <c r="E93" i="1" s="1"/>
  <c r="D93" i="1"/>
  <c r="E61" i="1"/>
  <c r="E86" i="1"/>
  <c r="E94" i="1" s="1"/>
  <c r="D94" i="1"/>
  <c r="E87" i="1"/>
  <c r="E95" i="1" s="1"/>
  <c r="D95" i="1"/>
  <c r="D88" i="1"/>
  <c r="D90" i="1" s="1"/>
  <c r="D38" i="1" s="1"/>
  <c r="D39" i="1" s="1"/>
  <c r="D41" i="2" l="1"/>
  <c r="D36" i="2"/>
  <c r="C70" i="1"/>
  <c r="C72" i="1" s="1"/>
  <c r="C74" i="1" s="1"/>
  <c r="C75" i="1" s="1"/>
  <c r="C36" i="1" s="1"/>
  <c r="C33" i="1" s="1"/>
  <c r="C34" i="1" s="1"/>
  <c r="D96" i="1"/>
  <c r="D98" i="1" s="1"/>
  <c r="E68" i="1"/>
  <c r="E88" i="1"/>
  <c r="E90" i="1" s="1"/>
  <c r="E38" i="1" s="1"/>
  <c r="E39" i="1" s="1"/>
  <c r="E96" i="1"/>
  <c r="E98" i="1" s="1"/>
  <c r="D50" i="2" l="1"/>
  <c r="D51" i="2" s="1"/>
  <c r="D33" i="2"/>
  <c r="D44" i="2"/>
  <c r="E70" i="1"/>
  <c r="D70" i="1"/>
  <c r="D44" i="1"/>
  <c r="D34" i="2" l="1"/>
  <c r="E71" i="2" s="1"/>
  <c r="E72" i="2" s="1"/>
  <c r="E44" i="1"/>
  <c r="D71" i="1"/>
  <c r="D68" i="1"/>
  <c r="E74" i="2" l="1"/>
  <c r="E75" i="2" s="1"/>
  <c r="D72" i="1"/>
  <c r="D74" i="1" s="1"/>
  <c r="D75" i="1" s="1"/>
  <c r="D36" i="1" s="1"/>
  <c r="D33" i="1" s="1"/>
  <c r="D34" i="1" s="1"/>
  <c r="E36" i="2" l="1"/>
  <c r="E41" i="2"/>
  <c r="E44" i="2" s="1"/>
  <c r="E71" i="1"/>
  <c r="E72" i="1" s="1"/>
  <c r="E33" i="2" l="1"/>
  <c r="E34" i="2" s="1"/>
  <c r="E50" i="2"/>
  <c r="E51" i="2" s="1"/>
  <c r="E74" i="1"/>
  <c r="E75" i="1" s="1"/>
  <c r="E36" i="1" s="1"/>
  <c r="E33" i="1" l="1"/>
  <c r="E34" i="1" s="1"/>
</calcChain>
</file>

<file path=xl/sharedStrings.xml><?xml version="1.0" encoding="utf-8"?>
<sst xmlns="http://schemas.openxmlformats.org/spreadsheetml/2006/main" count="250" uniqueCount="109">
  <si>
    <t>LAPSE SENSITIVITIES</t>
  </si>
  <si>
    <t>Claims</t>
  </si>
  <si>
    <t>of gross premium</t>
  </si>
  <si>
    <t>PV(Gross</t>
  </si>
  <si>
    <t>Change</t>
  </si>
  <si>
    <t>Expenses - Initial</t>
  </si>
  <si>
    <t>of first year gross premium</t>
  </si>
  <si>
    <t>Lapse Sensitivities</t>
  </si>
  <si>
    <t>Premium)</t>
  </si>
  <si>
    <t>from Base</t>
  </si>
  <si>
    <t>Expenses - Renewal</t>
  </si>
  <si>
    <t>Base (Current Value)</t>
  </si>
  <si>
    <t>Commission</t>
  </si>
  <si>
    <t>10% Increase</t>
  </si>
  <si>
    <t>10% Decrease</t>
  </si>
  <si>
    <t>Reinsurance - Premium Ceded</t>
  </si>
  <si>
    <t>25% Increase</t>
  </si>
  <si>
    <t>Reinsurance - Claims Ceded</t>
  </si>
  <si>
    <t>of gross claims</t>
  </si>
  <si>
    <t>25% Decrease</t>
  </si>
  <si>
    <t>Reinsurance - Year 1 Commission</t>
  </si>
  <si>
    <t>All increases expressed as multiplicative changes to 'Lapse Rate - Thereafter'.</t>
  </si>
  <si>
    <t>Lapse Rate - 1st Renewal</t>
  </si>
  <si>
    <t>of new business premium</t>
  </si>
  <si>
    <t>Lapse Rate - Thereafter</t>
  </si>
  <si>
    <t>p.a. of in force premium</t>
  </si>
  <si>
    <t>NOTES ABOUT THIS SPREADSHEET</t>
  </si>
  <si>
    <t>p.a.</t>
  </si>
  <si>
    <t>Colour Legend:</t>
  </si>
  <si>
    <t>of net claims</t>
  </si>
  <si>
    <t>= assumptions / inputs for the model</t>
  </si>
  <si>
    <t>blue text</t>
  </si>
  <si>
    <t>Tax Rate</t>
  </si>
  <si>
    <t>Other Notes:</t>
  </si>
  <si>
    <t>Year 1</t>
  </si>
  <si>
    <t>Year 2</t>
  </si>
  <si>
    <t>Year 3</t>
  </si>
  <si>
    <t>PV' = 'Present Value', and 'Gross/Net' refer to 'Gross of Reinsurance' and 'Net of Reinsurance', respectively.</t>
  </si>
  <si>
    <t>BALANCE SHEET + CAPITAL (Figures at End of Year)</t>
  </si>
  <si>
    <t>Valuation</t>
  </si>
  <si>
    <t>Projected</t>
  </si>
  <si>
    <t>Item</t>
  </si>
  <si>
    <t>Date</t>
  </si>
  <si>
    <t>Cash</t>
  </si>
  <si>
    <t>Investments</t>
  </si>
  <si>
    <t>Ceded Liabilities</t>
  </si>
  <si>
    <t>TOTAL ASSETS</t>
  </si>
  <si>
    <t>Policy Liability</t>
  </si>
  <si>
    <t>TOTAL LIABILITIES</t>
  </si>
  <si>
    <t>Retained Earnings</t>
  </si>
  <si>
    <t>Share Capital</t>
  </si>
  <si>
    <t>TOTAL CAPITAL</t>
  </si>
  <si>
    <t>Capital Requirement</t>
  </si>
  <si>
    <t>Target Capital</t>
  </si>
  <si>
    <t>Capital Base</t>
  </si>
  <si>
    <t>FORECAST PROFIT AND LOSS</t>
  </si>
  <si>
    <t>New Business Premiums Received</t>
  </si>
  <si>
    <t>Claims Paid</t>
  </si>
  <si>
    <t>Expenses Paid</t>
  </si>
  <si>
    <t>Commissions Paid</t>
  </si>
  <si>
    <t>less Increase in Net Policy Liability</t>
  </si>
  <si>
    <t>Profit Before Tax</t>
  </si>
  <si>
    <t>less Tax</t>
  </si>
  <si>
    <t>Profit After Tax</t>
  </si>
  <si>
    <t>COMPONENTS OF POLICY LIABILITY (Figures at End of Year)</t>
  </si>
  <si>
    <t>Gross In Force Premium</t>
  </si>
  <si>
    <t>PV(Gross Premium)</t>
  </si>
  <si>
    <t>PV(Gross Claims)</t>
  </si>
  <si>
    <t>PV(Gross Expense)</t>
  </si>
  <si>
    <t>PV(Gross Commission)</t>
  </si>
  <si>
    <t>Gross BEL</t>
  </si>
  <si>
    <t>PV(Gross Future Profit)</t>
  </si>
  <si>
    <t>Gross Policy Liability</t>
  </si>
  <si>
    <t>PV(Net Premium)</t>
  </si>
  <si>
    <t>PV(Net Claims)</t>
  </si>
  <si>
    <t>PV(Net Expense)</t>
  </si>
  <si>
    <t>PV(Net Commission)</t>
  </si>
  <si>
    <t>Net BEL</t>
  </si>
  <si>
    <t>PV(Net Future Profit)</t>
  </si>
  <si>
    <t>Net Policy Liability</t>
  </si>
  <si>
    <t>BEST ESTIMATE ASSUMPTIONS</t>
  </si>
  <si>
    <t>All outflows (e.g. claims, expenses) shown as negatives</t>
  </si>
  <si>
    <t>Annual Premium Sales</t>
  </si>
  <si>
    <t>Gross MoS Profit Margin</t>
  </si>
  <si>
    <t>Net MoS Profit Margin</t>
  </si>
  <si>
    <t>(assume that that MoS Profit Margin is identical for New and In Force business)</t>
  </si>
  <si>
    <t>All figures are in units of $k unless otherwise specified.</t>
  </si>
  <si>
    <t>less Shareholder Dividends</t>
  </si>
  <si>
    <t>Net Insurance Revenue</t>
  </si>
  <si>
    <t>less Reinsurance Premiums Paid</t>
  </si>
  <si>
    <t>= cells to be completed for part (a)</t>
  </si>
  <si>
    <t>= inputs</t>
  </si>
  <si>
    <t>less Reinsurance Recoveries</t>
  </si>
  <si>
    <t>Investment Return</t>
  </si>
  <si>
    <t>Investment Returns</t>
  </si>
  <si>
    <t>Capital Base in Excess of Target Capital</t>
  </si>
  <si>
    <t>Inforce Premiums Received</t>
  </si>
  <si>
    <t>Total Premiums Received</t>
  </si>
  <si>
    <t>Retained Earnings = Previous Year Retained Earnings + Previous Year Dividends Paid + Current Year Profit After Tax</t>
  </si>
  <si>
    <t>Capital Base = Net Assets – Adjustments to Net Assets</t>
  </si>
  <si>
    <t xml:space="preserve">In the absence of deferred tax and other adjustments, this becomes: Capital Base = Net Assets – (Adjusted Net Policy Liability – Net Policy Liability) </t>
  </si>
  <si>
    <t>Adjusted net policy liability = 0, since RFBEL &lt; CTV = 0 as provided in the assumptions in the spreadsheet. So, Capital Base = Net Assets – Net Policy Liability = Cash + Investments</t>
  </si>
  <si>
    <r>
      <t xml:space="preserve">=B44=B36-B39 ==&gt; </t>
    </r>
    <r>
      <rPr>
        <b/>
        <sz val="11"/>
        <color rgb="FFFF0000"/>
        <rFont val="Calibri"/>
        <family val="2"/>
        <scheme val="minor"/>
      </rPr>
      <t>B36-B39-(0-(B38-B35))</t>
    </r>
  </si>
  <si>
    <t>50% drop in projected sales</t>
  </si>
  <si>
    <t>20% overall increase in claims cost (for all products)</t>
  </si>
  <si>
    <t>20% fall in non-cash assets</t>
  </si>
  <si>
    <t>50% reduction in investment return</t>
  </si>
  <si>
    <t>25% increase in lapses excluding lapses for first renewal of policy</t>
  </si>
  <si>
    <t>20% shock lapse of inforce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</si>
</sst>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.00_-;\-* #,##0.00_-;_-* &quot;-&quot;??_-;_-@_-"/>
    <numFmt numFmtId="165" formatCode="_-* #,##0_-;\-* #,##0_-;_-* &quot;-&quot;??_-;_-@_-"/>
    <numFmt numFmtId="166" formatCode="_-* #,##0.00000_-;\-* #,##0.00000_-;_-* &quot;-&quot;??_-;_-@_-"/>
    <numFmt numFmtId="167" formatCode="0.0%"/>
    <numFmt numFmtId="168" formatCode="_-* #,##0.0_-;\-* #,##0.0_-;_-* &quot;-&quot;??_-;_-@_-"/>
    <numFmt numFmtId="169" formatCode="_-* #,##0.0_-;\-* #,##0.0_-;_-* &quot;-&quot;?_-;_-@_-"/>
    <numFmt numFmtId="170" formatCode="_-* #,##0.0000_-;\-* #,##0.0000_-;_-* &quot;-&quot;??_-;_-@_-"/>
    <numFmt numFmtId="171" formatCode="#,###;\(#,###\)"/>
    <numFmt numFmtId="172" formatCode="#,###;\(#,###\);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BE3C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7">
    <xf numFmtId="0" fontId="0" fillId="0" borderId="0" xfId="0"/>
    <xf numFmtId="0" fontId="5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3" fillId="3" borderId="1" xfId="0" applyFont="1" applyFill="1" applyBorder="1"/>
    <xf numFmtId="9" fontId="6" fillId="4" borderId="1" xfId="0" applyNumberFormat="1" applyFont="1" applyFill="1" applyBorder="1"/>
    <xf numFmtId="0" fontId="7" fillId="0" borderId="0" xfId="0" applyFont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/>
    <xf numFmtId="9" fontId="6" fillId="4" borderId="2" xfId="0" applyNumberFormat="1" applyFont="1" applyFill="1" applyBorder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165" fontId="6" fillId="0" borderId="1" xfId="1" applyNumberFormat="1" applyFont="1" applyFill="1" applyBorder="1"/>
    <xf numFmtId="9" fontId="0" fillId="0" borderId="1" xfId="2" applyNumberFormat="1" applyFont="1" applyBorder="1"/>
    <xf numFmtId="165" fontId="0" fillId="0" borderId="0" xfId="0" applyNumberFormat="1"/>
    <xf numFmtId="0" fontId="3" fillId="3" borderId="6" xfId="0" applyFont="1" applyFill="1" applyBorder="1"/>
    <xf numFmtId="9" fontId="6" fillId="4" borderId="6" xfId="0" applyNumberFormat="1" applyFont="1" applyFill="1" applyBorder="1"/>
    <xf numFmtId="0" fontId="0" fillId="0" borderId="0" xfId="0" applyFill="1"/>
    <xf numFmtId="0" fontId="0" fillId="0" borderId="9" xfId="0" quotePrefix="1" applyFill="1" applyBorder="1"/>
    <xf numFmtId="0" fontId="0" fillId="0" borderId="10" xfId="0" applyFill="1" applyBorder="1"/>
    <xf numFmtId="165" fontId="6" fillId="0" borderId="2" xfId="1" applyNumberFormat="1" applyFont="1" applyFill="1" applyBorder="1"/>
    <xf numFmtId="9" fontId="0" fillId="0" borderId="2" xfId="2" applyNumberFormat="1" applyFont="1" applyBorder="1"/>
    <xf numFmtId="166" fontId="0" fillId="0" borderId="0" xfId="0" applyNumberFormat="1"/>
    <xf numFmtId="9" fontId="0" fillId="0" borderId="0" xfId="0" applyNumberFormat="1"/>
    <xf numFmtId="0" fontId="6" fillId="0" borderId="0" xfId="0" applyFont="1"/>
    <xf numFmtId="0" fontId="0" fillId="0" borderId="9" xfId="0" applyFill="1" applyBorder="1"/>
    <xf numFmtId="164" fontId="0" fillId="0" borderId="0" xfId="0" applyNumberFormat="1"/>
    <xf numFmtId="0" fontId="7" fillId="0" borderId="0" xfId="0" applyFont="1" applyFill="1"/>
    <xf numFmtId="9" fontId="0" fillId="0" borderId="0" xfId="0" applyNumberFormat="1" applyFill="1"/>
    <xf numFmtId="0" fontId="0" fillId="0" borderId="11" xfId="0" applyFill="1" applyBorder="1"/>
    <xf numFmtId="0" fontId="0" fillId="0" borderId="5" xfId="0" applyFill="1" applyBorder="1"/>
    <xf numFmtId="165" fontId="6" fillId="0" borderId="6" xfId="1" applyNumberFormat="1" applyFont="1" applyFill="1" applyBorder="1"/>
    <xf numFmtId="9" fontId="0" fillId="0" borderId="6" xfId="2" applyNumberFormat="1" applyFont="1" applyBorder="1"/>
    <xf numFmtId="0" fontId="0" fillId="0" borderId="0" xfId="0" applyFill="1" applyBorder="1"/>
    <xf numFmtId="165" fontId="0" fillId="0" borderId="0" xfId="1" applyNumberFormat="1" applyFont="1" applyFill="1" applyBorder="1"/>
    <xf numFmtId="9" fontId="0" fillId="0" borderId="0" xfId="2" applyNumberFormat="1" applyFont="1" applyBorder="1"/>
    <xf numFmtId="0" fontId="3" fillId="3" borderId="12" xfId="0" applyFont="1" applyFill="1" applyBorder="1"/>
    <xf numFmtId="9" fontId="6" fillId="4" borderId="12" xfId="0" applyNumberFormat="1" applyFont="1" applyFill="1" applyBorder="1"/>
    <xf numFmtId="0" fontId="8" fillId="0" borderId="0" xfId="0" applyFont="1"/>
    <xf numFmtId="0" fontId="9" fillId="0" borderId="0" xfId="0" quotePrefix="1" applyFont="1"/>
    <xf numFmtId="0" fontId="0" fillId="4" borderId="12" xfId="0" applyFill="1" applyBorder="1"/>
    <xf numFmtId="0" fontId="6" fillId="0" borderId="12" xfId="0" applyFont="1" applyBorder="1" applyAlignment="1">
      <alignment horizontal="center"/>
    </xf>
    <xf numFmtId="9" fontId="6" fillId="4" borderId="12" xfId="2" applyFont="1" applyFill="1" applyBorder="1"/>
    <xf numFmtId="167" fontId="0" fillId="0" borderId="0" xfId="0" applyNumberFormat="1"/>
    <xf numFmtId="0" fontId="3" fillId="3" borderId="3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165" fontId="6" fillId="4" borderId="5" xfId="1" applyNumberFormat="1" applyFont="1" applyFill="1" applyBorder="1" applyAlignment="1">
      <alignment horizontal="center"/>
    </xf>
    <xf numFmtId="0" fontId="3" fillId="3" borderId="15" xfId="0" applyFont="1" applyFill="1" applyBorder="1"/>
    <xf numFmtId="0" fontId="3" fillId="3" borderId="8" xfId="0" applyFont="1" applyFill="1" applyBorder="1"/>
    <xf numFmtId="0" fontId="3" fillId="3" borderId="3" xfId="0" applyFont="1" applyFill="1" applyBorder="1"/>
    <xf numFmtId="0" fontId="3" fillId="3" borderId="14" xfId="0" applyFont="1" applyFill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10" fillId="0" borderId="0" xfId="0" applyFont="1"/>
    <xf numFmtId="0" fontId="3" fillId="5" borderId="11" xfId="0" applyFont="1" applyFill="1" applyBorder="1"/>
    <xf numFmtId="165" fontId="10" fillId="0" borderId="0" xfId="0" applyNumberFormat="1" applyFont="1"/>
    <xf numFmtId="168" fontId="10" fillId="0" borderId="0" xfId="0" applyNumberFormat="1" applyFont="1"/>
    <xf numFmtId="0" fontId="3" fillId="3" borderId="7" xfId="0" applyFont="1" applyFill="1" applyBorder="1"/>
    <xf numFmtId="0" fontId="3" fillId="3" borderId="11" xfId="0" applyFont="1" applyFill="1" applyBorder="1"/>
    <xf numFmtId="9" fontId="0" fillId="0" borderId="0" xfId="2" applyFont="1"/>
    <xf numFmtId="0" fontId="10" fillId="2" borderId="0" xfId="0" applyFont="1" applyFill="1"/>
    <xf numFmtId="0" fontId="3" fillId="3" borderId="11" xfId="0" applyFont="1" applyFill="1" applyBorder="1" applyAlignment="1">
      <alignment horizontal="center"/>
    </xf>
    <xf numFmtId="0" fontId="0" fillId="0" borderId="15" xfId="0" applyBorder="1"/>
    <xf numFmtId="169" fontId="0" fillId="0" borderId="0" xfId="0" applyNumberFormat="1"/>
    <xf numFmtId="169" fontId="10" fillId="0" borderId="0" xfId="0" applyNumberFormat="1" applyFont="1"/>
    <xf numFmtId="0" fontId="0" fillId="0" borderId="0" xfId="0" applyBorder="1"/>
    <xf numFmtId="0" fontId="3" fillId="0" borderId="9" xfId="0" applyFont="1" applyBorder="1"/>
    <xf numFmtId="0" fontId="3" fillId="0" borderId="0" xfId="0" applyFont="1" applyBorder="1"/>
    <xf numFmtId="0" fontId="3" fillId="0" borderId="0" xfId="0" applyFont="1"/>
    <xf numFmtId="0" fontId="11" fillId="0" borderId="0" xfId="0" applyFont="1"/>
    <xf numFmtId="0" fontId="3" fillId="0" borderId="11" xfId="0" applyFont="1" applyBorder="1"/>
    <xf numFmtId="0" fontId="3" fillId="0" borderId="14" xfId="0" applyFont="1" applyBorder="1"/>
    <xf numFmtId="0" fontId="3" fillId="0" borderId="7" xfId="0" applyFont="1" applyBorder="1"/>
    <xf numFmtId="0" fontId="3" fillId="0" borderId="15" xfId="0" applyFont="1" applyBorder="1"/>
    <xf numFmtId="164" fontId="10" fillId="0" borderId="0" xfId="0" applyNumberFormat="1" applyFont="1"/>
    <xf numFmtId="0" fontId="3" fillId="5" borderId="14" xfId="0" applyFont="1" applyFill="1" applyBorder="1"/>
    <xf numFmtId="170" fontId="10" fillId="0" borderId="0" xfId="0" applyNumberFormat="1" applyFont="1"/>
    <xf numFmtId="0" fontId="0" fillId="5" borderId="14" xfId="0" applyFill="1" applyBorder="1"/>
    <xf numFmtId="0" fontId="0" fillId="0" borderId="9" xfId="0" applyFont="1" applyBorder="1"/>
    <xf numFmtId="0" fontId="7" fillId="0" borderId="0" xfId="0" quotePrefix="1" applyFont="1"/>
    <xf numFmtId="0" fontId="3" fillId="3" borderId="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5" borderId="3" xfId="0" applyFont="1" applyFill="1" applyBorder="1"/>
    <xf numFmtId="0" fontId="3" fillId="5" borderId="9" xfId="0" applyFont="1" applyFill="1" applyBorder="1"/>
    <xf numFmtId="0" fontId="0" fillId="6" borderId="12" xfId="0" applyFill="1" applyBorder="1"/>
    <xf numFmtId="0" fontId="0" fillId="0" borderId="0" xfId="0" quotePrefix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9" fontId="6" fillId="4" borderId="1" xfId="2" applyNumberFormat="1" applyFont="1" applyFill="1" applyBorder="1"/>
    <xf numFmtId="9" fontId="6" fillId="4" borderId="6" xfId="2" applyNumberFormat="1" applyFont="1" applyFill="1" applyBorder="1"/>
    <xf numFmtId="171" fontId="6" fillId="0" borderId="0" xfId="1" applyNumberFormat="1" applyFont="1" applyFill="1" applyBorder="1"/>
    <xf numFmtId="171" fontId="6" fillId="0" borderId="10" xfId="1" applyNumberFormat="1" applyFont="1" applyFill="1" applyBorder="1"/>
    <xf numFmtId="171" fontId="3" fillId="0" borderId="11" xfId="0" applyNumberFormat="1" applyFont="1" applyFill="1" applyBorder="1"/>
    <xf numFmtId="171" fontId="3" fillId="0" borderId="14" xfId="0" applyNumberFormat="1" applyFont="1" applyFill="1" applyBorder="1"/>
    <xf numFmtId="171" fontId="3" fillId="0" borderId="5" xfId="0" applyNumberFormat="1" applyFont="1" applyFill="1" applyBorder="1"/>
    <xf numFmtId="171" fontId="1" fillId="0" borderId="9" xfId="1" applyNumberFormat="1" applyFont="1" applyFill="1" applyBorder="1"/>
    <xf numFmtId="171" fontId="1" fillId="0" borderId="0" xfId="1" applyNumberFormat="1" applyFont="1" applyFill="1" applyBorder="1"/>
    <xf numFmtId="171" fontId="1" fillId="0" borderId="10" xfId="1" applyNumberFormat="1" applyFont="1" applyFill="1" applyBorder="1"/>
    <xf numFmtId="171" fontId="6" fillId="0" borderId="2" xfId="1" applyNumberFormat="1" applyFont="1" applyFill="1" applyBorder="1" applyAlignment="1">
      <alignment horizontal="right" indent="1"/>
    </xf>
    <xf numFmtId="171" fontId="0" fillId="0" borderId="9" xfId="1" applyNumberFormat="1" applyFont="1" applyFill="1" applyBorder="1" applyAlignment="1">
      <alignment horizontal="right" indent="1"/>
    </xf>
    <xf numFmtId="171" fontId="0" fillId="0" borderId="0" xfId="1" applyNumberFormat="1" applyFont="1" applyFill="1" applyBorder="1" applyAlignment="1">
      <alignment horizontal="right" indent="1"/>
    </xf>
    <xf numFmtId="171" fontId="0" fillId="0" borderId="10" xfId="1" applyNumberFormat="1" applyFont="1" applyFill="1" applyBorder="1" applyAlignment="1">
      <alignment horizontal="right" indent="1"/>
    </xf>
    <xf numFmtId="171" fontId="0" fillId="0" borderId="2" xfId="1" applyNumberFormat="1" applyFont="1" applyFill="1" applyBorder="1" applyAlignment="1">
      <alignment horizontal="right" indent="1"/>
    </xf>
    <xf numFmtId="171" fontId="10" fillId="6" borderId="9" xfId="1" applyNumberFormat="1" applyFont="1" applyFill="1" applyBorder="1" applyAlignment="1">
      <alignment horizontal="right" indent="1"/>
    </xf>
    <xf numFmtId="171" fontId="10" fillId="6" borderId="0" xfId="1" applyNumberFormat="1" applyFont="1" applyFill="1" applyBorder="1" applyAlignment="1">
      <alignment horizontal="right" indent="1"/>
    </xf>
    <xf numFmtId="171" fontId="10" fillId="6" borderId="10" xfId="1" applyNumberFormat="1" applyFont="1" applyFill="1" applyBorder="1" applyAlignment="1">
      <alignment horizontal="right" indent="1"/>
    </xf>
    <xf numFmtId="171" fontId="3" fillId="0" borderId="2" xfId="1" applyNumberFormat="1" applyFont="1" applyFill="1" applyBorder="1" applyAlignment="1">
      <alignment horizontal="right" indent="1"/>
    </xf>
    <xf numFmtId="171" fontId="3" fillId="0" borderId="9" xfId="1" applyNumberFormat="1" applyFont="1" applyFill="1" applyBorder="1" applyAlignment="1">
      <alignment horizontal="right" indent="1"/>
    </xf>
    <xf numFmtId="171" fontId="3" fillId="0" borderId="0" xfId="1" applyNumberFormat="1" applyFont="1" applyFill="1" applyBorder="1" applyAlignment="1">
      <alignment horizontal="right" indent="1"/>
    </xf>
    <xf numFmtId="171" fontId="3" fillId="0" borderId="10" xfId="1" applyNumberFormat="1" applyFont="1" applyFill="1" applyBorder="1" applyAlignment="1">
      <alignment horizontal="right" indent="1"/>
    </xf>
    <xf numFmtId="171" fontId="3" fillId="0" borderId="6" xfId="1" applyNumberFormat="1" applyFont="1" applyFill="1" applyBorder="1" applyAlignment="1">
      <alignment horizontal="right" indent="1"/>
    </xf>
    <xf numFmtId="171" fontId="3" fillId="0" borderId="11" xfId="1" applyNumberFormat="1" applyFont="1" applyFill="1" applyBorder="1" applyAlignment="1">
      <alignment horizontal="right" indent="1"/>
    </xf>
    <xf numFmtId="171" fontId="3" fillId="0" borderId="14" xfId="1" applyNumberFormat="1" applyFont="1" applyFill="1" applyBorder="1" applyAlignment="1">
      <alignment horizontal="right" indent="1"/>
    </xf>
    <xf numFmtId="171" fontId="3" fillId="0" borderId="5" xfId="1" applyNumberFormat="1" applyFont="1" applyFill="1" applyBorder="1" applyAlignment="1">
      <alignment horizontal="right" indent="1"/>
    </xf>
    <xf numFmtId="171" fontId="6" fillId="0" borderId="1" xfId="1" applyNumberFormat="1" applyFont="1" applyFill="1" applyBorder="1" applyAlignment="1">
      <alignment horizontal="right" indent="1"/>
    </xf>
    <xf numFmtId="171" fontId="0" fillId="0" borderId="7" xfId="1" applyNumberFormat="1" applyFont="1" applyFill="1" applyBorder="1" applyAlignment="1">
      <alignment horizontal="right" indent="1"/>
    </xf>
    <xf numFmtId="171" fontId="0" fillId="0" borderId="15" xfId="1" applyNumberFormat="1" applyFont="1" applyFill="1" applyBorder="1" applyAlignment="1">
      <alignment horizontal="right" indent="1"/>
    </xf>
    <xf numFmtId="171" fontId="0" fillId="0" borderId="8" xfId="1" applyNumberFormat="1" applyFont="1" applyFill="1" applyBorder="1" applyAlignment="1">
      <alignment horizontal="right" indent="1"/>
    </xf>
    <xf numFmtId="171" fontId="6" fillId="0" borderId="12" xfId="1" applyNumberFormat="1" applyFont="1" applyFill="1" applyBorder="1" applyAlignment="1">
      <alignment horizontal="right" indent="1"/>
    </xf>
    <xf numFmtId="171" fontId="0" fillId="0" borderId="3" xfId="1" applyNumberFormat="1" applyFont="1" applyFill="1" applyBorder="1" applyAlignment="1">
      <alignment horizontal="right" indent="1"/>
    </xf>
    <xf numFmtId="171" fontId="0" fillId="0" borderId="13" xfId="1" applyNumberFormat="1" applyFont="1" applyFill="1" applyBorder="1" applyAlignment="1">
      <alignment horizontal="right" indent="1"/>
    </xf>
    <xf numFmtId="171" fontId="0" fillId="0" borderId="4" xfId="1" applyNumberFormat="1" applyFont="1" applyFill="1" applyBorder="1" applyAlignment="1">
      <alignment horizontal="right" indent="1"/>
    </xf>
    <xf numFmtId="171" fontId="3" fillId="0" borderId="9" xfId="0" applyNumberFormat="1" applyFont="1" applyFill="1" applyBorder="1"/>
    <xf numFmtId="171" fontId="3" fillId="0" borderId="0" xfId="0" applyNumberFormat="1" applyFont="1" applyFill="1" applyBorder="1"/>
    <xf numFmtId="171" fontId="3" fillId="0" borderId="10" xfId="0" applyNumberFormat="1" applyFont="1" applyFill="1" applyBorder="1"/>
    <xf numFmtId="171" fontId="0" fillId="0" borderId="7" xfId="1" applyNumberFormat="1" applyFont="1" applyFill="1" applyBorder="1"/>
    <xf numFmtId="171" fontId="0" fillId="0" borderId="15" xfId="1" applyNumberFormat="1" applyFont="1" applyFill="1" applyBorder="1"/>
    <xf numFmtId="171" fontId="0" fillId="0" borderId="8" xfId="1" applyNumberFormat="1" applyFont="1" applyFill="1" applyBorder="1"/>
    <xf numFmtId="171" fontId="0" fillId="0" borderId="9" xfId="1" applyNumberFormat="1" applyFont="1" applyFill="1" applyBorder="1"/>
    <xf numFmtId="171" fontId="0" fillId="0" borderId="0" xfId="1" applyNumberFormat="1" applyFont="1" applyFill="1" applyBorder="1"/>
    <xf numFmtId="171" fontId="0" fillId="0" borderId="10" xfId="1" applyNumberFormat="1" applyFont="1" applyFill="1" applyBorder="1"/>
    <xf numFmtId="171" fontId="3" fillId="6" borderId="9" xfId="1" applyNumberFormat="1" applyFont="1" applyFill="1" applyBorder="1"/>
    <xf numFmtId="171" fontId="3" fillId="6" borderId="0" xfId="1" applyNumberFormat="1" applyFont="1" applyFill="1" applyBorder="1"/>
    <xf numFmtId="171" fontId="3" fillId="6" borderId="10" xfId="1" applyNumberFormat="1" applyFont="1" applyFill="1" applyBorder="1"/>
    <xf numFmtId="171" fontId="3" fillId="6" borderId="9" xfId="0" applyNumberFormat="1" applyFont="1" applyFill="1" applyBorder="1"/>
    <xf numFmtId="171" fontId="3" fillId="6" borderId="0" xfId="0" applyNumberFormat="1" applyFont="1" applyFill="1" applyBorder="1"/>
    <xf numFmtId="171" fontId="3" fillId="6" borderId="10" xfId="0" applyNumberFormat="1" applyFont="1" applyFill="1" applyBorder="1"/>
    <xf numFmtId="171" fontId="3" fillId="6" borderId="11" xfId="1" applyNumberFormat="1" applyFont="1" applyFill="1" applyBorder="1"/>
    <xf numFmtId="171" fontId="3" fillId="6" borderId="14" xfId="1" applyNumberFormat="1" applyFont="1" applyFill="1" applyBorder="1"/>
    <xf numFmtId="171" fontId="3" fillId="6" borderId="5" xfId="1" applyNumberFormat="1" applyFont="1" applyFill="1" applyBorder="1"/>
    <xf numFmtId="171" fontId="3" fillId="0" borderId="7" xfId="0" applyNumberFormat="1" applyFont="1" applyBorder="1"/>
    <xf numFmtId="171" fontId="3" fillId="0" borderId="15" xfId="0" applyNumberFormat="1" applyFont="1" applyBorder="1"/>
    <xf numFmtId="171" fontId="3" fillId="0" borderId="8" xfId="0" applyNumberFormat="1" applyFont="1" applyBorder="1"/>
    <xf numFmtId="171" fontId="3" fillId="5" borderId="11" xfId="1" applyNumberFormat="1" applyFont="1" applyFill="1" applyBorder="1"/>
    <xf numFmtId="171" fontId="3" fillId="5" borderId="14" xfId="1" applyNumberFormat="1" applyFont="1" applyFill="1" applyBorder="1"/>
    <xf numFmtId="171" fontId="3" fillId="5" borderId="5" xfId="1" applyNumberFormat="1" applyFont="1" applyFill="1" applyBorder="1"/>
    <xf numFmtId="171" fontId="3" fillId="0" borderId="7" xfId="1" applyNumberFormat="1" applyFont="1" applyFill="1" applyBorder="1"/>
    <xf numFmtId="171" fontId="3" fillId="0" borderId="15" xfId="1" applyNumberFormat="1" applyFont="1" applyFill="1" applyBorder="1"/>
    <xf numFmtId="171" fontId="3" fillId="0" borderId="8" xfId="1" applyNumberFormat="1" applyFont="1" applyFill="1" applyBorder="1"/>
    <xf numFmtId="171" fontId="0" fillId="6" borderId="9" xfId="1" applyNumberFormat="1" applyFont="1" applyFill="1" applyBorder="1"/>
    <xf numFmtId="171" fontId="0" fillId="6" borderId="0" xfId="1" applyNumberFormat="1" applyFont="1" applyFill="1" applyBorder="1"/>
    <xf numFmtId="171" fontId="0" fillId="6" borderId="10" xfId="1" applyNumberFormat="1" applyFont="1" applyFill="1" applyBorder="1"/>
    <xf numFmtId="171" fontId="0" fillId="0" borderId="2" xfId="0" applyNumberFormat="1" applyBorder="1"/>
    <xf numFmtId="171" fontId="0" fillId="0" borderId="9" xfId="0" applyNumberFormat="1" applyBorder="1"/>
    <xf numFmtId="171" fontId="0" fillId="0" borderId="0" xfId="0" applyNumberFormat="1" applyBorder="1"/>
    <xf numFmtId="171" fontId="0" fillId="0" borderId="10" xfId="0" applyNumberFormat="1" applyBorder="1"/>
    <xf numFmtId="171" fontId="10" fillId="6" borderId="9" xfId="1" applyNumberFormat="1" applyFont="1" applyFill="1" applyBorder="1" applyAlignment="1">
      <alignment horizontal="left" indent="1"/>
    </xf>
    <xf numFmtId="171" fontId="10" fillId="6" borderId="0" xfId="1" applyNumberFormat="1" applyFont="1" applyFill="1" applyBorder="1" applyAlignment="1">
      <alignment horizontal="left" indent="1"/>
    </xf>
    <xf numFmtId="171" fontId="10" fillId="6" borderId="10" xfId="1" applyNumberFormat="1" applyFont="1" applyFill="1" applyBorder="1" applyAlignment="1">
      <alignment horizontal="left" indent="1"/>
    </xf>
    <xf numFmtId="171" fontId="3" fillId="0" borderId="2" xfId="0" applyNumberFormat="1" applyFont="1" applyBorder="1"/>
    <xf numFmtId="171" fontId="3" fillId="0" borderId="9" xfId="0" applyNumberFormat="1" applyFont="1" applyBorder="1"/>
    <xf numFmtId="171" fontId="3" fillId="0" borderId="0" xfId="0" applyNumberFormat="1" applyFont="1" applyBorder="1"/>
    <xf numFmtId="171" fontId="3" fillId="0" borderId="10" xfId="0" applyNumberFormat="1" applyFont="1" applyBorder="1"/>
    <xf numFmtId="171" fontId="0" fillId="0" borderId="1" xfId="1" applyNumberFormat="1" applyFont="1" applyFill="1" applyBorder="1" applyAlignment="1">
      <alignment horizontal="right" indent="1"/>
    </xf>
    <xf numFmtId="171" fontId="6" fillId="0" borderId="1" xfId="1" applyNumberFormat="1" applyFont="1" applyFill="1" applyBorder="1"/>
    <xf numFmtId="171" fontId="6" fillId="0" borderId="2" xfId="1" applyNumberFormat="1" applyFont="1" applyFill="1" applyBorder="1"/>
    <xf numFmtId="171" fontId="0" fillId="6" borderId="2" xfId="1" applyNumberFormat="1" applyFont="1" applyFill="1" applyBorder="1"/>
    <xf numFmtId="171" fontId="11" fillId="5" borderId="6" xfId="1" applyNumberFormat="1" applyFont="1" applyFill="1" applyBorder="1"/>
    <xf numFmtId="171" fontId="0" fillId="0" borderId="1" xfId="1" applyNumberFormat="1" applyFont="1" applyBorder="1"/>
    <xf numFmtId="171" fontId="0" fillId="0" borderId="15" xfId="1" applyNumberFormat="1" applyFont="1" applyBorder="1"/>
    <xf numFmtId="171" fontId="0" fillId="0" borderId="8" xfId="1" applyNumberFormat="1" applyFont="1" applyBorder="1"/>
    <xf numFmtId="171" fontId="3" fillId="5" borderId="6" xfId="1" applyNumberFormat="1" applyFont="1" applyFill="1" applyBorder="1"/>
    <xf numFmtId="171" fontId="10" fillId="0" borderId="2" xfId="1" applyNumberFormat="1" applyFont="1" applyFill="1" applyBorder="1"/>
    <xf numFmtId="171" fontId="0" fillId="0" borderId="0" xfId="0" applyNumberFormat="1"/>
    <xf numFmtId="171" fontId="0" fillId="6" borderId="1" xfId="1" applyNumberFormat="1" applyFont="1" applyFill="1" applyBorder="1"/>
    <xf numFmtId="171" fontId="0" fillId="6" borderId="15" xfId="1" applyNumberFormat="1" applyFont="1" applyFill="1" applyBorder="1"/>
    <xf numFmtId="171" fontId="0" fillId="6" borderId="8" xfId="1" applyNumberFormat="1" applyFont="1" applyFill="1" applyBorder="1"/>
    <xf numFmtId="171" fontId="0" fillId="6" borderId="6" xfId="0" applyNumberFormat="1" applyFill="1" applyBorder="1"/>
    <xf numFmtId="171" fontId="0" fillId="6" borderId="14" xfId="0" applyNumberFormat="1" applyFill="1" applyBorder="1"/>
    <xf numFmtId="171" fontId="0" fillId="6" borderId="5" xfId="0" applyNumberFormat="1" applyFill="1" applyBorder="1"/>
    <xf numFmtId="171" fontId="7" fillId="0" borderId="0" xfId="0" applyNumberFormat="1" applyFont="1"/>
    <xf numFmtId="171" fontId="11" fillId="0" borderId="2" xfId="1" applyNumberFormat="1" applyFont="1" applyFill="1" applyBorder="1" applyAlignment="1">
      <alignment horizontal="right" indent="1"/>
    </xf>
    <xf numFmtId="171" fontId="11" fillId="0" borderId="6" xfId="1" applyNumberFormat="1" applyFont="1" applyFill="1" applyBorder="1" applyAlignment="1">
      <alignment horizontal="right" indent="1"/>
    </xf>
    <xf numFmtId="172" fontId="6" fillId="0" borderId="2" xfId="1" applyNumberFormat="1" applyFont="1" applyFill="1" applyBorder="1"/>
    <xf numFmtId="165" fontId="6" fillId="4" borderId="12" xfId="1" applyNumberFormat="1" applyFont="1" applyFill="1" applyBorder="1" applyAlignment="1">
      <alignment horizontal="center"/>
    </xf>
    <xf numFmtId="171" fontId="10" fillId="6" borderId="2" xfId="1" applyNumberFormat="1" applyFont="1" applyFill="1" applyBorder="1" applyAlignment="1">
      <alignment horizontal="center"/>
    </xf>
    <xf numFmtId="171" fontId="12" fillId="6" borderId="0" xfId="1" applyNumberFormat="1" applyFont="1" applyFill="1" applyBorder="1"/>
    <xf numFmtId="171" fontId="12" fillId="6" borderId="10" xfId="1" applyNumberFormat="1" applyFont="1" applyFill="1" applyBorder="1"/>
    <xf numFmtId="171" fontId="12" fillId="6" borderId="1" xfId="0" applyNumberFormat="1" applyFont="1" applyFill="1" applyBorder="1"/>
    <xf numFmtId="171" fontId="12" fillId="6" borderId="15" xfId="0" applyNumberFormat="1" applyFont="1" applyFill="1" applyBorder="1"/>
    <xf numFmtId="171" fontId="12" fillId="6" borderId="8" xfId="0" applyNumberFormat="1" applyFont="1" applyFill="1" applyBorder="1"/>
    <xf numFmtId="171" fontId="12" fillId="0" borderId="0" xfId="0" quotePrefix="1" applyNumberFormat="1" applyFont="1"/>
    <xf numFmtId="0" fontId="13" fillId="0" borderId="0" xfId="0" quotePrefix="1" applyFont="1"/>
    <xf numFmtId="0" fontId="12" fillId="0" borderId="0" xfId="0" applyFont="1"/>
    <xf numFmtId="0" fontId="14" fillId="7" borderId="0" xfId="0" applyFont="1" applyFill="1" applyAlignment="1"/>
    <xf numFmtId="0" fontId="14" fillId="7" borderId="0" xfId="0" applyFont="1" applyFill="1"/>
    <xf numFmtId="0" fontId="10" fillId="7" borderId="0" xfId="0" applyFont="1" applyFill="1"/>
    <xf numFmtId="0" fontId="0" fillId="7" borderId="0" xfId="0" applyFill="1"/>
    <xf numFmtId="165" fontId="6" fillId="8" borderId="12" xfId="1" applyNumberFormat="1" applyFont="1" applyFill="1" applyBorder="1" applyAlignment="1">
      <alignment horizontal="center"/>
    </xf>
    <xf numFmtId="165" fontId="6" fillId="8" borderId="5" xfId="1" applyNumberFormat="1" applyFont="1" applyFill="1" applyBorder="1" applyAlignment="1">
      <alignment horizontal="center"/>
    </xf>
    <xf numFmtId="9" fontId="10" fillId="0" borderId="0" xfId="2" applyFont="1"/>
    <xf numFmtId="171" fontId="6" fillId="8" borderId="2" xfId="1" applyNumberFormat="1" applyFont="1" applyFill="1" applyBorder="1" applyAlignment="1">
      <alignment horizontal="right" indent="1"/>
    </xf>
    <xf numFmtId="0" fontId="3" fillId="8" borderId="0" xfId="0" applyFont="1" applyFill="1"/>
    <xf numFmtId="0" fontId="0" fillId="8" borderId="0" xfId="0" applyFill="1"/>
    <xf numFmtId="171" fontId="6" fillId="8" borderId="2" xfId="1" applyNumberFormat="1" applyFont="1" applyFill="1" applyBorder="1"/>
    <xf numFmtId="9" fontId="6" fillId="8" borderId="6" xfId="0" applyNumberFormat="1" applyFont="1" applyFill="1" applyBorder="1"/>
    <xf numFmtId="171" fontId="6" fillId="8" borderId="12" xfId="1" applyNumberFormat="1" applyFont="1" applyFill="1" applyBorder="1" applyAlignment="1">
      <alignment horizontal="right" indent="1"/>
    </xf>
    <xf numFmtId="9" fontId="6" fillId="8" borderId="1" xfId="0" applyNumberFormat="1" applyFont="1" applyFill="1" applyBorder="1"/>
    <xf numFmtId="9" fontId="6" fillId="8" borderId="12" xfId="0" applyNumberFormat="1" applyFont="1" applyFill="1" applyBorder="1"/>
    <xf numFmtId="171" fontId="6" fillId="8" borderId="1" xfId="1" applyNumberFormat="1" applyFont="1" applyFill="1" applyBorder="1" applyAlignment="1">
      <alignment horizontal="right" indent="1"/>
    </xf>
    <xf numFmtId="0" fontId="3" fillId="8" borderId="9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BBE3C5"/>
      <color rgb="FF8EE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CH98"/>
  <sheetViews>
    <sheetView tabSelected="1" topLeftCell="A16" zoomScale="80" zoomScaleNormal="80" workbookViewId="0">
      <selection activeCell="F51" sqref="F51"/>
    </sheetView>
  </sheetViews>
  <sheetFormatPr defaultRowHeight="15" x14ac:dyDescent="0.25"/>
  <cols>
    <col min="1" max="1" width="38.140625" customWidth="1"/>
    <col min="2" max="2" width="13.28515625" bestFit="1" customWidth="1"/>
    <col min="3" max="6" width="11.5703125" bestFit="1" customWidth="1"/>
    <col min="7" max="7" width="11.5703125" customWidth="1"/>
    <col min="8" max="9" width="11.5703125" bestFit="1" customWidth="1"/>
    <col min="10" max="11" width="10.7109375" bestFit="1" customWidth="1"/>
    <col min="12" max="12" width="11.5703125" bestFit="1" customWidth="1"/>
  </cols>
  <sheetData>
    <row r="2" spans="1:13" ht="21" x14ac:dyDescent="0.35">
      <c r="A2" s="1" t="s">
        <v>80</v>
      </c>
      <c r="B2" s="2"/>
      <c r="C2" s="2"/>
      <c r="D2" s="2"/>
      <c r="E2" s="2"/>
      <c r="G2" s="1" t="s">
        <v>0</v>
      </c>
      <c r="H2" s="3"/>
      <c r="I2" s="3"/>
      <c r="J2" s="3"/>
      <c r="K2" s="3"/>
      <c r="L2" s="3"/>
    </row>
    <row r="4" spans="1:13" x14ac:dyDescent="0.25">
      <c r="A4" s="4" t="s">
        <v>1</v>
      </c>
      <c r="B4" s="5">
        <v>0.3</v>
      </c>
      <c r="C4" s="6" t="s">
        <v>2</v>
      </c>
      <c r="I4" s="7" t="s">
        <v>3</v>
      </c>
      <c r="J4" s="7" t="s">
        <v>4</v>
      </c>
    </row>
    <row r="5" spans="1:13" x14ac:dyDescent="0.25">
      <c r="A5" s="8" t="s">
        <v>5</v>
      </c>
      <c r="B5" s="9">
        <v>0.8</v>
      </c>
      <c r="C5" s="6" t="s">
        <v>6</v>
      </c>
      <c r="G5" s="10" t="s">
        <v>7</v>
      </c>
      <c r="H5" s="11"/>
      <c r="I5" s="12" t="s">
        <v>8</v>
      </c>
      <c r="J5" s="13" t="s">
        <v>9</v>
      </c>
    </row>
    <row r="6" spans="1:13" x14ac:dyDescent="0.25">
      <c r="A6" s="8" t="s">
        <v>10</v>
      </c>
      <c r="B6" s="9">
        <v>0.15</v>
      </c>
      <c r="C6" s="6" t="s">
        <v>2</v>
      </c>
      <c r="G6" s="14" t="s">
        <v>11</v>
      </c>
      <c r="H6" s="15"/>
      <c r="I6" s="16">
        <v>1000</v>
      </c>
      <c r="J6" s="17">
        <f>I6/$I$6-1</f>
        <v>0</v>
      </c>
      <c r="L6" s="18"/>
    </row>
    <row r="7" spans="1:13" x14ac:dyDescent="0.25">
      <c r="A7" s="19" t="s">
        <v>12</v>
      </c>
      <c r="B7" s="20">
        <v>0.15</v>
      </c>
      <c r="C7" s="6" t="s">
        <v>2</v>
      </c>
      <c r="D7" s="21"/>
      <c r="E7" s="21"/>
      <c r="G7" s="22" t="s">
        <v>13</v>
      </c>
      <c r="H7" s="23"/>
      <c r="I7" s="24">
        <v>928</v>
      </c>
      <c r="J7" s="25">
        <f>I7/$I$6-1</f>
        <v>-7.1999999999999953E-2</v>
      </c>
      <c r="L7" s="26"/>
      <c r="M7" s="27"/>
    </row>
    <row r="8" spans="1:13" x14ac:dyDescent="0.25">
      <c r="B8" s="28"/>
      <c r="C8" s="6"/>
      <c r="D8" s="21"/>
      <c r="E8" s="21"/>
      <c r="G8" s="29" t="s">
        <v>14</v>
      </c>
      <c r="H8" s="23"/>
      <c r="I8" s="24">
        <v>1083</v>
      </c>
      <c r="J8" s="25">
        <f>I8/$I$6-1</f>
        <v>8.2999999999999963E-2</v>
      </c>
      <c r="L8" s="30"/>
      <c r="M8" s="27"/>
    </row>
    <row r="9" spans="1:13" x14ac:dyDescent="0.25">
      <c r="A9" s="4" t="s">
        <v>15</v>
      </c>
      <c r="B9" s="5">
        <v>0.3</v>
      </c>
      <c r="C9" s="31" t="s">
        <v>2</v>
      </c>
      <c r="D9" s="21"/>
      <c r="E9" s="21"/>
      <c r="F9" s="21"/>
      <c r="G9" s="29" t="s">
        <v>16</v>
      </c>
      <c r="H9" s="23"/>
      <c r="I9" s="24">
        <v>837</v>
      </c>
      <c r="J9" s="25">
        <f>I9/$I$6-1</f>
        <v>-0.16300000000000003</v>
      </c>
      <c r="L9" s="30"/>
      <c r="M9" s="27"/>
    </row>
    <row r="10" spans="1:13" x14ac:dyDescent="0.25">
      <c r="A10" s="19" t="s">
        <v>17</v>
      </c>
      <c r="B10" s="20">
        <v>0.5</v>
      </c>
      <c r="C10" s="31" t="s">
        <v>18</v>
      </c>
      <c r="D10" s="21"/>
      <c r="E10" s="21"/>
      <c r="F10" s="32"/>
      <c r="G10" s="33" t="s">
        <v>19</v>
      </c>
      <c r="H10" s="34"/>
      <c r="I10" s="35">
        <v>1234</v>
      </c>
      <c r="J10" s="36">
        <f>I10/$I$6-1</f>
        <v>0.23399999999999999</v>
      </c>
      <c r="L10" s="30"/>
      <c r="M10" s="27"/>
    </row>
    <row r="11" spans="1:13" x14ac:dyDescent="0.25">
      <c r="A11" s="19" t="s">
        <v>20</v>
      </c>
      <c r="B11" s="20">
        <v>0.5</v>
      </c>
      <c r="C11" s="31" t="s">
        <v>6</v>
      </c>
      <c r="D11" s="21"/>
      <c r="E11" s="21"/>
      <c r="F11" s="32"/>
      <c r="G11" s="31" t="s">
        <v>21</v>
      </c>
      <c r="H11" s="37"/>
      <c r="I11" s="38"/>
      <c r="J11" s="39"/>
      <c r="L11" s="30"/>
      <c r="M11" s="27"/>
    </row>
    <row r="12" spans="1:13" x14ac:dyDescent="0.25">
      <c r="B12" s="28"/>
      <c r="D12" s="21"/>
      <c r="E12" s="21"/>
      <c r="F12" s="32"/>
    </row>
    <row r="13" spans="1:13" x14ac:dyDescent="0.25">
      <c r="A13" s="4" t="s">
        <v>22</v>
      </c>
      <c r="B13" s="5">
        <v>0.5</v>
      </c>
      <c r="C13" s="31" t="s">
        <v>23</v>
      </c>
      <c r="D13" s="21"/>
      <c r="E13" s="21"/>
      <c r="F13" s="21"/>
    </row>
    <row r="14" spans="1:13" x14ac:dyDescent="0.25">
      <c r="A14" s="19" t="s">
        <v>24</v>
      </c>
      <c r="B14" s="20">
        <v>0.2</v>
      </c>
      <c r="C14" s="31" t="s">
        <v>25</v>
      </c>
    </row>
    <row r="15" spans="1:13" ht="21" x14ac:dyDescent="0.35">
      <c r="B15" s="28"/>
      <c r="D15" s="21"/>
      <c r="E15" s="21"/>
      <c r="F15" s="21"/>
      <c r="G15" s="1" t="s">
        <v>26</v>
      </c>
      <c r="H15" s="3"/>
      <c r="I15" s="3"/>
      <c r="J15" s="3"/>
      <c r="K15" s="3"/>
      <c r="L15" s="3"/>
    </row>
    <row r="16" spans="1:13" x14ac:dyDescent="0.25">
      <c r="A16" s="40" t="s">
        <v>94</v>
      </c>
      <c r="B16" s="41">
        <v>0.08</v>
      </c>
      <c r="C16" s="6" t="s">
        <v>27</v>
      </c>
      <c r="D16" s="21"/>
      <c r="E16" s="21"/>
      <c r="F16" s="21"/>
    </row>
    <row r="17" spans="1:12" x14ac:dyDescent="0.25">
      <c r="B17" s="28"/>
      <c r="C17" s="6"/>
      <c r="D17" s="21"/>
      <c r="E17" s="21"/>
      <c r="F17" s="21"/>
      <c r="G17" s="42" t="s">
        <v>28</v>
      </c>
    </row>
    <row r="18" spans="1:12" x14ac:dyDescent="0.25">
      <c r="A18" s="4" t="s">
        <v>83</v>
      </c>
      <c r="B18" s="94">
        <v>0.73</v>
      </c>
      <c r="C18" s="6" t="s">
        <v>18</v>
      </c>
    </row>
    <row r="19" spans="1:12" x14ac:dyDescent="0.25">
      <c r="A19" s="19" t="s">
        <v>84</v>
      </c>
      <c r="B19" s="95">
        <v>0.73</v>
      </c>
      <c r="C19" s="6" t="s">
        <v>29</v>
      </c>
      <c r="G19" s="90"/>
      <c r="H19" s="43" t="s">
        <v>90</v>
      </c>
    </row>
    <row r="20" spans="1:12" x14ac:dyDescent="0.25">
      <c r="A20" s="6" t="s">
        <v>85</v>
      </c>
      <c r="B20" s="6"/>
      <c r="C20" s="6"/>
      <c r="G20" s="44"/>
      <c r="H20" s="43" t="s">
        <v>30</v>
      </c>
    </row>
    <row r="21" spans="1:12" x14ac:dyDescent="0.25">
      <c r="A21" s="6"/>
      <c r="B21" s="6"/>
      <c r="C21" s="6"/>
      <c r="G21" s="45" t="s">
        <v>31</v>
      </c>
      <c r="H21" s="43" t="s">
        <v>91</v>
      </c>
    </row>
    <row r="22" spans="1:12" x14ac:dyDescent="0.25">
      <c r="A22" s="40" t="s">
        <v>32</v>
      </c>
      <c r="B22" s="46">
        <v>0.3</v>
      </c>
      <c r="C22" s="6"/>
    </row>
    <row r="23" spans="1:12" x14ac:dyDescent="0.25">
      <c r="E23" s="47"/>
    </row>
    <row r="24" spans="1:12" x14ac:dyDescent="0.25">
      <c r="B24" s="48" t="s">
        <v>34</v>
      </c>
      <c r="C24" s="49" t="s">
        <v>35</v>
      </c>
      <c r="D24" s="11" t="s">
        <v>36</v>
      </c>
      <c r="G24" s="42" t="s">
        <v>33</v>
      </c>
    </row>
    <row r="25" spans="1:12" x14ac:dyDescent="0.25">
      <c r="A25" s="40" t="s">
        <v>82</v>
      </c>
      <c r="B25" s="190">
        <v>50000</v>
      </c>
      <c r="C25" s="190">
        <v>60000</v>
      </c>
      <c r="D25" s="50">
        <v>72000</v>
      </c>
      <c r="E25" s="6"/>
      <c r="G25" s="91" t="s">
        <v>37</v>
      </c>
    </row>
    <row r="26" spans="1:12" x14ac:dyDescent="0.25">
      <c r="G26" s="92" t="s">
        <v>86</v>
      </c>
    </row>
    <row r="27" spans="1:12" x14ac:dyDescent="0.25">
      <c r="G27" s="93" t="s">
        <v>81</v>
      </c>
    </row>
    <row r="29" spans="1:12" ht="21" x14ac:dyDescent="0.35">
      <c r="A29" s="1" t="s">
        <v>38</v>
      </c>
      <c r="B29" s="2"/>
      <c r="C29" s="2"/>
      <c r="D29" s="2"/>
      <c r="E29" s="2"/>
      <c r="F29" s="3"/>
      <c r="G29" s="3"/>
      <c r="H29" s="3"/>
      <c r="I29" s="3"/>
      <c r="J29" s="3"/>
      <c r="K29" s="3"/>
      <c r="L29" s="3"/>
    </row>
    <row r="31" spans="1:12" x14ac:dyDescent="0.25">
      <c r="B31" s="7" t="s">
        <v>39</v>
      </c>
      <c r="C31" s="51" t="s">
        <v>40</v>
      </c>
      <c r="D31" s="51"/>
      <c r="E31" s="52"/>
    </row>
    <row r="32" spans="1:12" x14ac:dyDescent="0.25">
      <c r="A32" s="53" t="s">
        <v>41</v>
      </c>
      <c r="B32" s="13" t="s">
        <v>42</v>
      </c>
      <c r="C32" s="54" t="s">
        <v>34</v>
      </c>
      <c r="D32" s="54" t="s">
        <v>35</v>
      </c>
      <c r="E32" s="12" t="s">
        <v>36</v>
      </c>
    </row>
    <row r="33" spans="1:12" x14ac:dyDescent="0.25">
      <c r="A33" s="55" t="s">
        <v>43</v>
      </c>
      <c r="B33" s="170">
        <v>2000</v>
      </c>
      <c r="C33" s="132">
        <f>MIN(2000,C36-C35)</f>
        <v>2000</v>
      </c>
      <c r="D33" s="132">
        <f>MIN(2000,D36-D35)</f>
        <v>2000</v>
      </c>
      <c r="E33" s="133">
        <f>MIN(2000,E36-E35)</f>
        <v>2000</v>
      </c>
    </row>
    <row r="34" spans="1:12" x14ac:dyDescent="0.25">
      <c r="A34" s="56" t="s">
        <v>44</v>
      </c>
      <c r="B34" s="171">
        <v>13000</v>
      </c>
      <c r="C34" s="135">
        <f>C36-C35-C33</f>
        <v>13288.594999999994</v>
      </c>
      <c r="D34" s="135">
        <f>D36-D35-D33</f>
        <v>13915.497320000002</v>
      </c>
      <c r="E34" s="136">
        <f>E36-E35-E33</f>
        <v>13917.595969920018</v>
      </c>
    </row>
    <row r="35" spans="1:12" x14ac:dyDescent="0.25">
      <c r="A35" s="56" t="s">
        <v>45</v>
      </c>
      <c r="B35" s="172">
        <f>B90-B98</f>
        <v>-10664.5</v>
      </c>
      <c r="C35" s="156">
        <f t="shared" ref="C35:E35" si="0">C90-C98</f>
        <v>-13863.849999999999</v>
      </c>
      <c r="D35" s="156">
        <f t="shared" si="0"/>
        <v>-17489.780000000013</v>
      </c>
      <c r="E35" s="157">
        <f t="shared" si="0"/>
        <v>-21670.264000000083</v>
      </c>
      <c r="G35" s="57"/>
      <c r="H35" s="57"/>
      <c r="I35" s="57"/>
      <c r="J35" s="57"/>
      <c r="K35" s="57"/>
      <c r="L35" s="57"/>
    </row>
    <row r="36" spans="1:12" x14ac:dyDescent="0.25">
      <c r="A36" s="58" t="s">
        <v>46</v>
      </c>
      <c r="B36" s="173">
        <f>SUM(B33:B35)</f>
        <v>4335.5</v>
      </c>
      <c r="C36" s="150">
        <f>B36+C75+C38-B38+C42</f>
        <v>1424.7449999999953</v>
      </c>
      <c r="D36" s="150">
        <f>C36+D75+D38-C38+D42</f>
        <v>-1574.2826800000112</v>
      </c>
      <c r="E36" s="151">
        <f>D36+E75+E38-D38+E42</f>
        <v>-5752.6680300800654</v>
      </c>
      <c r="G36" s="59"/>
      <c r="H36" s="59"/>
      <c r="I36" s="59"/>
      <c r="J36" s="57"/>
      <c r="K36" s="57"/>
      <c r="L36" s="57"/>
    </row>
    <row r="37" spans="1:12" x14ac:dyDescent="0.25">
      <c r="A37" s="55"/>
      <c r="B37" s="174"/>
      <c r="C37" s="175"/>
      <c r="D37" s="175"/>
      <c r="E37" s="176"/>
      <c r="G37" s="59"/>
      <c r="H37" s="59"/>
      <c r="I37" s="59"/>
      <c r="J37" s="57"/>
      <c r="K37" s="57"/>
      <c r="L37" s="57"/>
    </row>
    <row r="38" spans="1:12" x14ac:dyDescent="0.25">
      <c r="A38" s="56" t="s">
        <v>47</v>
      </c>
      <c r="B38" s="172">
        <f>B90</f>
        <v>-44569</v>
      </c>
      <c r="C38" s="156">
        <f t="shared" ref="C38:E38" si="1">C90</f>
        <v>-57939.700000000004</v>
      </c>
      <c r="D38" s="156">
        <f t="shared" si="1"/>
        <v>-73093.16</v>
      </c>
      <c r="E38" s="157">
        <f t="shared" si="1"/>
        <v>-90564.208000000042</v>
      </c>
      <c r="G38" s="57"/>
      <c r="H38" s="57"/>
      <c r="I38" s="57"/>
      <c r="J38" s="57"/>
      <c r="K38" s="57"/>
      <c r="L38" s="57"/>
    </row>
    <row r="39" spans="1:12" x14ac:dyDescent="0.25">
      <c r="A39" s="58" t="s">
        <v>48</v>
      </c>
      <c r="B39" s="177">
        <f>SUM(B38:B38)</f>
        <v>-44569</v>
      </c>
      <c r="C39" s="150">
        <f>SUM(C38:C38)</f>
        <v>-57939.700000000004</v>
      </c>
      <c r="D39" s="150">
        <f>SUM(D38:D38)</f>
        <v>-73093.16</v>
      </c>
      <c r="E39" s="151">
        <f>SUM(E38:E38)</f>
        <v>-90564.208000000042</v>
      </c>
      <c r="G39" s="57"/>
      <c r="H39" s="57"/>
      <c r="I39" s="57"/>
      <c r="J39" s="57"/>
      <c r="K39" s="57"/>
      <c r="L39" s="57"/>
    </row>
    <row r="40" spans="1:12" x14ac:dyDescent="0.25">
      <c r="A40" s="55"/>
      <c r="B40" s="174"/>
      <c r="C40" s="175"/>
      <c r="D40" s="175"/>
      <c r="E40" s="176"/>
      <c r="G40" s="59"/>
      <c r="H40" s="59"/>
      <c r="I40" s="57"/>
      <c r="J40" s="57"/>
      <c r="K40" s="57"/>
      <c r="L40" s="57"/>
    </row>
    <row r="41" spans="1:12" x14ac:dyDescent="0.25">
      <c r="A41" s="56" t="s">
        <v>49</v>
      </c>
      <c r="B41" s="178">
        <f>B36-B39-B43</f>
        <v>23904.5</v>
      </c>
      <c r="C41" s="192">
        <f>B41+B42+C75</f>
        <v>35364.445000000007</v>
      </c>
      <c r="D41" s="192">
        <f t="shared" ref="D41:E41" si="2">C41+C42+D75</f>
        <v>48518.87732</v>
      </c>
      <c r="E41" s="193">
        <f t="shared" si="2"/>
        <v>63811.539969919977</v>
      </c>
      <c r="F41" s="199" t="s">
        <v>98</v>
      </c>
      <c r="G41" s="60"/>
      <c r="H41" s="59"/>
      <c r="I41" s="57"/>
      <c r="J41" s="57"/>
      <c r="K41" s="57"/>
      <c r="L41" s="57"/>
    </row>
    <row r="42" spans="1:12" x14ac:dyDescent="0.25">
      <c r="A42" s="56" t="s">
        <v>87</v>
      </c>
      <c r="B42" s="189">
        <v>0</v>
      </c>
      <c r="C42" s="96">
        <v>-1000</v>
      </c>
      <c r="D42" s="96">
        <v>-2000</v>
      </c>
      <c r="E42" s="97">
        <v>-4000</v>
      </c>
      <c r="G42" s="60"/>
      <c r="H42" s="59"/>
      <c r="I42" s="57"/>
      <c r="J42" s="57"/>
      <c r="K42" s="57"/>
      <c r="L42" s="57"/>
    </row>
    <row r="43" spans="1:12" x14ac:dyDescent="0.25">
      <c r="A43" s="56" t="s">
        <v>50</v>
      </c>
      <c r="B43" s="171">
        <v>25000</v>
      </c>
      <c r="C43" s="96">
        <v>25000</v>
      </c>
      <c r="D43" s="96">
        <v>25000</v>
      </c>
      <c r="E43" s="97">
        <v>25000</v>
      </c>
      <c r="G43" s="57"/>
      <c r="H43" s="57"/>
      <c r="I43" s="57"/>
      <c r="J43" s="57"/>
      <c r="K43" s="57"/>
      <c r="L43" s="57"/>
    </row>
    <row r="44" spans="1:12" x14ac:dyDescent="0.25">
      <c r="A44" s="58" t="s">
        <v>51</v>
      </c>
      <c r="B44" s="177">
        <f>SUM(B41:B43)</f>
        <v>48904.5</v>
      </c>
      <c r="C44" s="150">
        <f>SUM(C41:C43)</f>
        <v>59364.445000000007</v>
      </c>
      <c r="D44" s="150">
        <f>SUM(D41:D43)</f>
        <v>71518.87732</v>
      </c>
      <c r="E44" s="151">
        <f>SUM(E41:E43)</f>
        <v>84811.539969919977</v>
      </c>
      <c r="G44" s="60"/>
      <c r="H44" s="57"/>
      <c r="I44" s="57"/>
      <c r="J44" s="57"/>
      <c r="K44" s="57"/>
      <c r="L44" s="57"/>
    </row>
    <row r="45" spans="1:12" x14ac:dyDescent="0.25">
      <c r="B45" s="179"/>
      <c r="C45" s="179"/>
      <c r="D45" s="179"/>
      <c r="E45" s="179"/>
      <c r="G45" s="57"/>
      <c r="H45" s="57"/>
      <c r="I45" s="57"/>
      <c r="J45" s="57"/>
      <c r="K45" s="57"/>
      <c r="L45" s="57"/>
    </row>
    <row r="46" spans="1:12" x14ac:dyDescent="0.25">
      <c r="A46" s="6"/>
      <c r="B46" s="179"/>
      <c r="C46" s="179"/>
      <c r="D46" s="179"/>
      <c r="E46" s="179"/>
      <c r="G46" s="57"/>
      <c r="H46" s="57"/>
      <c r="I46" s="57"/>
      <c r="J46" s="57"/>
      <c r="K46" s="57"/>
      <c r="L46" s="57"/>
    </row>
    <row r="47" spans="1:12" x14ac:dyDescent="0.25">
      <c r="A47" s="61" t="s">
        <v>52</v>
      </c>
      <c r="B47" s="180">
        <f>MAX(B96-95%*(B93+B94),10000)</f>
        <v>10000</v>
      </c>
      <c r="C47" s="181">
        <f t="shared" ref="C47:E47" si="3">MAX(C96-95%*(C93+C94),10000)</f>
        <v>10000</v>
      </c>
      <c r="D47" s="181">
        <f t="shared" si="3"/>
        <v>10000</v>
      </c>
      <c r="E47" s="182">
        <f t="shared" si="3"/>
        <v>10000</v>
      </c>
      <c r="G47" s="57"/>
      <c r="H47" s="57"/>
      <c r="I47" s="57"/>
      <c r="J47" s="57"/>
      <c r="K47" s="57"/>
      <c r="L47" s="57"/>
    </row>
    <row r="48" spans="1:12" x14ac:dyDescent="0.25">
      <c r="A48" s="62" t="s">
        <v>53</v>
      </c>
      <c r="B48" s="183">
        <f>B47*120%</f>
        <v>12000</v>
      </c>
      <c r="C48" s="184">
        <f t="shared" ref="C48:E48" si="4">C47*120%</f>
        <v>12000</v>
      </c>
      <c r="D48" s="184">
        <f t="shared" si="4"/>
        <v>12000</v>
      </c>
      <c r="E48" s="185">
        <f t="shared" si="4"/>
        <v>12000</v>
      </c>
      <c r="G48" s="57"/>
      <c r="H48" s="57"/>
      <c r="I48" s="57"/>
      <c r="J48" s="57"/>
      <c r="K48" s="57"/>
      <c r="L48" s="57"/>
    </row>
    <row r="49" spans="1:76" x14ac:dyDescent="0.25">
      <c r="A49" s="6"/>
      <c r="B49" s="186"/>
      <c r="C49" s="186"/>
      <c r="D49" s="186"/>
      <c r="E49" s="186"/>
      <c r="F49" s="6"/>
      <c r="G49" s="57"/>
      <c r="H49" s="57"/>
      <c r="I49" s="57"/>
      <c r="J49" s="57"/>
      <c r="K49" s="57"/>
      <c r="L49" s="57"/>
    </row>
    <row r="50" spans="1:76" x14ac:dyDescent="0.25">
      <c r="A50" s="61" t="s">
        <v>54</v>
      </c>
      <c r="B50" s="194">
        <f>B36-B39-(0-(B38-B35))</f>
        <v>15000</v>
      </c>
      <c r="C50" s="195">
        <f t="shared" ref="C50:E50" si="5">C36-C39-(0-(C38-C35))</f>
        <v>15288.594999999994</v>
      </c>
      <c r="D50" s="195">
        <f t="shared" si="5"/>
        <v>15915.497320000009</v>
      </c>
      <c r="E50" s="196">
        <f t="shared" si="5"/>
        <v>15917.595969920018</v>
      </c>
      <c r="F50" s="197" t="s">
        <v>102</v>
      </c>
      <c r="H50" s="198"/>
      <c r="I50" s="57"/>
      <c r="J50" s="57"/>
      <c r="K50" s="57"/>
      <c r="L50" s="57"/>
    </row>
    <row r="51" spans="1:76" x14ac:dyDescent="0.25">
      <c r="A51" s="62" t="s">
        <v>95</v>
      </c>
      <c r="B51" s="183">
        <f>B50-B48</f>
        <v>3000</v>
      </c>
      <c r="C51" s="184">
        <f t="shared" ref="C51:E51" si="6">C50-C48</f>
        <v>3288.5949999999939</v>
      </c>
      <c r="D51" s="184">
        <f t="shared" si="6"/>
        <v>3915.4973200000095</v>
      </c>
      <c r="E51" s="185">
        <f t="shared" si="6"/>
        <v>3917.5959699200175</v>
      </c>
      <c r="F51" s="200" t="s">
        <v>99</v>
      </c>
      <c r="G51" s="202"/>
      <c r="H51" s="202"/>
      <c r="I51" s="202"/>
      <c r="J51" s="202"/>
      <c r="K51" s="202"/>
      <c r="L51" s="202"/>
      <c r="M51" s="203"/>
      <c r="N51" s="203"/>
      <c r="O51" s="203"/>
      <c r="P51" s="203"/>
      <c r="Q51" s="203"/>
      <c r="R51" s="203"/>
      <c r="S51" s="203"/>
      <c r="T51" s="203"/>
      <c r="U51" s="203"/>
    </row>
    <row r="52" spans="1:76" x14ac:dyDescent="0.25">
      <c r="A52" s="6"/>
      <c r="B52" s="63"/>
      <c r="F52" s="201" t="s">
        <v>100</v>
      </c>
      <c r="G52" s="202"/>
      <c r="H52" s="202"/>
      <c r="I52" s="202"/>
      <c r="J52" s="202"/>
      <c r="K52" s="202"/>
      <c r="L52" s="202"/>
      <c r="M52" s="203"/>
      <c r="N52" s="203"/>
      <c r="O52" s="203"/>
      <c r="P52" s="203"/>
      <c r="Q52" s="203"/>
      <c r="R52" s="203"/>
      <c r="S52" s="203"/>
      <c r="T52" s="203"/>
      <c r="U52" s="203"/>
    </row>
    <row r="53" spans="1:76" x14ac:dyDescent="0.25">
      <c r="B53" s="30"/>
      <c r="C53" s="30"/>
      <c r="D53" s="30"/>
      <c r="E53" s="30"/>
      <c r="F53" s="201" t="s">
        <v>101</v>
      </c>
      <c r="G53" s="202"/>
      <c r="H53" s="202"/>
      <c r="I53" s="202"/>
      <c r="J53" s="202"/>
      <c r="K53" s="202"/>
      <c r="L53" s="202"/>
      <c r="M53" s="203"/>
      <c r="N53" s="203"/>
      <c r="O53" s="203"/>
      <c r="P53" s="203"/>
      <c r="Q53" s="203"/>
      <c r="R53" s="203"/>
      <c r="S53" s="203"/>
      <c r="T53" s="203"/>
      <c r="U53" s="203"/>
    </row>
    <row r="54" spans="1:76" ht="21" x14ac:dyDescent="0.35">
      <c r="A54" s="1" t="s">
        <v>55</v>
      </c>
      <c r="B54" s="2"/>
      <c r="C54" s="2"/>
      <c r="D54" s="2"/>
      <c r="E54" s="2"/>
      <c r="F54" s="3"/>
      <c r="G54" s="64"/>
      <c r="H54" s="64"/>
      <c r="I54" s="64"/>
      <c r="J54" s="64"/>
      <c r="K54" s="64"/>
      <c r="L54" s="64"/>
    </row>
    <row r="55" spans="1:76" x14ac:dyDescent="0.25">
      <c r="G55" s="57"/>
      <c r="H55" s="57"/>
      <c r="I55" s="57"/>
      <c r="J55" s="57"/>
      <c r="K55" s="57"/>
      <c r="L55" s="57"/>
    </row>
    <row r="56" spans="1:76" x14ac:dyDescent="0.25">
      <c r="C56" s="61" t="s">
        <v>40</v>
      </c>
      <c r="D56" s="51"/>
      <c r="E56" s="52"/>
      <c r="G56" s="57"/>
      <c r="H56" s="57"/>
      <c r="I56" s="57"/>
      <c r="J56" s="57"/>
      <c r="K56" s="57"/>
      <c r="L56" s="57"/>
    </row>
    <row r="57" spans="1:76" x14ac:dyDescent="0.25">
      <c r="A57" s="61" t="s">
        <v>41</v>
      </c>
      <c r="B57" s="51"/>
      <c r="C57" s="65" t="s">
        <v>34</v>
      </c>
      <c r="D57" s="54" t="s">
        <v>35</v>
      </c>
      <c r="E57" s="12" t="s">
        <v>36</v>
      </c>
      <c r="G57" s="57"/>
      <c r="H57" s="57"/>
      <c r="I57" s="57"/>
      <c r="J57" s="57"/>
      <c r="K57" s="57"/>
      <c r="L57" s="57"/>
    </row>
    <row r="58" spans="1:76" x14ac:dyDescent="0.25">
      <c r="A58" s="55" t="s">
        <v>96</v>
      </c>
      <c r="B58" s="66"/>
      <c r="C58" s="131">
        <f>B82</f>
        <v>50000</v>
      </c>
      <c r="D58" s="132">
        <f>C82</f>
        <v>65000</v>
      </c>
      <c r="E58" s="133">
        <f>D82</f>
        <v>82000</v>
      </c>
      <c r="F58" s="67"/>
      <c r="G58" s="68"/>
      <c r="H58" s="68"/>
      <c r="I58" s="68"/>
      <c r="J58" s="68"/>
      <c r="K58" s="68"/>
      <c r="L58" s="68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</row>
    <row r="59" spans="1:76" x14ac:dyDescent="0.25">
      <c r="A59" s="56" t="s">
        <v>56</v>
      </c>
      <c r="B59" s="69"/>
      <c r="C59" s="134">
        <f>B25</f>
        <v>50000</v>
      </c>
      <c r="D59" s="135">
        <f>C25</f>
        <v>60000</v>
      </c>
      <c r="E59" s="136">
        <f>D25</f>
        <v>72000</v>
      </c>
      <c r="G59" s="57"/>
      <c r="H59" s="57"/>
      <c r="I59" s="57"/>
      <c r="J59" s="57"/>
      <c r="K59" s="57"/>
      <c r="L59" s="57"/>
    </row>
    <row r="60" spans="1:76" x14ac:dyDescent="0.25">
      <c r="A60" s="70" t="s">
        <v>97</v>
      </c>
      <c r="B60" s="71"/>
      <c r="C60" s="128">
        <f>SUM(C58:C59)</f>
        <v>100000</v>
      </c>
      <c r="D60" s="129">
        <f>SUM(D58:D59)</f>
        <v>125000</v>
      </c>
      <c r="E60" s="130">
        <f>SUM(E58:E59)</f>
        <v>154000</v>
      </c>
      <c r="F60" s="72"/>
      <c r="G60" s="73"/>
      <c r="H60" s="57"/>
      <c r="I60" s="57"/>
      <c r="J60" s="57"/>
      <c r="K60" s="57"/>
      <c r="L60" s="57"/>
    </row>
    <row r="61" spans="1:76" x14ac:dyDescent="0.25">
      <c r="A61" s="74" t="s">
        <v>89</v>
      </c>
      <c r="B61" s="75"/>
      <c r="C61" s="98">
        <f>-(C58+C59*(1-$B$11))*$B$9</f>
        <v>-22500</v>
      </c>
      <c r="D61" s="99">
        <f>-(D58+D59*(1-$B$11))*$B$9</f>
        <v>-28500</v>
      </c>
      <c r="E61" s="100">
        <f>-(E58+E59*(1-$B$11))*$B$9</f>
        <v>-35400</v>
      </c>
      <c r="F61" s="72"/>
      <c r="G61" s="73"/>
      <c r="H61" s="57"/>
      <c r="I61" s="57"/>
      <c r="J61" s="57"/>
      <c r="K61" s="57"/>
      <c r="L61" s="57"/>
    </row>
    <row r="62" spans="1:76" x14ac:dyDescent="0.25">
      <c r="A62" s="76"/>
      <c r="B62" s="77"/>
      <c r="C62" s="146"/>
      <c r="D62" s="147"/>
      <c r="E62" s="148"/>
      <c r="F62" s="72"/>
      <c r="G62" s="73"/>
      <c r="H62" s="57"/>
      <c r="I62" s="57"/>
      <c r="J62" s="57"/>
      <c r="K62" s="57"/>
      <c r="L62" s="57"/>
    </row>
    <row r="63" spans="1:76" x14ac:dyDescent="0.25">
      <c r="A63" s="70" t="s">
        <v>57</v>
      </c>
      <c r="B63" s="71"/>
      <c r="C63" s="137">
        <f>-(C58+C59)*$B$4</f>
        <v>-30000</v>
      </c>
      <c r="D63" s="138">
        <f t="shared" ref="D63:E63" si="7">-(D58+D59)*$B$4</f>
        <v>-37500</v>
      </c>
      <c r="E63" s="139">
        <f t="shared" si="7"/>
        <v>-46200</v>
      </c>
      <c r="G63" s="68"/>
      <c r="H63" s="68"/>
      <c r="I63" s="57"/>
      <c r="J63" s="57"/>
      <c r="K63" s="57"/>
      <c r="L63" s="57"/>
    </row>
    <row r="64" spans="1:76" x14ac:dyDescent="0.25">
      <c r="A64" s="70" t="s">
        <v>92</v>
      </c>
      <c r="B64" s="71"/>
      <c r="C64" s="137">
        <f>-C63*$B$10</f>
        <v>15000</v>
      </c>
      <c r="D64" s="138">
        <f t="shared" ref="D64:E64" si="8">-D63*$B$10</f>
        <v>18750</v>
      </c>
      <c r="E64" s="139">
        <f t="shared" si="8"/>
        <v>23100</v>
      </c>
      <c r="G64" s="57"/>
      <c r="H64" s="57"/>
      <c r="I64" s="57"/>
      <c r="J64" s="57"/>
      <c r="K64" s="57"/>
      <c r="L64" s="57"/>
    </row>
    <row r="65" spans="1:86" x14ac:dyDescent="0.25">
      <c r="A65" s="70" t="s">
        <v>58</v>
      </c>
      <c r="B65" s="71"/>
      <c r="C65" s="140">
        <f>-(C58*$B$6+C59*$B$5)</f>
        <v>-47500</v>
      </c>
      <c r="D65" s="141">
        <f t="shared" ref="D65:E65" si="9">-(D58*$B$6+D59*$B$5)</f>
        <v>-57750</v>
      </c>
      <c r="E65" s="142">
        <f t="shared" si="9"/>
        <v>-69900</v>
      </c>
      <c r="F65" s="72"/>
      <c r="G65" s="78"/>
      <c r="H65" s="78"/>
      <c r="I65" s="78"/>
      <c r="J65" s="78"/>
      <c r="K65" s="78"/>
      <c r="L65" s="78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</row>
    <row r="66" spans="1:86" x14ac:dyDescent="0.25">
      <c r="A66" s="74" t="s">
        <v>59</v>
      </c>
      <c r="B66" s="75"/>
      <c r="C66" s="143">
        <f>-(C58+C59)*$B$7</f>
        <v>-15000</v>
      </c>
      <c r="D66" s="144">
        <f t="shared" ref="D66:E66" si="10">-(D58+D59)*$B$7</f>
        <v>-18750</v>
      </c>
      <c r="E66" s="145">
        <f t="shared" si="10"/>
        <v>-23100</v>
      </c>
      <c r="G66" s="60"/>
      <c r="H66" s="59"/>
      <c r="I66" s="59"/>
      <c r="J66" s="57"/>
      <c r="K66" s="57"/>
      <c r="L66" s="57"/>
    </row>
    <row r="67" spans="1:86" x14ac:dyDescent="0.25">
      <c r="A67" s="76"/>
      <c r="B67" s="66"/>
      <c r="C67" s="131"/>
      <c r="D67" s="132"/>
      <c r="E67" s="133"/>
      <c r="F67" s="21"/>
      <c r="G67" s="59"/>
      <c r="H67" s="57"/>
      <c r="I67" s="57"/>
      <c r="J67" s="57"/>
      <c r="K67" s="57"/>
      <c r="L67" s="57"/>
    </row>
    <row r="68" spans="1:86" x14ac:dyDescent="0.25">
      <c r="A68" s="58" t="s">
        <v>88</v>
      </c>
      <c r="B68" s="79"/>
      <c r="C68" s="149">
        <f>SUM(C60:C66)</f>
        <v>0</v>
      </c>
      <c r="D68" s="150">
        <f>SUM(D60:D66)</f>
        <v>1250</v>
      </c>
      <c r="E68" s="151">
        <f>SUM(E60:E66)</f>
        <v>2500</v>
      </c>
      <c r="F68" s="21"/>
      <c r="G68" s="80"/>
      <c r="H68" s="57"/>
      <c r="I68" s="57"/>
      <c r="J68" s="57"/>
      <c r="K68" s="57"/>
      <c r="L68" s="57"/>
    </row>
    <row r="69" spans="1:86" x14ac:dyDescent="0.25">
      <c r="A69" s="76"/>
      <c r="B69" s="77"/>
      <c r="C69" s="152"/>
      <c r="D69" s="153"/>
      <c r="E69" s="154"/>
      <c r="F69" s="21"/>
      <c r="G69" s="57"/>
      <c r="H69" s="57"/>
      <c r="I69" s="59"/>
      <c r="J69" s="57"/>
      <c r="K69" s="57"/>
      <c r="L69" s="57"/>
    </row>
    <row r="70" spans="1:86" x14ac:dyDescent="0.25">
      <c r="A70" s="56" t="s">
        <v>60</v>
      </c>
      <c r="B70" s="69"/>
      <c r="C70" s="155">
        <f>B98-C98</f>
        <v>10171.350000000006</v>
      </c>
      <c r="D70" s="156">
        <f t="shared" ref="D70:E70" si="11">C98-D98</f>
        <v>11527.529999999984</v>
      </c>
      <c r="E70" s="157">
        <f t="shared" si="11"/>
        <v>13290.563999999969</v>
      </c>
      <c r="G70" s="60"/>
      <c r="H70" s="59"/>
      <c r="I70" s="78"/>
      <c r="J70" s="57"/>
      <c r="K70" s="57"/>
      <c r="L70" s="57"/>
    </row>
    <row r="71" spans="1:86" x14ac:dyDescent="0.25">
      <c r="A71" s="56" t="s">
        <v>93</v>
      </c>
      <c r="B71" s="69"/>
      <c r="C71" s="134">
        <f>SUM(B33:B34,C60:C61,C66)*$B$16</f>
        <v>6200</v>
      </c>
      <c r="D71" s="135">
        <f>SUM(C33:C34,D60:D61,D66)*$B$16</f>
        <v>7443.0875999999998</v>
      </c>
      <c r="E71" s="136">
        <f>SUM(D33:D34,E60:E61,E66)*$B$16</f>
        <v>8913.2397856000007</v>
      </c>
      <c r="G71" s="68"/>
      <c r="H71" s="68"/>
      <c r="I71" s="57"/>
      <c r="J71" s="57"/>
      <c r="K71" s="57"/>
      <c r="L71" s="57"/>
    </row>
    <row r="72" spans="1:86" x14ac:dyDescent="0.25">
      <c r="A72" s="58" t="s">
        <v>61</v>
      </c>
      <c r="B72" s="81"/>
      <c r="C72" s="149">
        <f>SUM(C68:C71)</f>
        <v>16371.350000000006</v>
      </c>
      <c r="D72" s="150">
        <f>SUM(D68:D71)</f>
        <v>20220.617599999983</v>
      </c>
      <c r="E72" s="151">
        <f>SUM(E68:E71)</f>
        <v>24703.803785599972</v>
      </c>
      <c r="F72" s="21"/>
      <c r="G72" s="59"/>
      <c r="H72" s="59"/>
      <c r="I72" s="59"/>
      <c r="J72" s="57"/>
      <c r="K72" s="57"/>
      <c r="L72" s="57"/>
    </row>
    <row r="73" spans="1:86" x14ac:dyDescent="0.25">
      <c r="A73" s="76"/>
      <c r="B73" s="66"/>
      <c r="C73" s="152"/>
      <c r="D73" s="153"/>
      <c r="E73" s="154"/>
      <c r="F73" s="21"/>
      <c r="G73" s="59"/>
      <c r="H73" s="57"/>
      <c r="I73" s="57"/>
      <c r="J73" s="57"/>
      <c r="K73" s="57"/>
      <c r="L73" s="57"/>
    </row>
    <row r="74" spans="1:86" x14ac:dyDescent="0.25">
      <c r="A74" s="82" t="s">
        <v>62</v>
      </c>
      <c r="B74" s="69"/>
      <c r="C74" s="101">
        <f>-C72*$B$22</f>
        <v>-4911.4050000000016</v>
      </c>
      <c r="D74" s="102">
        <f>-D72*$B$22</f>
        <v>-6066.1852799999951</v>
      </c>
      <c r="E74" s="103">
        <f>-E72*$B$22</f>
        <v>-7411.1411356799908</v>
      </c>
      <c r="F74" s="21"/>
      <c r="G74" s="59"/>
      <c r="H74" s="57"/>
      <c r="I74" s="57"/>
      <c r="J74" s="57"/>
      <c r="K74" s="57"/>
      <c r="L74" s="57"/>
    </row>
    <row r="75" spans="1:86" x14ac:dyDescent="0.25">
      <c r="A75" s="58" t="s">
        <v>63</v>
      </c>
      <c r="B75" s="81"/>
      <c r="C75" s="149">
        <f>SUM(C72:C74)</f>
        <v>11459.945000000003</v>
      </c>
      <c r="D75" s="150">
        <f>SUM(D72:D74)</f>
        <v>14154.432319999989</v>
      </c>
      <c r="E75" s="151">
        <f>SUM(E72:E74)</f>
        <v>17292.662649919981</v>
      </c>
      <c r="F75" s="21"/>
      <c r="G75" s="59"/>
      <c r="H75" s="78"/>
      <c r="I75" s="57"/>
      <c r="J75" s="57"/>
      <c r="K75" s="57"/>
      <c r="L75" s="57"/>
    </row>
    <row r="76" spans="1:86" x14ac:dyDescent="0.25">
      <c r="A76" s="6"/>
      <c r="G76" s="57"/>
      <c r="H76" s="57"/>
      <c r="I76" s="57"/>
      <c r="J76" s="57"/>
      <c r="K76" s="57"/>
      <c r="L76" s="57"/>
    </row>
    <row r="77" spans="1:86" x14ac:dyDescent="0.25">
      <c r="G77" s="57"/>
      <c r="H77" s="57"/>
      <c r="I77" s="57"/>
      <c r="J77" s="57"/>
      <c r="K77" s="57"/>
      <c r="L77" s="57"/>
    </row>
    <row r="78" spans="1:86" ht="21" x14ac:dyDescent="0.35">
      <c r="A78" s="1" t="s">
        <v>64</v>
      </c>
      <c r="B78" s="2"/>
      <c r="C78" s="2"/>
      <c r="D78" s="2"/>
      <c r="E78" s="2"/>
      <c r="F78" s="3"/>
      <c r="G78" s="64"/>
      <c r="H78" s="64"/>
      <c r="I78" s="64"/>
      <c r="J78" s="64"/>
      <c r="K78" s="64"/>
      <c r="L78" s="64"/>
    </row>
    <row r="79" spans="1:86" x14ac:dyDescent="0.25">
      <c r="G79" s="57"/>
      <c r="H79" s="57"/>
      <c r="I79" s="57"/>
      <c r="J79" s="57"/>
      <c r="K79" s="57"/>
      <c r="L79" s="57"/>
    </row>
    <row r="80" spans="1:86" x14ac:dyDescent="0.25">
      <c r="A80" s="83"/>
      <c r="B80" s="7" t="s">
        <v>39</v>
      </c>
      <c r="C80" s="61" t="s">
        <v>40</v>
      </c>
      <c r="D80" s="51"/>
      <c r="E80" s="52"/>
      <c r="G80" s="57"/>
      <c r="H80" s="57"/>
      <c r="I80" s="57"/>
      <c r="J80" s="57"/>
      <c r="K80" s="57"/>
      <c r="L80" s="57"/>
    </row>
    <row r="81" spans="1:12" x14ac:dyDescent="0.25">
      <c r="B81" s="84" t="s">
        <v>42</v>
      </c>
      <c r="C81" s="85" t="s">
        <v>34</v>
      </c>
      <c r="D81" s="86" t="s">
        <v>35</v>
      </c>
      <c r="E81" s="87" t="s">
        <v>36</v>
      </c>
      <c r="G81" s="57"/>
      <c r="H81" s="57"/>
      <c r="I81" s="57"/>
      <c r="J81" s="57"/>
      <c r="K81" s="57"/>
      <c r="L81" s="57"/>
    </row>
    <row r="82" spans="1:12" x14ac:dyDescent="0.25">
      <c r="A82" s="88" t="s">
        <v>65</v>
      </c>
      <c r="B82" s="124">
        <v>50000</v>
      </c>
      <c r="C82" s="125">
        <f>B82*(1-$B$14)+B25*(1-$B$13)</f>
        <v>65000</v>
      </c>
      <c r="D82" s="126">
        <f>C82*(1-$B$14)+C25*(1-$B$13)</f>
        <v>82000</v>
      </c>
      <c r="E82" s="127">
        <f>D82*(1-$B$14)+D25*(1-$B$13)</f>
        <v>101600</v>
      </c>
      <c r="G82" s="57"/>
      <c r="H82" s="57"/>
      <c r="I82" s="57"/>
      <c r="J82" s="57"/>
      <c r="K82" s="57"/>
      <c r="L82" s="57"/>
    </row>
    <row r="83" spans="1:12" x14ac:dyDescent="0.25">
      <c r="B83" s="158"/>
      <c r="C83" s="159"/>
      <c r="D83" s="160"/>
      <c r="E83" s="161"/>
      <c r="G83" s="57"/>
      <c r="H83" s="57"/>
      <c r="I83" s="57"/>
      <c r="J83" s="57"/>
      <c r="K83" s="57"/>
      <c r="L83" s="57"/>
    </row>
    <row r="84" spans="1:12" x14ac:dyDescent="0.25">
      <c r="A84" s="55" t="s">
        <v>66</v>
      </c>
      <c r="B84" s="120">
        <v>222100</v>
      </c>
      <c r="C84" s="121">
        <f>B84/B$82*C$82</f>
        <v>288730</v>
      </c>
      <c r="D84" s="122">
        <f>C84/C$82*D$82</f>
        <v>364244</v>
      </c>
      <c r="E84" s="123">
        <f>D84/D$82*E$82</f>
        <v>451307.2</v>
      </c>
      <c r="G84" s="59"/>
      <c r="H84" s="57"/>
      <c r="I84" s="57"/>
      <c r="J84" s="57"/>
      <c r="K84" s="57"/>
      <c r="L84" s="57"/>
    </row>
    <row r="85" spans="1:12" x14ac:dyDescent="0.25">
      <c r="A85" s="56" t="s">
        <v>67</v>
      </c>
      <c r="B85" s="104">
        <v>-64700</v>
      </c>
      <c r="C85" s="105">
        <f t="shared" ref="C85:E87" si="12">B85/B$82*C$82</f>
        <v>-84110</v>
      </c>
      <c r="D85" s="106">
        <f t="shared" si="12"/>
        <v>-106108</v>
      </c>
      <c r="E85" s="107">
        <f t="shared" si="12"/>
        <v>-131470.39999999999</v>
      </c>
      <c r="G85" s="59"/>
      <c r="H85" s="57"/>
      <c r="I85" s="57"/>
      <c r="J85" s="57"/>
      <c r="K85" s="57"/>
      <c r="L85" s="57"/>
    </row>
    <row r="86" spans="1:12" x14ac:dyDescent="0.25">
      <c r="A86" s="82" t="s">
        <v>68</v>
      </c>
      <c r="B86" s="104">
        <v>-32300</v>
      </c>
      <c r="C86" s="105">
        <f t="shared" si="12"/>
        <v>-41990</v>
      </c>
      <c r="D86" s="106">
        <f t="shared" si="12"/>
        <v>-52972</v>
      </c>
      <c r="E86" s="107">
        <f t="shared" si="12"/>
        <v>-65633.600000000006</v>
      </c>
      <c r="G86" s="59"/>
      <c r="H86" s="57"/>
      <c r="I86" s="57"/>
      <c r="J86" s="57"/>
      <c r="K86" s="57"/>
      <c r="L86" s="57"/>
    </row>
    <row r="87" spans="1:12" x14ac:dyDescent="0.25">
      <c r="A87" s="56" t="s">
        <v>69</v>
      </c>
      <c r="B87" s="104">
        <v>-33300</v>
      </c>
      <c r="C87" s="105">
        <f t="shared" si="12"/>
        <v>-43290</v>
      </c>
      <c r="D87" s="106">
        <f t="shared" si="12"/>
        <v>-54612</v>
      </c>
      <c r="E87" s="107">
        <f t="shared" si="12"/>
        <v>-67665.600000000006</v>
      </c>
      <c r="G87" s="59"/>
      <c r="H87" s="57"/>
      <c r="I87" s="57"/>
      <c r="J87" s="57"/>
      <c r="K87" s="57"/>
      <c r="L87" s="57"/>
    </row>
    <row r="88" spans="1:12" x14ac:dyDescent="0.25">
      <c r="A88" s="89" t="s">
        <v>70</v>
      </c>
      <c r="B88" s="187">
        <f>-SUM(B84:B87)</f>
        <v>-91800</v>
      </c>
      <c r="C88" s="113">
        <f>-SUM(C84:C87)</f>
        <v>-119340</v>
      </c>
      <c r="D88" s="114">
        <f>-SUM(D84:D87)</f>
        <v>-150552</v>
      </c>
      <c r="E88" s="115">
        <f>-SUM(E84:E87)</f>
        <v>-186537.60000000003</v>
      </c>
      <c r="G88" s="57"/>
      <c r="H88" s="57"/>
      <c r="I88" s="57"/>
      <c r="J88" s="57"/>
      <c r="K88" s="57"/>
      <c r="L88" s="57"/>
    </row>
    <row r="89" spans="1:12" x14ac:dyDescent="0.25">
      <c r="A89" s="82" t="s">
        <v>71</v>
      </c>
      <c r="B89" s="191">
        <f>-B85*$B$18</f>
        <v>47231</v>
      </c>
      <c r="C89" s="162">
        <f t="shared" ref="C89:E89" si="13">-C85*$B$18</f>
        <v>61400.299999999996</v>
      </c>
      <c r="D89" s="163">
        <f t="shared" si="13"/>
        <v>77458.84</v>
      </c>
      <c r="E89" s="164">
        <f t="shared" si="13"/>
        <v>95973.391999999993</v>
      </c>
      <c r="G89" s="57"/>
      <c r="H89" s="57"/>
      <c r="I89" s="57"/>
      <c r="J89" s="57"/>
      <c r="K89" s="57"/>
      <c r="L89" s="57"/>
    </row>
    <row r="90" spans="1:12" x14ac:dyDescent="0.25">
      <c r="A90" s="58" t="s">
        <v>72</v>
      </c>
      <c r="B90" s="188">
        <f>SUM(B88:B89)</f>
        <v>-44569</v>
      </c>
      <c r="C90" s="117">
        <f>SUM(C88:C89)</f>
        <v>-57939.700000000004</v>
      </c>
      <c r="D90" s="117">
        <f>SUM(D88:D89)</f>
        <v>-73093.16</v>
      </c>
      <c r="E90" s="116">
        <f>SUM(E88:E89)</f>
        <v>-90564.208000000042</v>
      </c>
      <c r="G90" s="57"/>
      <c r="H90" s="57"/>
      <c r="I90" s="57"/>
      <c r="J90" s="57"/>
      <c r="K90" s="57"/>
      <c r="L90" s="57"/>
    </row>
    <row r="91" spans="1:12" x14ac:dyDescent="0.25">
      <c r="A91" s="72"/>
      <c r="B91" s="165"/>
      <c r="C91" s="166"/>
      <c r="D91" s="167"/>
      <c r="E91" s="168"/>
      <c r="G91" s="57"/>
      <c r="H91" s="57"/>
      <c r="I91" s="57"/>
      <c r="J91" s="57"/>
      <c r="K91" s="57"/>
      <c r="L91" s="57"/>
    </row>
    <row r="92" spans="1:12" x14ac:dyDescent="0.25">
      <c r="A92" s="55" t="s">
        <v>73</v>
      </c>
      <c r="B92" s="169">
        <f>B84*(1-$B$9)</f>
        <v>155470</v>
      </c>
      <c r="C92" s="121">
        <f>C84*(1-$B$9)</f>
        <v>202111</v>
      </c>
      <c r="D92" s="122">
        <f>D84*(1-$B$9)</f>
        <v>254970.8</v>
      </c>
      <c r="E92" s="123">
        <f>E84*(1-$B$9)</f>
        <v>315915.03999999998</v>
      </c>
      <c r="G92" s="57"/>
      <c r="H92" s="57"/>
      <c r="I92" s="57"/>
      <c r="J92" s="57"/>
      <c r="K92" s="57"/>
      <c r="L92" s="57"/>
    </row>
    <row r="93" spans="1:12" x14ac:dyDescent="0.25">
      <c r="A93" s="56" t="s">
        <v>74</v>
      </c>
      <c r="B93" s="108">
        <f>B85*(1-$B$10)</f>
        <v>-32350</v>
      </c>
      <c r="C93" s="105">
        <f>C85*(1-$B$10)</f>
        <v>-42055</v>
      </c>
      <c r="D93" s="106">
        <f>D85*(1-$B$10)</f>
        <v>-53054</v>
      </c>
      <c r="E93" s="107">
        <f>E85*(1-$B$10)</f>
        <v>-65735.199999999997</v>
      </c>
      <c r="G93" s="57"/>
      <c r="H93" s="57"/>
      <c r="I93" s="57"/>
      <c r="J93" s="57"/>
      <c r="K93" s="57"/>
      <c r="L93" s="57"/>
    </row>
    <row r="94" spans="1:12" x14ac:dyDescent="0.25">
      <c r="A94" s="82" t="s">
        <v>75</v>
      </c>
      <c r="B94" s="108">
        <f>B86</f>
        <v>-32300</v>
      </c>
      <c r="C94" s="105">
        <f t="shared" ref="C94:E95" si="14">C86</f>
        <v>-41990</v>
      </c>
      <c r="D94" s="106">
        <f t="shared" si="14"/>
        <v>-52972</v>
      </c>
      <c r="E94" s="107">
        <f t="shared" si="14"/>
        <v>-65633.600000000006</v>
      </c>
      <c r="G94" s="57"/>
      <c r="H94" s="57"/>
      <c r="I94" s="57"/>
      <c r="J94" s="57"/>
      <c r="K94" s="57"/>
      <c r="L94" s="57"/>
    </row>
    <row r="95" spans="1:12" x14ac:dyDescent="0.25">
      <c r="A95" s="56" t="s">
        <v>76</v>
      </c>
      <c r="B95" s="108">
        <f>B87</f>
        <v>-33300</v>
      </c>
      <c r="C95" s="105">
        <f t="shared" si="14"/>
        <v>-43290</v>
      </c>
      <c r="D95" s="106">
        <f t="shared" si="14"/>
        <v>-54612</v>
      </c>
      <c r="E95" s="107">
        <f t="shared" si="14"/>
        <v>-67665.600000000006</v>
      </c>
      <c r="G95" s="57"/>
      <c r="H95" s="57"/>
      <c r="I95" s="57"/>
      <c r="J95" s="57"/>
      <c r="K95" s="57"/>
      <c r="L95" s="57"/>
    </row>
    <row r="96" spans="1:12" x14ac:dyDescent="0.25">
      <c r="A96" s="89" t="s">
        <v>77</v>
      </c>
      <c r="B96" s="112">
        <f>-SUM(B92:B95)</f>
        <v>-57520</v>
      </c>
      <c r="C96" s="113">
        <f>-SUM(C92:C95)</f>
        <v>-74776</v>
      </c>
      <c r="D96" s="114">
        <f>-SUM(D92:D95)</f>
        <v>-94332.799999999988</v>
      </c>
      <c r="E96" s="115">
        <f>-SUM(E92:E95)</f>
        <v>-116880.63999999996</v>
      </c>
      <c r="G96" s="57"/>
      <c r="H96" s="57"/>
      <c r="I96" s="57"/>
      <c r="J96" s="57"/>
      <c r="K96" s="57"/>
      <c r="L96" s="57"/>
    </row>
    <row r="97" spans="1:12" x14ac:dyDescent="0.25">
      <c r="A97" s="82" t="s">
        <v>78</v>
      </c>
      <c r="B97" s="191">
        <f>-B93*$B$19</f>
        <v>23615.5</v>
      </c>
      <c r="C97" s="109">
        <f t="shared" ref="C97:E97" si="15">-C93*$B$19</f>
        <v>30700.149999999998</v>
      </c>
      <c r="D97" s="110">
        <f t="shared" si="15"/>
        <v>38729.42</v>
      </c>
      <c r="E97" s="111">
        <f t="shared" si="15"/>
        <v>47986.695999999996</v>
      </c>
      <c r="G97" s="57"/>
      <c r="H97" s="57"/>
      <c r="I97" s="57"/>
      <c r="J97" s="57"/>
      <c r="K97" s="57"/>
      <c r="L97" s="57"/>
    </row>
    <row r="98" spans="1:12" x14ac:dyDescent="0.25">
      <c r="A98" s="58" t="s">
        <v>79</v>
      </c>
      <c r="B98" s="116">
        <f>SUM(B96:B97)</f>
        <v>-33904.5</v>
      </c>
      <c r="C98" s="117">
        <f>SUM(C96:C97)</f>
        <v>-44075.850000000006</v>
      </c>
      <c r="D98" s="118">
        <f>SUM(D96:D97)</f>
        <v>-55603.37999999999</v>
      </c>
      <c r="E98" s="119">
        <f>SUM(E96:E97)</f>
        <v>-68893.943999999959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CH98"/>
  <sheetViews>
    <sheetView topLeftCell="A55" zoomScale="80" zoomScaleNormal="80" workbookViewId="0"/>
  </sheetViews>
  <sheetFormatPr defaultRowHeight="15" x14ac:dyDescent="0.25"/>
  <cols>
    <col min="1" max="1" width="38.140625" customWidth="1"/>
    <col min="2" max="2" width="13.28515625" bestFit="1" customWidth="1"/>
    <col min="3" max="6" width="11.5703125" bestFit="1" customWidth="1"/>
    <col min="7" max="7" width="11.5703125" customWidth="1"/>
    <col min="8" max="9" width="11.5703125" bestFit="1" customWidth="1"/>
    <col min="10" max="11" width="10.7109375" bestFit="1" customWidth="1"/>
    <col min="12" max="12" width="11.5703125" bestFit="1" customWidth="1"/>
  </cols>
  <sheetData>
    <row r="2" spans="1:13" ht="21" x14ac:dyDescent="0.35">
      <c r="A2" s="1" t="s">
        <v>80</v>
      </c>
      <c r="B2" s="2"/>
      <c r="C2" s="2"/>
      <c r="D2" s="2"/>
      <c r="E2" s="2"/>
      <c r="G2" s="1" t="s">
        <v>0</v>
      </c>
      <c r="H2" s="3"/>
      <c r="I2" s="3"/>
      <c r="J2" s="3"/>
      <c r="K2" s="3"/>
      <c r="L2" s="3"/>
    </row>
    <row r="4" spans="1:13" x14ac:dyDescent="0.25">
      <c r="A4" s="4" t="s">
        <v>1</v>
      </c>
      <c r="B4" s="213">
        <f>30%*120%</f>
        <v>0.36</v>
      </c>
      <c r="C4" s="6" t="s">
        <v>2</v>
      </c>
      <c r="D4" s="208" t="s">
        <v>104</v>
      </c>
      <c r="I4" s="7" t="s">
        <v>3</v>
      </c>
      <c r="J4" s="7" t="s">
        <v>4</v>
      </c>
    </row>
    <row r="5" spans="1:13" x14ac:dyDescent="0.25">
      <c r="A5" s="8" t="s">
        <v>5</v>
      </c>
      <c r="B5" s="9">
        <v>0.8</v>
      </c>
      <c r="C5" s="6" t="s">
        <v>6</v>
      </c>
      <c r="G5" s="10" t="s">
        <v>7</v>
      </c>
      <c r="H5" s="11"/>
      <c r="I5" s="12" t="s">
        <v>8</v>
      </c>
      <c r="J5" s="13" t="s">
        <v>9</v>
      </c>
    </row>
    <row r="6" spans="1:13" x14ac:dyDescent="0.25">
      <c r="A6" s="8" t="s">
        <v>10</v>
      </c>
      <c r="B6" s="9">
        <v>0.15</v>
      </c>
      <c r="C6" s="6" t="s">
        <v>2</v>
      </c>
      <c r="G6" s="14" t="s">
        <v>11</v>
      </c>
      <c r="H6" s="15"/>
      <c r="I6" s="16">
        <v>1000</v>
      </c>
      <c r="J6" s="17">
        <f>I6/$I$6-1</f>
        <v>0</v>
      </c>
      <c r="L6" s="18"/>
    </row>
    <row r="7" spans="1:13" x14ac:dyDescent="0.25">
      <c r="A7" s="19" t="s">
        <v>12</v>
      </c>
      <c r="B7" s="20">
        <v>0.15</v>
      </c>
      <c r="C7" s="6" t="s">
        <v>2</v>
      </c>
      <c r="D7" s="21"/>
      <c r="E7" s="21"/>
      <c r="G7" s="22" t="s">
        <v>13</v>
      </c>
      <c r="H7" s="23"/>
      <c r="I7" s="24">
        <v>928</v>
      </c>
      <c r="J7" s="25">
        <f>I7/$I$6-1</f>
        <v>-7.1999999999999953E-2</v>
      </c>
      <c r="L7" s="26"/>
      <c r="M7" s="27"/>
    </row>
    <row r="8" spans="1:13" x14ac:dyDescent="0.25">
      <c r="B8" s="28"/>
      <c r="C8" s="6"/>
      <c r="D8" s="21"/>
      <c r="E8" s="21"/>
      <c r="G8" s="29" t="s">
        <v>14</v>
      </c>
      <c r="H8" s="23"/>
      <c r="I8" s="24">
        <v>1083</v>
      </c>
      <c r="J8" s="25">
        <f>I8/$I$6-1</f>
        <v>8.2999999999999963E-2</v>
      </c>
      <c r="L8" s="30"/>
      <c r="M8" s="27"/>
    </row>
    <row r="9" spans="1:13" x14ac:dyDescent="0.25">
      <c r="A9" s="4" t="s">
        <v>15</v>
      </c>
      <c r="B9" s="5">
        <v>0.3</v>
      </c>
      <c r="C9" s="31" t="s">
        <v>2</v>
      </c>
      <c r="D9" s="21"/>
      <c r="E9" s="21"/>
      <c r="F9" s="21"/>
      <c r="G9" s="29" t="s">
        <v>16</v>
      </c>
      <c r="H9" s="23"/>
      <c r="I9" s="24">
        <v>837</v>
      </c>
      <c r="J9" s="25">
        <f>I9/$I$6-1</f>
        <v>-0.16300000000000003</v>
      </c>
      <c r="L9" s="30"/>
      <c r="M9" s="27"/>
    </row>
    <row r="10" spans="1:13" x14ac:dyDescent="0.25">
      <c r="A10" s="19" t="s">
        <v>17</v>
      </c>
      <c r="B10" s="20">
        <v>0.5</v>
      </c>
      <c r="C10" s="31" t="s">
        <v>18</v>
      </c>
      <c r="D10" s="21"/>
      <c r="E10" s="21"/>
      <c r="F10" s="32"/>
      <c r="G10" s="33" t="s">
        <v>19</v>
      </c>
      <c r="H10" s="34"/>
      <c r="I10" s="35">
        <v>1234</v>
      </c>
      <c r="J10" s="36">
        <f>I10/$I$6-1</f>
        <v>0.23399999999999999</v>
      </c>
      <c r="L10" s="30"/>
      <c r="M10" s="27"/>
    </row>
    <row r="11" spans="1:13" x14ac:dyDescent="0.25">
      <c r="A11" s="19" t="s">
        <v>20</v>
      </c>
      <c r="B11" s="20">
        <v>0.5</v>
      </c>
      <c r="C11" s="31" t="s">
        <v>6</v>
      </c>
      <c r="D11" s="21"/>
      <c r="E11" s="21"/>
      <c r="F11" s="32"/>
      <c r="G11" s="31" t="s">
        <v>21</v>
      </c>
      <c r="H11" s="37"/>
      <c r="I11" s="38"/>
      <c r="J11" s="39"/>
      <c r="L11" s="30"/>
      <c r="M11" s="27"/>
    </row>
    <row r="12" spans="1:13" x14ac:dyDescent="0.25">
      <c r="B12" s="28"/>
      <c r="D12" s="21"/>
      <c r="E12" s="21"/>
      <c r="F12" s="32"/>
    </row>
    <row r="13" spans="1:13" x14ac:dyDescent="0.25">
      <c r="A13" s="4" t="s">
        <v>22</v>
      </c>
      <c r="B13" s="5">
        <v>0.5</v>
      </c>
      <c r="C13" s="31" t="s">
        <v>23</v>
      </c>
      <c r="D13" s="21"/>
      <c r="E13" s="21"/>
      <c r="F13" s="21"/>
    </row>
    <row r="14" spans="1:13" x14ac:dyDescent="0.25">
      <c r="A14" s="19" t="s">
        <v>24</v>
      </c>
      <c r="B14" s="211">
        <f>20%*125%</f>
        <v>0.25</v>
      </c>
      <c r="C14" s="31" t="s">
        <v>25</v>
      </c>
      <c r="D14" s="209" t="s">
        <v>107</v>
      </c>
    </row>
    <row r="15" spans="1:13" ht="21" x14ac:dyDescent="0.35">
      <c r="B15" s="28"/>
      <c r="D15" s="21"/>
      <c r="E15" s="21"/>
      <c r="F15" s="21"/>
      <c r="G15" s="1" t="s">
        <v>26</v>
      </c>
      <c r="H15" s="3"/>
      <c r="I15" s="3"/>
      <c r="J15" s="3"/>
      <c r="K15" s="3"/>
      <c r="L15" s="3"/>
    </row>
    <row r="16" spans="1:13" x14ac:dyDescent="0.25">
      <c r="A16" s="40" t="s">
        <v>94</v>
      </c>
      <c r="B16" s="214">
        <f>8%*50%</f>
        <v>0.04</v>
      </c>
      <c r="C16" s="6" t="s">
        <v>27</v>
      </c>
      <c r="D16" s="208" t="s">
        <v>106</v>
      </c>
      <c r="E16" s="21"/>
      <c r="F16" s="21"/>
    </row>
    <row r="17" spans="1:12" x14ac:dyDescent="0.25">
      <c r="B17" s="28"/>
      <c r="C17" s="6"/>
      <c r="D17" s="21"/>
      <c r="E17" s="21"/>
      <c r="F17" s="21"/>
      <c r="G17" s="42" t="s">
        <v>28</v>
      </c>
    </row>
    <row r="18" spans="1:12" x14ac:dyDescent="0.25">
      <c r="A18" s="4" t="s">
        <v>83</v>
      </c>
      <c r="B18" s="94">
        <v>0.73</v>
      </c>
      <c r="C18" s="6" t="s">
        <v>18</v>
      </c>
    </row>
    <row r="19" spans="1:12" x14ac:dyDescent="0.25">
      <c r="A19" s="19" t="s">
        <v>84</v>
      </c>
      <c r="B19" s="95">
        <v>0.73</v>
      </c>
      <c r="C19" s="6" t="s">
        <v>29</v>
      </c>
      <c r="G19" s="90"/>
      <c r="H19" s="43" t="s">
        <v>90</v>
      </c>
    </row>
    <row r="20" spans="1:12" x14ac:dyDescent="0.25">
      <c r="A20" s="6" t="s">
        <v>85</v>
      </c>
      <c r="B20" s="6"/>
      <c r="C20" s="6"/>
      <c r="G20" s="44"/>
      <c r="H20" s="43" t="s">
        <v>30</v>
      </c>
    </row>
    <row r="21" spans="1:12" x14ac:dyDescent="0.25">
      <c r="A21" s="6"/>
      <c r="B21" s="6"/>
      <c r="C21" s="6"/>
      <c r="G21" s="45" t="s">
        <v>31</v>
      </c>
      <c r="H21" s="43" t="s">
        <v>91</v>
      </c>
    </row>
    <row r="22" spans="1:12" x14ac:dyDescent="0.25">
      <c r="A22" s="40" t="s">
        <v>32</v>
      </c>
      <c r="B22" s="46">
        <v>0.3</v>
      </c>
      <c r="C22" s="6"/>
    </row>
    <row r="23" spans="1:12" x14ac:dyDescent="0.25">
      <c r="E23" s="47"/>
    </row>
    <row r="24" spans="1:12" x14ac:dyDescent="0.25">
      <c r="B24" s="48" t="s">
        <v>34</v>
      </c>
      <c r="C24" s="49" t="s">
        <v>35</v>
      </c>
      <c r="D24" s="11" t="s">
        <v>36</v>
      </c>
      <c r="G24" s="42" t="s">
        <v>33</v>
      </c>
    </row>
    <row r="25" spans="1:12" x14ac:dyDescent="0.25">
      <c r="A25" s="40" t="s">
        <v>82</v>
      </c>
      <c r="B25" s="204">
        <f>50000*50%</f>
        <v>25000</v>
      </c>
      <c r="C25" s="204">
        <f>60000*50%</f>
        <v>30000</v>
      </c>
      <c r="D25" s="205">
        <f>72000*50%</f>
        <v>36000</v>
      </c>
      <c r="E25" s="6"/>
      <c r="G25" s="91" t="s">
        <v>37</v>
      </c>
    </row>
    <row r="26" spans="1:12" x14ac:dyDescent="0.25">
      <c r="B26" s="209" t="s">
        <v>103</v>
      </c>
      <c r="G26" s="92" t="s">
        <v>86</v>
      </c>
    </row>
    <row r="27" spans="1:12" x14ac:dyDescent="0.25">
      <c r="B27" s="27"/>
      <c r="G27" s="93" t="s">
        <v>81</v>
      </c>
    </row>
    <row r="29" spans="1:12" ht="21" x14ac:dyDescent="0.35">
      <c r="A29" s="1" t="s">
        <v>38</v>
      </c>
      <c r="B29" s="2"/>
      <c r="C29" s="2"/>
      <c r="D29" s="2"/>
      <c r="E29" s="2"/>
      <c r="F29" s="3"/>
      <c r="G29" s="3"/>
      <c r="H29" s="3"/>
      <c r="I29" s="3"/>
      <c r="J29" s="3"/>
      <c r="K29" s="3"/>
      <c r="L29" s="3"/>
    </row>
    <row r="31" spans="1:12" x14ac:dyDescent="0.25">
      <c r="B31" s="7" t="s">
        <v>39</v>
      </c>
      <c r="C31" s="51" t="s">
        <v>40</v>
      </c>
      <c r="D31" s="51"/>
      <c r="E31" s="52"/>
    </row>
    <row r="32" spans="1:12" x14ac:dyDescent="0.25">
      <c r="A32" s="53" t="s">
        <v>41</v>
      </c>
      <c r="B32" s="13" t="s">
        <v>42</v>
      </c>
      <c r="C32" s="54" t="s">
        <v>34</v>
      </c>
      <c r="D32" s="54" t="s">
        <v>35</v>
      </c>
      <c r="E32" s="12" t="s">
        <v>36</v>
      </c>
    </row>
    <row r="33" spans="1:12" x14ac:dyDescent="0.25">
      <c r="A33" s="55" t="s">
        <v>43</v>
      </c>
      <c r="B33" s="170">
        <v>2000</v>
      </c>
      <c r="C33" s="132">
        <f>MIN(2000,C36-C35)</f>
        <v>2000</v>
      </c>
      <c r="D33" s="132">
        <f>MIN(2000,D36-D35)</f>
        <v>2000</v>
      </c>
      <c r="E33" s="133">
        <f>MIN(2000,E36-E35)</f>
        <v>2000</v>
      </c>
    </row>
    <row r="34" spans="1:12" x14ac:dyDescent="0.25">
      <c r="A34" s="56" t="s">
        <v>44</v>
      </c>
      <c r="B34" s="210">
        <f>13000*80%</f>
        <v>10400</v>
      </c>
      <c r="C34" s="135">
        <f>C36-C35-C33</f>
        <v>11604.632499999996</v>
      </c>
      <c r="D34" s="135">
        <f>D36-D35-D33</f>
        <v>11003.069084999996</v>
      </c>
      <c r="E34" s="136">
        <f>E36-E35-E33</f>
        <v>7679.6041756300037</v>
      </c>
      <c r="F34" s="209" t="s">
        <v>105</v>
      </c>
    </row>
    <row r="35" spans="1:12" x14ac:dyDescent="0.25">
      <c r="A35" s="56" t="s">
        <v>45</v>
      </c>
      <c r="B35" s="172">
        <f>B90-B98</f>
        <v>-8531.6000000000167</v>
      </c>
      <c r="C35" s="156">
        <f t="shared" ref="C35:E35" si="0">C90-C98</f>
        <v>-9064.8250000000007</v>
      </c>
      <c r="D35" s="156">
        <f t="shared" si="0"/>
        <v>-9997.96875</v>
      </c>
      <c r="E35" s="157">
        <f t="shared" si="0"/>
        <v>-11337.696562500023</v>
      </c>
      <c r="G35" s="57"/>
      <c r="H35" s="57"/>
      <c r="I35" s="57"/>
      <c r="J35" s="57"/>
      <c r="K35" s="57"/>
      <c r="L35" s="57"/>
    </row>
    <row r="36" spans="1:12" x14ac:dyDescent="0.25">
      <c r="A36" s="58" t="s">
        <v>46</v>
      </c>
      <c r="B36" s="173">
        <f>SUM(B33:B35)</f>
        <v>3868.3999999999833</v>
      </c>
      <c r="C36" s="150">
        <f>B36+C75+C38-B38+C42</f>
        <v>4539.8074999999953</v>
      </c>
      <c r="D36" s="150">
        <f>C36+D75+D38-C38+D42</f>
        <v>3005.1003349999955</v>
      </c>
      <c r="E36" s="151">
        <f>D36+E75+E38-D38+E42</f>
        <v>-1658.0923868700193</v>
      </c>
      <c r="G36" s="59"/>
      <c r="H36" s="59"/>
      <c r="I36" s="59"/>
      <c r="J36" s="57"/>
      <c r="K36" s="57"/>
      <c r="L36" s="57"/>
    </row>
    <row r="37" spans="1:12" x14ac:dyDescent="0.25">
      <c r="A37" s="55"/>
      <c r="B37" s="174"/>
      <c r="C37" s="175"/>
      <c r="D37" s="175"/>
      <c r="E37" s="176"/>
      <c r="G37" s="59"/>
      <c r="H37" s="59"/>
      <c r="I37" s="59"/>
      <c r="J37" s="57"/>
      <c r="K37" s="57"/>
      <c r="L37" s="57"/>
    </row>
    <row r="38" spans="1:12" x14ac:dyDescent="0.25">
      <c r="A38" s="56" t="s">
        <v>47</v>
      </c>
      <c r="B38" s="172">
        <f>B90</f>
        <v>-35655.200000000004</v>
      </c>
      <c r="C38" s="156">
        <f t="shared" ref="C38:E38" si="1">C90</f>
        <v>-37883.65</v>
      </c>
      <c r="D38" s="156">
        <f t="shared" si="1"/>
        <v>-41783.4375</v>
      </c>
      <c r="E38" s="157">
        <f t="shared" si="1"/>
        <v>-47382.418125000004</v>
      </c>
      <c r="G38" s="57"/>
      <c r="H38" s="57"/>
      <c r="I38" s="57"/>
      <c r="J38" s="57"/>
      <c r="K38" s="57"/>
      <c r="L38" s="57"/>
    </row>
    <row r="39" spans="1:12" x14ac:dyDescent="0.25">
      <c r="A39" s="58" t="s">
        <v>48</v>
      </c>
      <c r="B39" s="177">
        <f>SUM(B38:B38)</f>
        <v>-35655.200000000004</v>
      </c>
      <c r="C39" s="150">
        <f>SUM(C38:C38)</f>
        <v>-37883.65</v>
      </c>
      <c r="D39" s="150">
        <f>SUM(D38:D38)</f>
        <v>-41783.4375</v>
      </c>
      <c r="E39" s="151">
        <f>SUM(E38:E38)</f>
        <v>-47382.418125000004</v>
      </c>
      <c r="G39" s="57"/>
      <c r="H39" s="57"/>
      <c r="I39" s="57"/>
      <c r="J39" s="57"/>
      <c r="K39" s="57"/>
      <c r="L39" s="57"/>
    </row>
    <row r="40" spans="1:12" x14ac:dyDescent="0.25">
      <c r="A40" s="55"/>
      <c r="B40" s="174"/>
      <c r="C40" s="175"/>
      <c r="D40" s="175"/>
      <c r="E40" s="176"/>
      <c r="G40" s="59"/>
      <c r="H40" s="59"/>
      <c r="I40" s="57"/>
      <c r="J40" s="57"/>
      <c r="K40" s="57"/>
      <c r="L40" s="57"/>
    </row>
    <row r="41" spans="1:12" x14ac:dyDescent="0.25">
      <c r="A41" s="56" t="s">
        <v>49</v>
      </c>
      <c r="B41" s="178">
        <f>B36-B39-B43</f>
        <v>14523.599999999991</v>
      </c>
      <c r="C41" s="192">
        <f>B41+B42+C75</f>
        <v>18423.4575</v>
      </c>
      <c r="D41" s="192">
        <f t="shared" ref="D41:E41" si="2">C41+C42+D75</f>
        <v>21788.537834999999</v>
      </c>
      <c r="E41" s="193">
        <f t="shared" si="2"/>
        <v>24724.325738129985</v>
      </c>
      <c r="F41" s="199" t="s">
        <v>98</v>
      </c>
      <c r="G41" s="60"/>
      <c r="H41" s="59"/>
      <c r="I41" s="57"/>
      <c r="J41" s="57"/>
      <c r="K41" s="57"/>
      <c r="L41" s="57"/>
    </row>
    <row r="42" spans="1:12" x14ac:dyDescent="0.25">
      <c r="A42" s="56" t="s">
        <v>87</v>
      </c>
      <c r="B42" s="189">
        <v>0</v>
      </c>
      <c r="C42" s="96">
        <v>-1000</v>
      </c>
      <c r="D42" s="96">
        <v>-2000</v>
      </c>
      <c r="E42" s="97">
        <v>-4000</v>
      </c>
      <c r="G42" s="60"/>
      <c r="H42" s="59"/>
      <c r="I42" s="57"/>
      <c r="J42" s="57"/>
      <c r="K42" s="57"/>
      <c r="L42" s="57"/>
    </row>
    <row r="43" spans="1:12" x14ac:dyDescent="0.25">
      <c r="A43" s="56" t="s">
        <v>50</v>
      </c>
      <c r="B43" s="171">
        <v>25000</v>
      </c>
      <c r="C43" s="96">
        <v>25000</v>
      </c>
      <c r="D43" s="96">
        <v>25000</v>
      </c>
      <c r="E43" s="97">
        <v>25000</v>
      </c>
      <c r="G43" s="57"/>
      <c r="H43" s="57"/>
      <c r="I43" s="57"/>
      <c r="J43" s="57"/>
      <c r="K43" s="57"/>
      <c r="L43" s="57"/>
    </row>
    <row r="44" spans="1:12" x14ac:dyDescent="0.25">
      <c r="A44" s="58" t="s">
        <v>51</v>
      </c>
      <c r="B44" s="177">
        <f>SUM(B41:B43)</f>
        <v>39523.599999999991</v>
      </c>
      <c r="C44" s="150">
        <f>SUM(C41:C43)</f>
        <v>42423.457500000004</v>
      </c>
      <c r="D44" s="150">
        <f>SUM(D41:D43)</f>
        <v>44788.537834999996</v>
      </c>
      <c r="E44" s="151">
        <f>SUM(E41:E43)</f>
        <v>45724.325738129985</v>
      </c>
      <c r="G44" s="60"/>
      <c r="H44" s="57"/>
      <c r="I44" s="57"/>
      <c r="J44" s="57"/>
      <c r="K44" s="57"/>
      <c r="L44" s="57"/>
    </row>
    <row r="45" spans="1:12" x14ac:dyDescent="0.25">
      <c r="B45" s="179"/>
      <c r="C45" s="179"/>
      <c r="D45" s="179"/>
      <c r="E45" s="179"/>
      <c r="G45" s="57"/>
      <c r="H45" s="57"/>
      <c r="I45" s="57"/>
      <c r="J45" s="57"/>
      <c r="K45" s="57"/>
      <c r="L45" s="57"/>
    </row>
    <row r="46" spans="1:12" x14ac:dyDescent="0.25">
      <c r="A46" s="6"/>
      <c r="B46" s="179"/>
      <c r="C46" s="179"/>
      <c r="D46" s="179"/>
      <c r="E46" s="179"/>
      <c r="G46" s="57"/>
      <c r="H46" s="57"/>
      <c r="I46" s="57"/>
      <c r="J46" s="57"/>
      <c r="K46" s="57"/>
      <c r="L46" s="57"/>
    </row>
    <row r="47" spans="1:12" x14ac:dyDescent="0.25">
      <c r="A47" s="61" t="s">
        <v>52</v>
      </c>
      <c r="B47" s="180">
        <f>MAX(B96-95%*(B93+B94),10000)</f>
        <v>10000</v>
      </c>
      <c r="C47" s="181">
        <f t="shared" ref="C47:E47" si="3">MAX(C96-95%*(C93+C94),10000)</f>
        <v>10000</v>
      </c>
      <c r="D47" s="181">
        <f t="shared" si="3"/>
        <v>10000</v>
      </c>
      <c r="E47" s="182">
        <f t="shared" si="3"/>
        <v>10000</v>
      </c>
      <c r="G47" s="57"/>
      <c r="H47" s="57"/>
      <c r="I47" s="57"/>
      <c r="J47" s="57"/>
      <c r="K47" s="57"/>
      <c r="L47" s="57"/>
    </row>
    <row r="48" spans="1:12" x14ac:dyDescent="0.25">
      <c r="A48" s="62" t="s">
        <v>53</v>
      </c>
      <c r="B48" s="183">
        <f>B47*120%</f>
        <v>12000</v>
      </c>
      <c r="C48" s="184">
        <f t="shared" ref="C48:E48" si="4">C47*120%</f>
        <v>12000</v>
      </c>
      <c r="D48" s="184">
        <f t="shared" si="4"/>
        <v>12000</v>
      </c>
      <c r="E48" s="185">
        <f t="shared" si="4"/>
        <v>12000</v>
      </c>
      <c r="G48" s="57"/>
      <c r="H48" s="57"/>
      <c r="I48" s="57"/>
      <c r="J48" s="57"/>
      <c r="K48" s="57"/>
      <c r="L48" s="57"/>
    </row>
    <row r="49" spans="1:76" x14ac:dyDescent="0.25">
      <c r="A49" s="6"/>
      <c r="B49" s="186"/>
      <c r="C49" s="186"/>
      <c r="D49" s="186"/>
      <c r="E49" s="186"/>
      <c r="F49" s="6"/>
      <c r="G49" s="57"/>
      <c r="H49" s="57"/>
      <c r="I49" s="57"/>
      <c r="J49" s="57"/>
      <c r="K49" s="57"/>
      <c r="L49" s="57"/>
    </row>
    <row r="50" spans="1:76" x14ac:dyDescent="0.25">
      <c r="A50" s="61" t="s">
        <v>54</v>
      </c>
      <c r="B50" s="194">
        <f>B36-B39-(0-(B38-B35))</f>
        <v>12400.000000000004</v>
      </c>
      <c r="C50" s="195">
        <f t="shared" ref="C50:E50" si="5">C36-C39-(0-(C38-C35))</f>
        <v>13604.632499999996</v>
      </c>
      <c r="D50" s="195">
        <f t="shared" si="5"/>
        <v>13003.069084999996</v>
      </c>
      <c r="E50" s="196">
        <f t="shared" si="5"/>
        <v>9679.6041756300037</v>
      </c>
      <c r="F50" s="197" t="s">
        <v>102</v>
      </c>
      <c r="H50" s="198"/>
      <c r="I50" s="57"/>
      <c r="J50" s="57"/>
      <c r="K50" s="57"/>
      <c r="L50" s="57"/>
    </row>
    <row r="51" spans="1:76" x14ac:dyDescent="0.25">
      <c r="A51" s="62" t="s">
        <v>95</v>
      </c>
      <c r="B51" s="183">
        <f>B50-B48</f>
        <v>400.00000000000364</v>
      </c>
      <c r="C51" s="184">
        <f t="shared" ref="C51:E51" si="6">C50-C48</f>
        <v>1604.6324999999961</v>
      </c>
      <c r="D51" s="184">
        <f t="shared" si="6"/>
        <v>1003.0690849999955</v>
      </c>
      <c r="E51" s="185">
        <f t="shared" si="6"/>
        <v>-2320.3958243699963</v>
      </c>
      <c r="F51" s="200" t="s">
        <v>99</v>
      </c>
      <c r="G51" s="202"/>
      <c r="H51" s="202"/>
      <c r="I51" s="202"/>
      <c r="J51" s="202"/>
      <c r="K51" s="202"/>
      <c r="L51" s="202"/>
      <c r="M51" s="203"/>
      <c r="N51" s="203"/>
      <c r="O51" s="203"/>
      <c r="P51" s="203"/>
      <c r="Q51" s="203"/>
      <c r="R51" s="203"/>
      <c r="S51" s="203"/>
      <c r="T51" s="203"/>
      <c r="U51" s="203"/>
    </row>
    <row r="52" spans="1:76" x14ac:dyDescent="0.25">
      <c r="A52" s="6"/>
      <c r="B52" s="63"/>
      <c r="F52" s="201" t="s">
        <v>100</v>
      </c>
      <c r="G52" s="202"/>
      <c r="H52" s="202"/>
      <c r="I52" s="202"/>
      <c r="J52" s="202"/>
      <c r="K52" s="202"/>
      <c r="L52" s="202"/>
      <c r="M52" s="203"/>
      <c r="N52" s="203"/>
      <c r="O52" s="203"/>
      <c r="P52" s="203"/>
      <c r="Q52" s="203"/>
      <c r="R52" s="203"/>
      <c r="S52" s="203"/>
      <c r="T52" s="203"/>
      <c r="U52" s="203"/>
    </row>
    <row r="53" spans="1:76" x14ac:dyDescent="0.25">
      <c r="B53" s="30"/>
      <c r="C53" s="30"/>
      <c r="D53" s="30"/>
      <c r="E53" s="30"/>
      <c r="F53" s="201" t="s">
        <v>101</v>
      </c>
      <c r="G53" s="202"/>
      <c r="H53" s="202"/>
      <c r="I53" s="202"/>
      <c r="J53" s="202"/>
      <c r="K53" s="202"/>
      <c r="L53" s="202"/>
      <c r="M53" s="203"/>
      <c r="N53" s="203"/>
      <c r="O53" s="203"/>
      <c r="P53" s="203"/>
      <c r="Q53" s="203"/>
      <c r="R53" s="203"/>
      <c r="S53" s="203"/>
      <c r="T53" s="203"/>
      <c r="U53" s="203"/>
    </row>
    <row r="54" spans="1:76" ht="21" x14ac:dyDescent="0.35">
      <c r="A54" s="1" t="s">
        <v>55</v>
      </c>
      <c r="B54" s="2"/>
      <c r="C54" s="2"/>
      <c r="D54" s="2"/>
      <c r="E54" s="2"/>
      <c r="F54" s="3"/>
      <c r="G54" s="64"/>
      <c r="H54" s="64"/>
      <c r="I54" s="64"/>
      <c r="J54" s="64"/>
      <c r="K54" s="64"/>
      <c r="L54" s="64"/>
    </row>
    <row r="55" spans="1:76" x14ac:dyDescent="0.25">
      <c r="G55" s="57"/>
      <c r="H55" s="57"/>
      <c r="I55" s="57"/>
      <c r="J55" s="57"/>
      <c r="K55" s="57"/>
      <c r="L55" s="57"/>
    </row>
    <row r="56" spans="1:76" x14ac:dyDescent="0.25">
      <c r="C56" s="61" t="s">
        <v>40</v>
      </c>
      <c r="D56" s="51"/>
      <c r="E56" s="52"/>
      <c r="G56" s="57"/>
      <c r="H56" s="57"/>
      <c r="I56" s="57"/>
      <c r="J56" s="57"/>
      <c r="K56" s="57"/>
      <c r="L56" s="57"/>
    </row>
    <row r="57" spans="1:76" x14ac:dyDescent="0.25">
      <c r="A57" s="61" t="s">
        <v>41</v>
      </c>
      <c r="B57" s="51"/>
      <c r="C57" s="65" t="s">
        <v>34</v>
      </c>
      <c r="D57" s="54" t="s">
        <v>35</v>
      </c>
      <c r="E57" s="12" t="s">
        <v>36</v>
      </c>
      <c r="G57" s="57"/>
      <c r="H57" s="57"/>
      <c r="I57" s="57"/>
      <c r="J57" s="57"/>
      <c r="K57" s="57"/>
      <c r="L57" s="57"/>
    </row>
    <row r="58" spans="1:76" x14ac:dyDescent="0.25">
      <c r="A58" s="55" t="s">
        <v>96</v>
      </c>
      <c r="B58" s="66"/>
      <c r="C58" s="131">
        <f>B82</f>
        <v>40000</v>
      </c>
      <c r="D58" s="132">
        <f>C82</f>
        <v>42500</v>
      </c>
      <c r="E58" s="133">
        <f>D82</f>
        <v>46875</v>
      </c>
      <c r="F58" s="67"/>
      <c r="G58" s="68"/>
      <c r="H58" s="68"/>
      <c r="I58" s="68"/>
      <c r="J58" s="68"/>
      <c r="K58" s="68"/>
      <c r="L58" s="68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</row>
    <row r="59" spans="1:76" x14ac:dyDescent="0.25">
      <c r="A59" s="56" t="s">
        <v>56</v>
      </c>
      <c r="B59" s="69"/>
      <c r="C59" s="134">
        <f>B25</f>
        <v>25000</v>
      </c>
      <c r="D59" s="135">
        <f>C25</f>
        <v>30000</v>
      </c>
      <c r="E59" s="136">
        <f>D25</f>
        <v>36000</v>
      </c>
      <c r="G59" s="57"/>
      <c r="H59" s="57"/>
      <c r="I59" s="57"/>
      <c r="J59" s="57"/>
      <c r="K59" s="57"/>
      <c r="L59" s="57"/>
    </row>
    <row r="60" spans="1:76" x14ac:dyDescent="0.25">
      <c r="A60" s="70" t="s">
        <v>97</v>
      </c>
      <c r="B60" s="71"/>
      <c r="C60" s="128">
        <f>SUM(C58:C59)</f>
        <v>65000</v>
      </c>
      <c r="D60" s="129">
        <f>SUM(D58:D59)</f>
        <v>72500</v>
      </c>
      <c r="E60" s="130">
        <f>SUM(E58:E59)</f>
        <v>82875</v>
      </c>
      <c r="F60" s="72"/>
      <c r="G60" s="73"/>
      <c r="H60" s="57"/>
      <c r="I60" s="57"/>
      <c r="J60" s="57"/>
      <c r="K60" s="57"/>
      <c r="L60" s="57"/>
    </row>
    <row r="61" spans="1:76" x14ac:dyDescent="0.25">
      <c r="A61" s="74" t="s">
        <v>89</v>
      </c>
      <c r="B61" s="75"/>
      <c r="C61" s="98">
        <f>-(C58+C59*(1-$B$11))*$B$9</f>
        <v>-15750</v>
      </c>
      <c r="D61" s="99">
        <f>-(D58+D59*(1-$B$11))*$B$9</f>
        <v>-17250</v>
      </c>
      <c r="E61" s="100">
        <f>-(E58+E59*(1-$B$11))*$B$9</f>
        <v>-19462.5</v>
      </c>
      <c r="F61" s="72"/>
      <c r="G61" s="73"/>
      <c r="H61" s="57"/>
      <c r="I61" s="57"/>
      <c r="J61" s="57"/>
      <c r="K61" s="57"/>
      <c r="L61" s="57"/>
    </row>
    <row r="62" spans="1:76" x14ac:dyDescent="0.25">
      <c r="A62" s="76"/>
      <c r="B62" s="77"/>
      <c r="C62" s="146"/>
      <c r="D62" s="147"/>
      <c r="E62" s="148"/>
      <c r="G62" s="73"/>
      <c r="H62" s="57"/>
      <c r="I62" s="57"/>
      <c r="J62" s="57"/>
      <c r="K62" s="57"/>
      <c r="L62" s="57"/>
    </row>
    <row r="63" spans="1:76" x14ac:dyDescent="0.25">
      <c r="A63" s="70" t="s">
        <v>57</v>
      </c>
      <c r="B63" s="71"/>
      <c r="C63" s="137">
        <f>(-(C58+C59)*$B$4)</f>
        <v>-23400</v>
      </c>
      <c r="D63" s="138">
        <f>(-(D58+D59)*$B$4)</f>
        <v>-26100</v>
      </c>
      <c r="E63" s="139">
        <f>(-(E58+E59)*$B$4)</f>
        <v>-29835</v>
      </c>
      <c r="G63" s="68"/>
      <c r="H63" s="68"/>
      <c r="I63" s="57"/>
      <c r="J63" s="57"/>
      <c r="K63" s="57"/>
      <c r="L63" s="57"/>
    </row>
    <row r="64" spans="1:76" x14ac:dyDescent="0.25">
      <c r="A64" s="70" t="s">
        <v>92</v>
      </c>
      <c r="B64" s="71"/>
      <c r="C64" s="137">
        <f>-C63*$B$10</f>
        <v>11700</v>
      </c>
      <c r="D64" s="138">
        <f t="shared" ref="D64:E64" si="7">-D63*$B$10</f>
        <v>13050</v>
      </c>
      <c r="E64" s="139">
        <f t="shared" si="7"/>
        <v>14917.5</v>
      </c>
      <c r="G64" s="57"/>
      <c r="H64" s="57"/>
      <c r="I64" s="57"/>
      <c r="J64" s="57"/>
      <c r="K64" s="57"/>
      <c r="L64" s="57"/>
    </row>
    <row r="65" spans="1:86" x14ac:dyDescent="0.25">
      <c r="A65" s="70" t="s">
        <v>58</v>
      </c>
      <c r="B65" s="71"/>
      <c r="C65" s="140">
        <f>-(C58*$B$6+C59*$B$5)</f>
        <v>-26000</v>
      </c>
      <c r="D65" s="141">
        <f t="shared" ref="D65:E65" si="8">-(D58*$B$6+D59*$B$5)</f>
        <v>-30375</v>
      </c>
      <c r="E65" s="142">
        <f t="shared" si="8"/>
        <v>-35831.25</v>
      </c>
      <c r="F65" s="72"/>
      <c r="G65" s="78"/>
      <c r="H65" s="78"/>
      <c r="I65" s="78"/>
      <c r="J65" s="78"/>
      <c r="K65" s="78"/>
      <c r="L65" s="78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</row>
    <row r="66" spans="1:86" x14ac:dyDescent="0.25">
      <c r="A66" s="74" t="s">
        <v>59</v>
      </c>
      <c r="B66" s="75"/>
      <c r="C66" s="143">
        <f>-(C58+C59)*$B$7</f>
        <v>-9750</v>
      </c>
      <c r="D66" s="144">
        <f t="shared" ref="D66:E66" si="9">-(D58+D59)*$B$7</f>
        <v>-10875</v>
      </c>
      <c r="E66" s="145">
        <f t="shared" si="9"/>
        <v>-12431.25</v>
      </c>
      <c r="G66" s="206"/>
      <c r="H66" s="59"/>
      <c r="I66" s="59"/>
      <c r="J66" s="57"/>
      <c r="K66" s="57"/>
      <c r="L66" s="57"/>
    </row>
    <row r="67" spans="1:86" x14ac:dyDescent="0.25">
      <c r="A67" s="76"/>
      <c r="B67" s="66"/>
      <c r="C67" s="131"/>
      <c r="D67" s="132"/>
      <c r="E67" s="133"/>
      <c r="F67" s="21"/>
      <c r="G67" s="206"/>
      <c r="H67" s="57"/>
      <c r="I67" s="57"/>
      <c r="J67" s="57"/>
      <c r="K67" s="57"/>
      <c r="L67" s="57"/>
    </row>
    <row r="68" spans="1:86" x14ac:dyDescent="0.25">
      <c r="A68" s="58" t="s">
        <v>88</v>
      </c>
      <c r="B68" s="79"/>
      <c r="C68" s="149">
        <f>SUM(C60:C66)</f>
        <v>1800</v>
      </c>
      <c r="D68" s="150">
        <f>SUM(D60:D66)</f>
        <v>950</v>
      </c>
      <c r="E68" s="151">
        <f>SUM(E60:E66)</f>
        <v>232.5</v>
      </c>
      <c r="F68" s="21"/>
      <c r="G68" s="80"/>
      <c r="H68" s="57"/>
      <c r="I68" s="57"/>
      <c r="J68" s="57"/>
      <c r="K68" s="57"/>
      <c r="L68" s="57"/>
    </row>
    <row r="69" spans="1:86" x14ac:dyDescent="0.25">
      <c r="A69" s="76"/>
      <c r="B69" s="77"/>
      <c r="C69" s="152"/>
      <c r="D69" s="153"/>
      <c r="E69" s="154"/>
      <c r="F69" s="21"/>
      <c r="G69" s="57"/>
      <c r="H69" s="57"/>
      <c r="I69" s="59"/>
      <c r="J69" s="57"/>
      <c r="K69" s="57"/>
      <c r="L69" s="57"/>
    </row>
    <row r="70" spans="1:86" x14ac:dyDescent="0.25">
      <c r="A70" s="56" t="s">
        <v>60</v>
      </c>
      <c r="B70" s="69"/>
      <c r="C70" s="155">
        <f>B98-C98</f>
        <v>1695.2250000000131</v>
      </c>
      <c r="D70" s="156">
        <f t="shared" ref="D70:E70" si="10">C98-D98</f>
        <v>2966.6437499999993</v>
      </c>
      <c r="E70" s="157">
        <f t="shared" si="10"/>
        <v>4259.2528124999808</v>
      </c>
      <c r="G70" s="60"/>
      <c r="H70" s="59"/>
      <c r="I70" s="78"/>
      <c r="J70" s="57"/>
      <c r="K70" s="57"/>
      <c r="L70" s="57"/>
    </row>
    <row r="71" spans="1:86" x14ac:dyDescent="0.25">
      <c r="A71" s="56" t="s">
        <v>93</v>
      </c>
      <c r="B71" s="69"/>
      <c r="C71" s="134">
        <f>SUM(B33:B34,C60:C61,C66)*$B$16</f>
        <v>2076</v>
      </c>
      <c r="D71" s="135">
        <f>SUM(C33:C34,D60:D61,D66)*$B$16</f>
        <v>2319.1852999999996</v>
      </c>
      <c r="E71" s="136">
        <f>SUM(D33:D34,E60:E61,E66)*$B$16</f>
        <v>2559.3727633999997</v>
      </c>
      <c r="G71" s="68"/>
      <c r="H71" s="68"/>
      <c r="I71" s="57"/>
      <c r="J71" s="57"/>
      <c r="K71" s="57"/>
      <c r="L71" s="57"/>
    </row>
    <row r="72" spans="1:86" x14ac:dyDescent="0.25">
      <c r="A72" s="58" t="s">
        <v>61</v>
      </c>
      <c r="B72" s="81"/>
      <c r="C72" s="149">
        <f>SUM(C68:C71)</f>
        <v>5571.2250000000131</v>
      </c>
      <c r="D72" s="150">
        <f>SUM(D68:D71)</f>
        <v>6235.8290499999985</v>
      </c>
      <c r="E72" s="151">
        <f>SUM(E68:E71)</f>
        <v>7051.1255758999805</v>
      </c>
      <c r="F72" s="21"/>
      <c r="G72" s="59"/>
      <c r="H72" s="59"/>
      <c r="I72" s="59"/>
      <c r="J72" s="57"/>
      <c r="K72" s="57"/>
      <c r="L72" s="57"/>
    </row>
    <row r="73" spans="1:86" x14ac:dyDescent="0.25">
      <c r="A73" s="76"/>
      <c r="B73" s="66"/>
      <c r="C73" s="152"/>
      <c r="D73" s="153"/>
      <c r="E73" s="154"/>
      <c r="F73" s="21"/>
      <c r="G73" s="59"/>
      <c r="H73" s="57"/>
      <c r="I73" s="57"/>
      <c r="J73" s="57"/>
      <c r="K73" s="57"/>
      <c r="L73" s="57"/>
    </row>
    <row r="74" spans="1:86" x14ac:dyDescent="0.25">
      <c r="A74" s="82" t="s">
        <v>62</v>
      </c>
      <c r="B74" s="69"/>
      <c r="C74" s="101">
        <f>-C72*$B$22</f>
        <v>-1671.3675000000039</v>
      </c>
      <c r="D74" s="102">
        <f>-D72*$B$22</f>
        <v>-1870.7487149999995</v>
      </c>
      <c r="E74" s="103">
        <f>-E72*$B$22</f>
        <v>-2115.3376727699942</v>
      </c>
      <c r="F74" s="21"/>
      <c r="G74" s="59"/>
      <c r="H74" s="57"/>
      <c r="I74" s="57"/>
      <c r="J74" s="57"/>
      <c r="K74" s="57"/>
      <c r="L74" s="57"/>
    </row>
    <row r="75" spans="1:86" x14ac:dyDescent="0.25">
      <c r="A75" s="58" t="s">
        <v>63</v>
      </c>
      <c r="B75" s="81"/>
      <c r="C75" s="149">
        <f>SUM(C72:C74)</f>
        <v>3899.8575000000092</v>
      </c>
      <c r="D75" s="150">
        <f>SUM(D72:D74)</f>
        <v>4365.0803349999987</v>
      </c>
      <c r="E75" s="151">
        <f>SUM(E72:E74)</f>
        <v>4935.7879031299863</v>
      </c>
      <c r="F75" s="21"/>
      <c r="G75" s="59"/>
      <c r="H75" s="78"/>
      <c r="I75" s="57"/>
      <c r="J75" s="57"/>
      <c r="K75" s="57"/>
      <c r="L75" s="57"/>
    </row>
    <row r="76" spans="1:86" x14ac:dyDescent="0.25">
      <c r="A76" s="6"/>
      <c r="G76" s="57"/>
      <c r="H76" s="57"/>
      <c r="I76" s="57"/>
      <c r="J76" s="57"/>
      <c r="K76" s="57"/>
      <c r="L76" s="57"/>
    </row>
    <row r="77" spans="1:86" x14ac:dyDescent="0.25">
      <c r="G77" s="57"/>
      <c r="H77" s="57"/>
      <c r="I77" s="57"/>
      <c r="J77" s="57"/>
      <c r="K77" s="57"/>
      <c r="L77" s="57"/>
    </row>
    <row r="78" spans="1:86" ht="21" x14ac:dyDescent="0.35">
      <c r="A78" s="1" t="s">
        <v>64</v>
      </c>
      <c r="B78" s="2"/>
      <c r="C78" s="2"/>
      <c r="D78" s="2"/>
      <c r="E78" s="2"/>
      <c r="F78" s="3"/>
      <c r="G78" s="64"/>
      <c r="H78" s="64"/>
      <c r="I78" s="64"/>
      <c r="J78" s="64"/>
      <c r="K78" s="64"/>
      <c r="L78" s="64"/>
    </row>
    <row r="79" spans="1:86" x14ac:dyDescent="0.25">
      <c r="G79" s="57"/>
      <c r="H79" s="57"/>
      <c r="I79" s="57"/>
      <c r="J79" s="57"/>
      <c r="K79" s="57"/>
      <c r="L79" s="57"/>
    </row>
    <row r="80" spans="1:86" x14ac:dyDescent="0.25">
      <c r="A80" s="83"/>
      <c r="B80" s="7" t="s">
        <v>39</v>
      </c>
      <c r="C80" s="61" t="s">
        <v>40</v>
      </c>
      <c r="D80" s="51"/>
      <c r="E80" s="52"/>
      <c r="G80" s="57"/>
      <c r="H80" s="57"/>
      <c r="I80" s="57"/>
      <c r="J80" s="57"/>
      <c r="K80" s="57"/>
      <c r="L80" s="57"/>
    </row>
    <row r="81" spans="1:12" x14ac:dyDescent="0.25">
      <c r="B81" s="84" t="s">
        <v>42</v>
      </c>
      <c r="C81" s="85" t="s">
        <v>34</v>
      </c>
      <c r="D81" s="86" t="s">
        <v>35</v>
      </c>
      <c r="E81" s="87" t="s">
        <v>36</v>
      </c>
      <c r="G81" s="57"/>
      <c r="H81" s="57"/>
      <c r="I81" s="57"/>
      <c r="J81" s="57"/>
      <c r="K81" s="57"/>
      <c r="L81" s="57"/>
    </row>
    <row r="82" spans="1:12" x14ac:dyDescent="0.25">
      <c r="A82" s="88" t="s">
        <v>65</v>
      </c>
      <c r="B82" s="212">
        <f>50000*80%</f>
        <v>40000</v>
      </c>
      <c r="C82" s="125">
        <f>B82*(1-$B$14)+B25*(1-$B$13)</f>
        <v>42500</v>
      </c>
      <c r="D82" s="126">
        <f>C82*(1-$B$14)+C25*(1-$B$13)</f>
        <v>46875</v>
      </c>
      <c r="E82" s="127">
        <f>D82*(1-$B$14)+D25*(1-$B$13)</f>
        <v>53156.25</v>
      </c>
      <c r="F82" s="216" t="s">
        <v>108</v>
      </c>
      <c r="G82" s="57"/>
      <c r="H82" s="57"/>
      <c r="I82" s="57"/>
      <c r="J82" s="57"/>
      <c r="K82" s="57"/>
      <c r="L82" s="57"/>
    </row>
    <row r="83" spans="1:12" x14ac:dyDescent="0.25">
      <c r="B83" s="158"/>
      <c r="C83" s="159"/>
      <c r="D83" s="160"/>
      <c r="E83" s="161"/>
      <c r="F83" s="216"/>
      <c r="G83" s="57"/>
      <c r="H83" s="57"/>
      <c r="I83" s="57"/>
      <c r="J83" s="57"/>
      <c r="K83" s="57"/>
      <c r="L83" s="57"/>
    </row>
    <row r="84" spans="1:12" x14ac:dyDescent="0.25">
      <c r="A84" s="55" t="s">
        <v>66</v>
      </c>
      <c r="B84" s="215">
        <f>222100*80%</f>
        <v>177680</v>
      </c>
      <c r="C84" s="121">
        <f>B84/B$82*C$82</f>
        <v>188785</v>
      </c>
      <c r="D84" s="122">
        <f>C84/C$82*D$82</f>
        <v>208218.75</v>
      </c>
      <c r="E84" s="123">
        <f>D84/D$82*E$82</f>
        <v>236120.0625</v>
      </c>
      <c r="F84" s="216"/>
      <c r="G84" s="59"/>
      <c r="H84" s="57"/>
      <c r="I84" s="57"/>
      <c r="J84" s="57"/>
      <c r="K84" s="57"/>
      <c r="L84" s="57"/>
    </row>
    <row r="85" spans="1:12" x14ac:dyDescent="0.25">
      <c r="A85" s="56" t="s">
        <v>67</v>
      </c>
      <c r="B85" s="207">
        <f>-64700*80%</f>
        <v>-51760</v>
      </c>
      <c r="C85" s="105">
        <f t="shared" ref="C85:E87" si="11">B85/B$82*C$82</f>
        <v>-54995</v>
      </c>
      <c r="D85" s="106">
        <f t="shared" si="11"/>
        <v>-60656.25</v>
      </c>
      <c r="E85" s="107">
        <f t="shared" si="11"/>
        <v>-68784.1875</v>
      </c>
      <c r="F85" s="216"/>
      <c r="G85" s="59"/>
      <c r="H85" s="57"/>
      <c r="I85" s="57"/>
      <c r="J85" s="57"/>
      <c r="K85" s="57"/>
      <c r="L85" s="57"/>
    </row>
    <row r="86" spans="1:12" x14ac:dyDescent="0.25">
      <c r="A86" s="82" t="s">
        <v>68</v>
      </c>
      <c r="B86" s="207">
        <f>-32300*80%</f>
        <v>-25840</v>
      </c>
      <c r="C86" s="105">
        <f t="shared" si="11"/>
        <v>-27455</v>
      </c>
      <c r="D86" s="106">
        <f t="shared" si="11"/>
        <v>-30281.25</v>
      </c>
      <c r="E86" s="107">
        <f t="shared" si="11"/>
        <v>-34338.9375</v>
      </c>
      <c r="F86" s="216"/>
      <c r="G86" s="59"/>
      <c r="H86" s="57"/>
      <c r="I86" s="57"/>
      <c r="J86" s="57"/>
      <c r="K86" s="57"/>
      <c r="L86" s="57"/>
    </row>
    <row r="87" spans="1:12" x14ac:dyDescent="0.25">
      <c r="A87" s="56" t="s">
        <v>69</v>
      </c>
      <c r="B87" s="207">
        <f>-33300*80%</f>
        <v>-26640</v>
      </c>
      <c r="C87" s="105">
        <f t="shared" si="11"/>
        <v>-28305</v>
      </c>
      <c r="D87" s="106">
        <f t="shared" si="11"/>
        <v>-31218.75</v>
      </c>
      <c r="E87" s="107">
        <f t="shared" si="11"/>
        <v>-35402.0625</v>
      </c>
      <c r="F87" s="216"/>
      <c r="G87" s="59"/>
      <c r="H87" s="57"/>
      <c r="I87" s="57"/>
      <c r="J87" s="57"/>
      <c r="K87" s="57"/>
      <c r="L87" s="57"/>
    </row>
    <row r="88" spans="1:12" x14ac:dyDescent="0.25">
      <c r="A88" s="89" t="s">
        <v>70</v>
      </c>
      <c r="B88" s="187">
        <f>-SUM(B84:B87)</f>
        <v>-73440</v>
      </c>
      <c r="C88" s="113">
        <f>-SUM(C84:C87)</f>
        <v>-78030</v>
      </c>
      <c r="D88" s="114">
        <f>-SUM(D84:D87)</f>
        <v>-86062.5</v>
      </c>
      <c r="E88" s="115">
        <f>-SUM(E84:E87)</f>
        <v>-97594.875</v>
      </c>
      <c r="G88" s="57"/>
      <c r="H88" s="57"/>
      <c r="I88" s="57"/>
      <c r="J88" s="57"/>
      <c r="K88" s="57"/>
      <c r="L88" s="57"/>
    </row>
    <row r="89" spans="1:12" x14ac:dyDescent="0.25">
      <c r="A89" s="82" t="s">
        <v>71</v>
      </c>
      <c r="B89" s="191">
        <f>-B85*$B$18</f>
        <v>37784.799999999996</v>
      </c>
      <c r="C89" s="162">
        <f t="shared" ref="C89:E89" si="12">-C85*$B$18</f>
        <v>40146.35</v>
      </c>
      <c r="D89" s="163">
        <f t="shared" si="12"/>
        <v>44279.0625</v>
      </c>
      <c r="E89" s="164">
        <f t="shared" si="12"/>
        <v>50212.456874999996</v>
      </c>
      <c r="G89" s="57"/>
      <c r="H89" s="57"/>
      <c r="I89" s="57"/>
      <c r="J89" s="57"/>
      <c r="K89" s="57"/>
      <c r="L89" s="57"/>
    </row>
    <row r="90" spans="1:12" x14ac:dyDescent="0.25">
      <c r="A90" s="58" t="s">
        <v>72</v>
      </c>
      <c r="B90" s="188">
        <f>SUM(B88:B89)</f>
        <v>-35655.200000000004</v>
      </c>
      <c r="C90" s="117">
        <f>SUM(C88:C89)</f>
        <v>-37883.65</v>
      </c>
      <c r="D90" s="117">
        <f>SUM(D88:D89)</f>
        <v>-41783.4375</v>
      </c>
      <c r="E90" s="116">
        <f>SUM(E88:E89)</f>
        <v>-47382.418125000004</v>
      </c>
      <c r="G90" s="57"/>
      <c r="H90" s="57"/>
      <c r="I90" s="57"/>
      <c r="J90" s="57"/>
      <c r="K90" s="57"/>
      <c r="L90" s="57"/>
    </row>
    <row r="91" spans="1:12" x14ac:dyDescent="0.25">
      <c r="A91" s="72"/>
      <c r="B91" s="165"/>
      <c r="C91" s="166"/>
      <c r="D91" s="167"/>
      <c r="E91" s="168"/>
      <c r="G91" s="57"/>
      <c r="H91" s="57"/>
      <c r="I91" s="57"/>
      <c r="J91" s="57"/>
      <c r="K91" s="57"/>
      <c r="L91" s="57"/>
    </row>
    <row r="92" spans="1:12" x14ac:dyDescent="0.25">
      <c r="A92" s="55" t="s">
        <v>73</v>
      </c>
      <c r="B92" s="169">
        <f>B84*(1-$B$9)</f>
        <v>124375.99999999999</v>
      </c>
      <c r="C92" s="121">
        <f>C84*(1-$B$9)</f>
        <v>132149.5</v>
      </c>
      <c r="D92" s="122">
        <f>D84*(1-$B$9)</f>
        <v>145753.125</v>
      </c>
      <c r="E92" s="123">
        <f>E84*(1-$B$9)</f>
        <v>165284.04374999998</v>
      </c>
      <c r="G92" s="57"/>
      <c r="H92" s="57"/>
      <c r="I92" s="57"/>
      <c r="J92" s="57"/>
      <c r="K92" s="57"/>
      <c r="L92" s="57"/>
    </row>
    <row r="93" spans="1:12" x14ac:dyDescent="0.25">
      <c r="A93" s="56" t="s">
        <v>74</v>
      </c>
      <c r="B93" s="108">
        <f>B85*(1-$B$10)</f>
        <v>-25880</v>
      </c>
      <c r="C93" s="105">
        <f>C85*(1-$B$10)</f>
        <v>-27497.5</v>
      </c>
      <c r="D93" s="106">
        <f>D85*(1-$B$10)</f>
        <v>-30328.125</v>
      </c>
      <c r="E93" s="107">
        <f>E85*(1-$B$10)</f>
        <v>-34392.09375</v>
      </c>
      <c r="G93" s="57"/>
      <c r="H93" s="57"/>
      <c r="I93" s="57"/>
      <c r="J93" s="57"/>
      <c r="K93" s="57"/>
      <c r="L93" s="57"/>
    </row>
    <row r="94" spans="1:12" x14ac:dyDescent="0.25">
      <c r="A94" s="82" t="s">
        <v>75</v>
      </c>
      <c r="B94" s="108">
        <f>B86</f>
        <v>-25840</v>
      </c>
      <c r="C94" s="105">
        <f t="shared" ref="C94:E95" si="13">C86</f>
        <v>-27455</v>
      </c>
      <c r="D94" s="106">
        <f t="shared" si="13"/>
        <v>-30281.25</v>
      </c>
      <c r="E94" s="107">
        <f t="shared" si="13"/>
        <v>-34338.9375</v>
      </c>
      <c r="G94" s="57"/>
      <c r="H94" s="57"/>
      <c r="I94" s="57"/>
      <c r="J94" s="57"/>
      <c r="K94" s="57"/>
      <c r="L94" s="57"/>
    </row>
    <row r="95" spans="1:12" x14ac:dyDescent="0.25">
      <c r="A95" s="56" t="s">
        <v>76</v>
      </c>
      <c r="B95" s="108">
        <f>B87</f>
        <v>-26640</v>
      </c>
      <c r="C95" s="105">
        <f t="shared" si="13"/>
        <v>-28305</v>
      </c>
      <c r="D95" s="106">
        <f t="shared" si="13"/>
        <v>-31218.75</v>
      </c>
      <c r="E95" s="107">
        <f t="shared" si="13"/>
        <v>-35402.0625</v>
      </c>
      <c r="G95" s="57"/>
      <c r="H95" s="57"/>
      <c r="I95" s="57"/>
      <c r="J95" s="57"/>
      <c r="K95" s="57"/>
      <c r="L95" s="57"/>
    </row>
    <row r="96" spans="1:12" x14ac:dyDescent="0.25">
      <c r="A96" s="89" t="s">
        <v>77</v>
      </c>
      <c r="B96" s="112">
        <f>-SUM(B92:B95)</f>
        <v>-46015.999999999985</v>
      </c>
      <c r="C96" s="113">
        <f>-SUM(C92:C95)</f>
        <v>-48892</v>
      </c>
      <c r="D96" s="114">
        <f>-SUM(D92:D95)</f>
        <v>-53925</v>
      </c>
      <c r="E96" s="115">
        <f>-SUM(E92:E95)</f>
        <v>-61150.949999999983</v>
      </c>
      <c r="G96" s="57"/>
      <c r="H96" s="57"/>
      <c r="I96" s="57"/>
      <c r="J96" s="57"/>
      <c r="K96" s="57"/>
      <c r="L96" s="57"/>
    </row>
    <row r="97" spans="1:12" x14ac:dyDescent="0.25">
      <c r="A97" s="82" t="s">
        <v>78</v>
      </c>
      <c r="B97" s="191">
        <f>-B93*$B$19</f>
        <v>18892.399999999998</v>
      </c>
      <c r="C97" s="109">
        <f t="shared" ref="C97:E97" si="14">-C93*$B$19</f>
        <v>20073.174999999999</v>
      </c>
      <c r="D97" s="110">
        <f t="shared" si="14"/>
        <v>22139.53125</v>
      </c>
      <c r="E97" s="111">
        <f t="shared" si="14"/>
        <v>25106.228437499998</v>
      </c>
      <c r="G97" s="57"/>
      <c r="H97" s="57"/>
      <c r="I97" s="57"/>
      <c r="J97" s="57"/>
      <c r="K97" s="57"/>
      <c r="L97" s="57"/>
    </row>
    <row r="98" spans="1:12" x14ac:dyDescent="0.25">
      <c r="A98" s="58" t="s">
        <v>79</v>
      </c>
      <c r="B98" s="116">
        <f>SUM(B96:B97)</f>
        <v>-27123.599999999988</v>
      </c>
      <c r="C98" s="117">
        <f>SUM(C96:C97)</f>
        <v>-28818.825000000001</v>
      </c>
      <c r="D98" s="118">
        <f>SUM(D96:D97)</f>
        <v>-31785.46875</v>
      </c>
      <c r="E98" s="119">
        <f>SUM(E96:E97)</f>
        <v>-36044.721562499981</v>
      </c>
    </row>
  </sheetData>
  <mergeCells count="1">
    <mergeCell ref="F82:F8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(a)</vt:lpstr>
      <vt:lpstr>(b) (i)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2016-02-17T11:34:30Z</dcterms:created>
  <dcterms:modified xsi:type="dcterms:W3CDTF">2020-03-08T08:48:51Z</dcterms:modified>
</cp:coreProperties>
</file>