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400" windowHeight="8700" tabRatio="791" activeTab="5"/>
  </bookViews>
  <sheets>
    <sheet name="Mortality table" sheetId="5" r:id="rId1"/>
    <sheet name="Model (c)(i)" sheetId="13" r:id="rId2"/>
    <sheet name="Model (a) " sheetId="2" r:id="rId3"/>
    <sheet name="Model (a)_Exp_Vinc" sheetId="21" r:id="rId4"/>
    <sheet name="Model (a)+Exp+Inv" sheetId="16" r:id="rId5"/>
    <sheet name="Model (a)+Exp+Inv + Mort" sheetId="17" r:id="rId6"/>
    <sheet name="Part (d)(i) AOC" sheetId="7" r:id="rId7"/>
  </sheets>
  <calcPr calcId="145621"/>
</workbook>
</file>

<file path=xl/calcChain.xml><?xml version="1.0" encoding="utf-8"?>
<calcChain xmlns="http://schemas.openxmlformats.org/spreadsheetml/2006/main">
  <c r="E11" i="7" l="1"/>
  <c r="E12" i="7"/>
  <c r="Q17" i="16"/>
  <c r="R27" i="21" l="1"/>
  <c r="P7" i="21"/>
  <c r="P8" i="21"/>
  <c r="P9" i="21"/>
  <c r="P10" i="21"/>
  <c r="P6" i="21"/>
  <c r="M26" i="21"/>
  <c r="F28" i="21"/>
  <c r="F29" i="21" s="1"/>
  <c r="F30" i="21" s="1"/>
  <c r="T66" i="21"/>
  <c r="M66" i="21"/>
  <c r="E29" i="21"/>
  <c r="E30" i="21" s="1"/>
  <c r="I28" i="2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E28" i="21"/>
  <c r="C28" i="2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I27" i="21"/>
  <c r="E27" i="21"/>
  <c r="D27" i="21"/>
  <c r="D28" i="21" s="1"/>
  <c r="B27" i="2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G26" i="21"/>
  <c r="F7" i="7"/>
  <c r="F12" i="7"/>
  <c r="E4" i="7"/>
  <c r="Q18" i="17"/>
  <c r="Q17" i="17"/>
  <c r="F28" i="2"/>
  <c r="F27" i="2"/>
  <c r="E31" i="21" l="1"/>
  <c r="H28" i="21"/>
  <c r="J28" i="21" s="1"/>
  <c r="D29" i="21"/>
  <c r="F31" i="21"/>
  <c r="H27" i="21"/>
  <c r="J27" i="21" s="1"/>
  <c r="G27" i="21" s="1"/>
  <c r="P66" i="21"/>
  <c r="Q66" i="21" s="1"/>
  <c r="N66" i="21"/>
  <c r="P10" i="17"/>
  <c r="P8" i="17"/>
  <c r="P7" i="17"/>
  <c r="P6" i="17"/>
  <c r="P7" i="16"/>
  <c r="P8" i="16"/>
  <c r="P10" i="16"/>
  <c r="P6" i="16"/>
  <c r="K27" i="21" l="1"/>
  <c r="G28" i="21"/>
  <c r="L27" i="21"/>
  <c r="E32" i="21"/>
  <c r="D30" i="21"/>
  <c r="H29" i="21"/>
  <c r="J29" i="21" s="1"/>
  <c r="F32" i="2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28" i="16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28" i="13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28" i="2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H30" i="21" l="1"/>
  <c r="J30" i="21" s="1"/>
  <c r="D31" i="21"/>
  <c r="G29" i="21"/>
  <c r="K28" i="21"/>
  <c r="L28" i="21"/>
  <c r="F33" i="21"/>
  <c r="E33" i="21"/>
  <c r="B27" i="17"/>
  <c r="B27" i="16"/>
  <c r="B27" i="13"/>
  <c r="B27" i="2"/>
  <c r="G26" i="17"/>
  <c r="G26" i="16"/>
  <c r="G26" i="13"/>
  <c r="G26" i="2"/>
  <c r="D27" i="17"/>
  <c r="D27" i="16"/>
  <c r="D27" i="13"/>
  <c r="D27" i="2"/>
  <c r="H31" i="21" l="1"/>
  <c r="J31" i="21" s="1"/>
  <c r="D32" i="21"/>
  <c r="F34" i="21"/>
  <c r="G30" i="21"/>
  <c r="K29" i="21"/>
  <c r="L29" i="21"/>
  <c r="E34" i="21"/>
  <c r="T66" i="17"/>
  <c r="M66" i="17"/>
  <c r="P66" i="17" s="1"/>
  <c r="Q66" i="17" s="1"/>
  <c r="B28" i="17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I27" i="17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E27" i="17"/>
  <c r="E28" i="17" s="1"/>
  <c r="T66" i="16"/>
  <c r="M66" i="16"/>
  <c r="P66" i="16" s="1"/>
  <c r="Q66" i="16" s="1"/>
  <c r="B28" i="16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I27" i="16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E27" i="16"/>
  <c r="E28" i="16" s="1"/>
  <c r="G31" i="21" l="1"/>
  <c r="L30" i="21"/>
  <c r="K30" i="21"/>
  <c r="D33" i="21"/>
  <c r="H32" i="21"/>
  <c r="J32" i="21" s="1"/>
  <c r="E35" i="21"/>
  <c r="F35" i="21"/>
  <c r="N66" i="16"/>
  <c r="D28" i="16"/>
  <c r="D29" i="16" s="1"/>
  <c r="D28" i="17"/>
  <c r="D29" i="17" s="1"/>
  <c r="N66" i="17"/>
  <c r="E29" i="17"/>
  <c r="E29" i="16"/>
  <c r="H27" i="16"/>
  <c r="J27" i="16" s="1"/>
  <c r="G27" i="16" s="1"/>
  <c r="F36" i="21" l="1"/>
  <c r="E36" i="21"/>
  <c r="D34" i="21"/>
  <c r="H33" i="21"/>
  <c r="J33" i="21" s="1"/>
  <c r="G32" i="21"/>
  <c r="K31" i="21"/>
  <c r="L31" i="21"/>
  <c r="H28" i="17"/>
  <c r="J28" i="17" s="1"/>
  <c r="H28" i="16"/>
  <c r="J28" i="16" s="1"/>
  <c r="G28" i="16" s="1"/>
  <c r="K28" i="16" s="1"/>
  <c r="K27" i="16"/>
  <c r="D30" i="17"/>
  <c r="H29" i="17"/>
  <c r="J29" i="17" s="1"/>
  <c r="E30" i="17"/>
  <c r="E30" i="16"/>
  <c r="D30" i="16"/>
  <c r="H29" i="16"/>
  <c r="J29" i="16" s="1"/>
  <c r="L27" i="16"/>
  <c r="G33" i="21" l="1"/>
  <c r="K32" i="21"/>
  <c r="L32" i="21"/>
  <c r="E37" i="21"/>
  <c r="H34" i="21"/>
  <c r="J34" i="21" s="1"/>
  <c r="D35" i="21"/>
  <c r="F37" i="21"/>
  <c r="G29" i="16"/>
  <c r="K29" i="16" s="1"/>
  <c r="E31" i="17"/>
  <c r="D31" i="17"/>
  <c r="H30" i="17"/>
  <c r="J30" i="17" s="1"/>
  <c r="D31" i="16"/>
  <c r="H30" i="16"/>
  <c r="J30" i="16" s="1"/>
  <c r="E31" i="16"/>
  <c r="E38" i="21" l="1"/>
  <c r="G34" i="21"/>
  <c r="L33" i="21"/>
  <c r="K33" i="21"/>
  <c r="F38" i="21"/>
  <c r="H35" i="21"/>
  <c r="J35" i="21" s="1"/>
  <c r="D36" i="21"/>
  <c r="G30" i="16"/>
  <c r="K30" i="16" s="1"/>
  <c r="E32" i="17"/>
  <c r="D32" i="17"/>
  <c r="H31" i="17"/>
  <c r="J31" i="17" s="1"/>
  <c r="D32" i="16"/>
  <c r="H31" i="16"/>
  <c r="J31" i="16" s="1"/>
  <c r="E32" i="16"/>
  <c r="F39" i="21" l="1"/>
  <c r="G35" i="21"/>
  <c r="K34" i="21"/>
  <c r="L34" i="21"/>
  <c r="E39" i="21"/>
  <c r="H36" i="21"/>
  <c r="J36" i="21" s="1"/>
  <c r="D37" i="21"/>
  <c r="G31" i="16"/>
  <c r="K31" i="16" s="1"/>
  <c r="E33" i="17"/>
  <c r="D33" i="17"/>
  <c r="H32" i="17"/>
  <c r="J32" i="17" s="1"/>
  <c r="E33" i="16"/>
  <c r="D33" i="16"/>
  <c r="H32" i="16"/>
  <c r="J32" i="16" s="1"/>
  <c r="G32" i="16" s="1"/>
  <c r="G36" i="21" l="1"/>
  <c r="K35" i="21"/>
  <c r="L35" i="21"/>
  <c r="E40" i="21"/>
  <c r="F40" i="21"/>
  <c r="D38" i="21"/>
  <c r="H37" i="21"/>
  <c r="J37" i="21" s="1"/>
  <c r="E34" i="17"/>
  <c r="D34" i="17"/>
  <c r="H33" i="17"/>
  <c r="J33" i="17" s="1"/>
  <c r="K32" i="16"/>
  <c r="D34" i="16"/>
  <c r="H33" i="16"/>
  <c r="J33" i="16" s="1"/>
  <c r="G33" i="16" s="1"/>
  <c r="E34" i="16"/>
  <c r="F41" i="21" l="1"/>
  <c r="E41" i="21"/>
  <c r="G37" i="21"/>
  <c r="K36" i="21"/>
  <c r="L36" i="21"/>
  <c r="H38" i="21"/>
  <c r="J38" i="21" s="1"/>
  <c r="D39" i="21"/>
  <c r="E35" i="17"/>
  <c r="D35" i="17"/>
  <c r="H34" i="17"/>
  <c r="J34" i="17" s="1"/>
  <c r="K33" i="16"/>
  <c r="E35" i="16"/>
  <c r="D35" i="16"/>
  <c r="H34" i="16"/>
  <c r="J34" i="16" s="1"/>
  <c r="G34" i="16" s="1"/>
  <c r="D40" i="21" l="1"/>
  <c r="H39" i="21"/>
  <c r="J39" i="21" s="1"/>
  <c r="G38" i="21"/>
  <c r="K37" i="21"/>
  <c r="L37" i="21"/>
  <c r="E42" i="21"/>
  <c r="F42" i="21"/>
  <c r="E36" i="17"/>
  <c r="D36" i="17"/>
  <c r="H35" i="17"/>
  <c r="J35" i="17" s="1"/>
  <c r="K34" i="16"/>
  <c r="D36" i="16"/>
  <c r="H35" i="16"/>
  <c r="J35" i="16" s="1"/>
  <c r="G35" i="16" s="1"/>
  <c r="E36" i="16"/>
  <c r="G39" i="21" l="1"/>
  <c r="L38" i="21"/>
  <c r="K38" i="21"/>
  <c r="F43" i="21"/>
  <c r="D41" i="21"/>
  <c r="H40" i="21"/>
  <c r="J40" i="21" s="1"/>
  <c r="E43" i="21"/>
  <c r="E37" i="17"/>
  <c r="D37" i="17"/>
  <c r="H36" i="17"/>
  <c r="J36" i="17" s="1"/>
  <c r="K35" i="16"/>
  <c r="E37" i="16"/>
  <c r="D37" i="16"/>
  <c r="H36" i="16"/>
  <c r="J36" i="16" s="1"/>
  <c r="G36" i="16" s="1"/>
  <c r="E44" i="21" l="1"/>
  <c r="H41" i="21"/>
  <c r="J41" i="21" s="1"/>
  <c r="D42" i="21"/>
  <c r="G40" i="21"/>
  <c r="K39" i="21"/>
  <c r="L39" i="21"/>
  <c r="F44" i="21"/>
  <c r="D38" i="17"/>
  <c r="H37" i="17"/>
  <c r="J37" i="17" s="1"/>
  <c r="E38" i="17"/>
  <c r="K36" i="16"/>
  <c r="D38" i="16"/>
  <c r="H37" i="16"/>
  <c r="J37" i="16" s="1"/>
  <c r="G37" i="16" s="1"/>
  <c r="E38" i="16"/>
  <c r="F45" i="21" l="1"/>
  <c r="G41" i="21"/>
  <c r="L40" i="21"/>
  <c r="K40" i="21"/>
  <c r="D43" i="21"/>
  <c r="H42" i="21"/>
  <c r="J42" i="21" s="1"/>
  <c r="E45" i="21"/>
  <c r="E39" i="17"/>
  <c r="D39" i="17"/>
  <c r="H38" i="17"/>
  <c r="J38" i="17" s="1"/>
  <c r="K37" i="16"/>
  <c r="E39" i="16"/>
  <c r="D39" i="16"/>
  <c r="H38" i="16"/>
  <c r="J38" i="16" s="1"/>
  <c r="G38" i="16" s="1"/>
  <c r="F46" i="21" l="1"/>
  <c r="H43" i="21"/>
  <c r="J43" i="21" s="1"/>
  <c r="D44" i="21"/>
  <c r="E46" i="21"/>
  <c r="G42" i="21"/>
  <c r="L41" i="21"/>
  <c r="K41" i="21"/>
  <c r="E40" i="17"/>
  <c r="D40" i="17"/>
  <c r="H39" i="17"/>
  <c r="J39" i="17" s="1"/>
  <c r="K38" i="16"/>
  <c r="D40" i="16"/>
  <c r="H39" i="16"/>
  <c r="J39" i="16" s="1"/>
  <c r="G39" i="16" s="1"/>
  <c r="E40" i="16"/>
  <c r="D45" i="21" l="1"/>
  <c r="H44" i="21"/>
  <c r="J44" i="21" s="1"/>
  <c r="F47" i="21"/>
  <c r="E47" i="21"/>
  <c r="G43" i="21"/>
  <c r="L42" i="21"/>
  <c r="K42" i="21"/>
  <c r="E41" i="17"/>
  <c r="D41" i="17"/>
  <c r="H40" i="17"/>
  <c r="J40" i="17" s="1"/>
  <c r="K39" i="16"/>
  <c r="E41" i="16"/>
  <c r="D41" i="16"/>
  <c r="H40" i="16"/>
  <c r="J40" i="16" s="1"/>
  <c r="G40" i="16" s="1"/>
  <c r="H45" i="21" l="1"/>
  <c r="J45" i="21" s="1"/>
  <c r="D46" i="21"/>
  <c r="G44" i="21"/>
  <c r="L43" i="21"/>
  <c r="K43" i="21"/>
  <c r="F48" i="21"/>
  <c r="E48" i="21"/>
  <c r="D42" i="17"/>
  <c r="H41" i="17"/>
  <c r="J41" i="17" s="1"/>
  <c r="E42" i="17"/>
  <c r="K40" i="16"/>
  <c r="D42" i="16"/>
  <c r="H41" i="16"/>
  <c r="J41" i="16" s="1"/>
  <c r="G41" i="16" s="1"/>
  <c r="E42" i="16"/>
  <c r="G45" i="21" l="1"/>
  <c r="K44" i="21"/>
  <c r="L44" i="21"/>
  <c r="H46" i="21"/>
  <c r="J46" i="21" s="1"/>
  <c r="D47" i="21"/>
  <c r="E49" i="21"/>
  <c r="F49" i="21"/>
  <c r="E43" i="17"/>
  <c r="D43" i="17"/>
  <c r="H42" i="17"/>
  <c r="J42" i="17" s="1"/>
  <c r="K41" i="16"/>
  <c r="E43" i="16"/>
  <c r="D43" i="16"/>
  <c r="H42" i="16"/>
  <c r="J42" i="16" s="1"/>
  <c r="G42" i="16" s="1"/>
  <c r="E50" i="21" l="1"/>
  <c r="H47" i="21"/>
  <c r="J47" i="21" s="1"/>
  <c r="D48" i="21"/>
  <c r="G46" i="21"/>
  <c r="L45" i="21"/>
  <c r="K45" i="21"/>
  <c r="F50" i="21"/>
  <c r="D44" i="17"/>
  <c r="H43" i="17"/>
  <c r="J43" i="17" s="1"/>
  <c r="E44" i="17"/>
  <c r="K42" i="16"/>
  <c r="D44" i="16"/>
  <c r="H43" i="16"/>
  <c r="J43" i="16" s="1"/>
  <c r="G43" i="16" s="1"/>
  <c r="E44" i="16"/>
  <c r="F51" i="21" l="1"/>
  <c r="H48" i="21"/>
  <c r="J48" i="21" s="1"/>
  <c r="D49" i="21"/>
  <c r="E51" i="21"/>
  <c r="G47" i="21"/>
  <c r="L46" i="21"/>
  <c r="K46" i="21"/>
  <c r="E45" i="17"/>
  <c r="D45" i="17"/>
  <c r="H44" i="17"/>
  <c r="J44" i="17" s="1"/>
  <c r="K43" i="16"/>
  <c r="E45" i="16"/>
  <c r="D45" i="16"/>
  <c r="H44" i="16"/>
  <c r="J44" i="16" s="1"/>
  <c r="G44" i="16" s="1"/>
  <c r="F52" i="21" l="1"/>
  <c r="E52" i="21"/>
  <c r="D50" i="21"/>
  <c r="H49" i="21"/>
  <c r="J49" i="21" s="1"/>
  <c r="G48" i="21"/>
  <c r="K47" i="21"/>
  <c r="L47" i="21"/>
  <c r="D46" i="17"/>
  <c r="H45" i="17"/>
  <c r="J45" i="17" s="1"/>
  <c r="E46" i="17"/>
  <c r="K44" i="16"/>
  <c r="D46" i="16"/>
  <c r="H45" i="16"/>
  <c r="J45" i="16" s="1"/>
  <c r="G45" i="16" s="1"/>
  <c r="E46" i="16"/>
  <c r="H50" i="21" l="1"/>
  <c r="J50" i="21" s="1"/>
  <c r="D51" i="21"/>
  <c r="E53" i="21"/>
  <c r="G49" i="21"/>
  <c r="K48" i="21"/>
  <c r="L48" i="21"/>
  <c r="F53" i="21"/>
  <c r="E47" i="17"/>
  <c r="D47" i="17"/>
  <c r="H46" i="17"/>
  <c r="J46" i="17" s="1"/>
  <c r="K45" i="16"/>
  <c r="E47" i="16"/>
  <c r="D47" i="16"/>
  <c r="H46" i="16"/>
  <c r="J46" i="16" s="1"/>
  <c r="G46" i="16" s="1"/>
  <c r="F54" i="21" l="1"/>
  <c r="D52" i="21"/>
  <c r="H51" i="21"/>
  <c r="J51" i="21" s="1"/>
  <c r="E54" i="21"/>
  <c r="G50" i="21"/>
  <c r="K49" i="21"/>
  <c r="L49" i="21"/>
  <c r="D48" i="17"/>
  <c r="H47" i="17"/>
  <c r="J47" i="17" s="1"/>
  <c r="E48" i="17"/>
  <c r="K46" i="16"/>
  <c r="D48" i="16"/>
  <c r="H47" i="16"/>
  <c r="J47" i="16" s="1"/>
  <c r="G47" i="16" s="1"/>
  <c r="E48" i="16"/>
  <c r="H52" i="21" l="1"/>
  <c r="J52" i="21" s="1"/>
  <c r="D53" i="21"/>
  <c r="E55" i="21"/>
  <c r="G51" i="21"/>
  <c r="L50" i="21"/>
  <c r="K50" i="21"/>
  <c r="F55" i="21"/>
  <c r="E49" i="17"/>
  <c r="D49" i="17"/>
  <c r="H48" i="17"/>
  <c r="J48" i="17" s="1"/>
  <c r="K47" i="16"/>
  <c r="E49" i="16"/>
  <c r="D49" i="16"/>
  <c r="H48" i="16"/>
  <c r="J48" i="16" s="1"/>
  <c r="G48" i="16" s="1"/>
  <c r="E56" i="21" l="1"/>
  <c r="D54" i="21"/>
  <c r="H53" i="21"/>
  <c r="J53" i="21" s="1"/>
  <c r="G52" i="21"/>
  <c r="K51" i="21"/>
  <c r="L51" i="21"/>
  <c r="F56" i="21"/>
  <c r="D50" i="17"/>
  <c r="H49" i="17"/>
  <c r="J49" i="17" s="1"/>
  <c r="E50" i="17"/>
  <c r="K48" i="16"/>
  <c r="D50" i="16"/>
  <c r="H49" i="16"/>
  <c r="J49" i="16" s="1"/>
  <c r="G49" i="16" s="1"/>
  <c r="E50" i="16"/>
  <c r="F57" i="21" l="1"/>
  <c r="H54" i="21"/>
  <c r="J54" i="21" s="1"/>
  <c r="D55" i="21"/>
  <c r="E57" i="21"/>
  <c r="G53" i="21"/>
  <c r="K52" i="21"/>
  <c r="L52" i="21"/>
  <c r="E51" i="17"/>
  <c r="D51" i="17"/>
  <c r="H50" i="17"/>
  <c r="J50" i="17" s="1"/>
  <c r="K49" i="16"/>
  <c r="E51" i="16"/>
  <c r="D51" i="16"/>
  <c r="H50" i="16"/>
  <c r="J50" i="16" s="1"/>
  <c r="G50" i="16" s="1"/>
  <c r="D56" i="21" l="1"/>
  <c r="H55" i="21"/>
  <c r="J55" i="21" s="1"/>
  <c r="E58" i="21"/>
  <c r="F58" i="21"/>
  <c r="G54" i="21"/>
  <c r="K53" i="21"/>
  <c r="L53" i="21"/>
  <c r="D52" i="17"/>
  <c r="H51" i="17"/>
  <c r="J51" i="17" s="1"/>
  <c r="E52" i="17"/>
  <c r="K50" i="16"/>
  <c r="D52" i="16"/>
  <c r="H51" i="16"/>
  <c r="J51" i="16" s="1"/>
  <c r="G51" i="16" s="1"/>
  <c r="E52" i="16"/>
  <c r="F59" i="21" l="1"/>
  <c r="G55" i="21"/>
  <c r="K54" i="21"/>
  <c r="L54" i="21"/>
  <c r="H56" i="21"/>
  <c r="J56" i="21" s="1"/>
  <c r="D57" i="21"/>
  <c r="E59" i="21"/>
  <c r="E53" i="17"/>
  <c r="D53" i="17"/>
  <c r="H52" i="17"/>
  <c r="J52" i="17" s="1"/>
  <c r="K51" i="16"/>
  <c r="E53" i="16"/>
  <c r="D53" i="16"/>
  <c r="H52" i="16"/>
  <c r="J52" i="16" s="1"/>
  <c r="G52" i="16" s="1"/>
  <c r="G56" i="21" l="1"/>
  <c r="K55" i="21"/>
  <c r="L55" i="21"/>
  <c r="F60" i="21"/>
  <c r="E60" i="21"/>
  <c r="D58" i="21"/>
  <c r="H57" i="21"/>
  <c r="J57" i="21" s="1"/>
  <c r="D54" i="17"/>
  <c r="H53" i="17"/>
  <c r="J53" i="17" s="1"/>
  <c r="E54" i="17"/>
  <c r="K52" i="16"/>
  <c r="D54" i="16"/>
  <c r="H53" i="16"/>
  <c r="J53" i="16" s="1"/>
  <c r="G53" i="16" s="1"/>
  <c r="E54" i="16"/>
  <c r="F61" i="21" l="1"/>
  <c r="E61" i="21"/>
  <c r="H58" i="21"/>
  <c r="J58" i="21" s="1"/>
  <c r="D59" i="21"/>
  <c r="G57" i="21"/>
  <c r="L56" i="21"/>
  <c r="K56" i="21"/>
  <c r="E55" i="17"/>
  <c r="D55" i="17"/>
  <c r="H54" i="17"/>
  <c r="J54" i="17" s="1"/>
  <c r="K53" i="16"/>
  <c r="E55" i="16"/>
  <c r="D55" i="16"/>
  <c r="H54" i="16"/>
  <c r="J54" i="16" s="1"/>
  <c r="G54" i="16" s="1"/>
  <c r="D60" i="21" l="1"/>
  <c r="H59" i="21"/>
  <c r="J59" i="21" s="1"/>
  <c r="F62" i="21"/>
  <c r="E62" i="21"/>
  <c r="G58" i="21"/>
  <c r="L57" i="21"/>
  <c r="K57" i="21"/>
  <c r="D56" i="17"/>
  <c r="H55" i="17"/>
  <c r="J55" i="17" s="1"/>
  <c r="E56" i="17"/>
  <c r="K54" i="16"/>
  <c r="D56" i="16"/>
  <c r="H55" i="16"/>
  <c r="J55" i="16" s="1"/>
  <c r="G55" i="16" s="1"/>
  <c r="E56" i="16"/>
  <c r="G59" i="21" l="1"/>
  <c r="L58" i="21"/>
  <c r="K58" i="21"/>
  <c r="H60" i="21"/>
  <c r="J60" i="21" s="1"/>
  <c r="D61" i="21"/>
  <c r="E63" i="21"/>
  <c r="F63" i="21"/>
  <c r="E57" i="17"/>
  <c r="D57" i="17"/>
  <c r="H56" i="17"/>
  <c r="J56" i="17" s="1"/>
  <c r="K55" i="16"/>
  <c r="E57" i="16"/>
  <c r="D57" i="16"/>
  <c r="H56" i="16"/>
  <c r="J56" i="16" s="1"/>
  <c r="G56" i="16" s="1"/>
  <c r="F64" i="21" l="1"/>
  <c r="D62" i="21"/>
  <c r="H61" i="21"/>
  <c r="J61" i="21" s="1"/>
  <c r="G60" i="21"/>
  <c r="L59" i="21"/>
  <c r="K59" i="21"/>
  <c r="E64" i="21"/>
  <c r="D58" i="17"/>
  <c r="H57" i="17"/>
  <c r="J57" i="17" s="1"/>
  <c r="E58" i="17"/>
  <c r="K56" i="16"/>
  <c r="D58" i="16"/>
  <c r="H57" i="16"/>
  <c r="J57" i="16" s="1"/>
  <c r="G57" i="16" s="1"/>
  <c r="E58" i="16"/>
  <c r="H62" i="21" l="1"/>
  <c r="J62" i="21" s="1"/>
  <c r="D63" i="21"/>
  <c r="E65" i="21"/>
  <c r="G61" i="21"/>
  <c r="L60" i="21"/>
  <c r="K60" i="21"/>
  <c r="F65" i="21"/>
  <c r="E59" i="17"/>
  <c r="D59" i="17"/>
  <c r="H58" i="17"/>
  <c r="J58" i="17" s="1"/>
  <c r="K57" i="16"/>
  <c r="E59" i="16"/>
  <c r="D59" i="16"/>
  <c r="H58" i="16"/>
  <c r="J58" i="16" s="1"/>
  <c r="G58" i="16" s="1"/>
  <c r="E66" i="21" l="1"/>
  <c r="D64" i="21"/>
  <c r="H63" i="21"/>
  <c r="J63" i="21" s="1"/>
  <c r="F66" i="21"/>
  <c r="G62" i="21"/>
  <c r="L61" i="21"/>
  <c r="K61" i="21"/>
  <c r="D60" i="17"/>
  <c r="H59" i="17"/>
  <c r="J59" i="17" s="1"/>
  <c r="E60" i="17"/>
  <c r="K58" i="16"/>
  <c r="D60" i="16"/>
  <c r="H59" i="16"/>
  <c r="J59" i="16" s="1"/>
  <c r="G59" i="16" s="1"/>
  <c r="E60" i="16"/>
  <c r="G63" i="21" l="1"/>
  <c r="K62" i="21"/>
  <c r="L62" i="21"/>
  <c r="H64" i="21"/>
  <c r="J64" i="21" s="1"/>
  <c r="D65" i="21"/>
  <c r="E61" i="17"/>
  <c r="D61" i="17"/>
  <c r="H60" i="17"/>
  <c r="J60" i="17" s="1"/>
  <c r="K59" i="16"/>
  <c r="E61" i="16"/>
  <c r="D61" i="16"/>
  <c r="H60" i="16"/>
  <c r="J60" i="16" s="1"/>
  <c r="G60" i="16" s="1"/>
  <c r="D66" i="21" l="1"/>
  <c r="H66" i="21" s="1"/>
  <c r="J66" i="21" s="1"/>
  <c r="H65" i="21"/>
  <c r="J65" i="21" s="1"/>
  <c r="G64" i="21"/>
  <c r="L63" i="21"/>
  <c r="K63" i="21"/>
  <c r="D62" i="17"/>
  <c r="H61" i="17"/>
  <c r="J61" i="17" s="1"/>
  <c r="E62" i="17"/>
  <c r="K60" i="16"/>
  <c r="D62" i="16"/>
  <c r="H61" i="16"/>
  <c r="J61" i="16" s="1"/>
  <c r="G61" i="16" s="1"/>
  <c r="E62" i="16"/>
  <c r="G65" i="21" l="1"/>
  <c r="K64" i="21"/>
  <c r="L64" i="21"/>
  <c r="E63" i="17"/>
  <c r="D63" i="17"/>
  <c r="H62" i="17"/>
  <c r="J62" i="17" s="1"/>
  <c r="K61" i="16"/>
  <c r="E63" i="16"/>
  <c r="D63" i="16"/>
  <c r="H62" i="16"/>
  <c r="J62" i="16" s="1"/>
  <c r="G62" i="16" s="1"/>
  <c r="G66" i="21" l="1"/>
  <c r="L65" i="21"/>
  <c r="K65" i="21"/>
  <c r="D64" i="17"/>
  <c r="H63" i="17"/>
  <c r="J63" i="17" s="1"/>
  <c r="E64" i="17"/>
  <c r="K62" i="16"/>
  <c r="D64" i="16"/>
  <c r="H63" i="16"/>
  <c r="J63" i="16" s="1"/>
  <c r="G63" i="16" s="1"/>
  <c r="E64" i="16"/>
  <c r="L66" i="21" l="1"/>
  <c r="K66" i="21"/>
  <c r="E65" i="17"/>
  <c r="D65" i="17"/>
  <c r="H64" i="17"/>
  <c r="J64" i="17" s="1"/>
  <c r="K63" i="16"/>
  <c r="E65" i="16"/>
  <c r="D65" i="16"/>
  <c r="H64" i="16"/>
  <c r="J64" i="16" s="1"/>
  <c r="G64" i="16" s="1"/>
  <c r="M65" i="21" l="1"/>
  <c r="D66" i="17"/>
  <c r="H66" i="17" s="1"/>
  <c r="J66" i="17" s="1"/>
  <c r="H65" i="17"/>
  <c r="J65" i="17" s="1"/>
  <c r="E66" i="17"/>
  <c r="K64" i="16"/>
  <c r="D66" i="16"/>
  <c r="H66" i="16" s="1"/>
  <c r="J66" i="16" s="1"/>
  <c r="H65" i="16"/>
  <c r="J65" i="16" s="1"/>
  <c r="G65" i="16" s="1"/>
  <c r="E66" i="16"/>
  <c r="N65" i="21" l="1"/>
  <c r="P65" i="21"/>
  <c r="Q65" i="21" s="1"/>
  <c r="M64" i="21"/>
  <c r="G66" i="16"/>
  <c r="K66" i="16" s="1"/>
  <c r="K65" i="16"/>
  <c r="O66" i="21" l="1"/>
  <c r="R66" i="21"/>
  <c r="N64" i="21"/>
  <c r="P64" i="21"/>
  <c r="Q64" i="21" s="1"/>
  <c r="R65" i="21"/>
  <c r="M63" i="21"/>
  <c r="T66" i="13"/>
  <c r="M66" i="13"/>
  <c r="P66" i="13" s="1"/>
  <c r="Q66" i="13" s="1"/>
  <c r="B28" i="13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I27" i="13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F27" i="13"/>
  <c r="E27" i="13"/>
  <c r="E28" i="13" s="1"/>
  <c r="N63" i="21" l="1"/>
  <c r="P63" i="21"/>
  <c r="Q63" i="21" s="1"/>
  <c r="M62" i="21"/>
  <c r="S66" i="21"/>
  <c r="T65" i="21" s="1"/>
  <c r="O65" i="21"/>
  <c r="S65" i="21" s="1"/>
  <c r="N66" i="13"/>
  <c r="D28" i="13"/>
  <c r="D29" i="13" s="1"/>
  <c r="E29" i="13"/>
  <c r="H27" i="13"/>
  <c r="J27" i="13" s="1"/>
  <c r="G27" i="13" s="1"/>
  <c r="F28" i="13"/>
  <c r="T64" i="21" l="1"/>
  <c r="R64" i="21"/>
  <c r="P62" i="21"/>
  <c r="Q62" i="21" s="1"/>
  <c r="N62" i="21"/>
  <c r="M61" i="21"/>
  <c r="O64" i="21"/>
  <c r="H28" i="13"/>
  <c r="J28" i="13" s="1"/>
  <c r="G28" i="13" s="1"/>
  <c r="L28" i="13" s="1"/>
  <c r="L27" i="13"/>
  <c r="K27" i="13"/>
  <c r="F29" i="13"/>
  <c r="D30" i="13"/>
  <c r="H29" i="13"/>
  <c r="J29" i="13" s="1"/>
  <c r="E30" i="13"/>
  <c r="S64" i="21" l="1"/>
  <c r="T63" i="21" s="1"/>
  <c r="P61" i="21"/>
  <c r="Q61" i="21" s="1"/>
  <c r="N61" i="21"/>
  <c r="M60" i="21"/>
  <c r="R63" i="21"/>
  <c r="O63" i="21"/>
  <c r="G29" i="13"/>
  <c r="L29" i="13" s="1"/>
  <c r="K28" i="13"/>
  <c r="E31" i="13"/>
  <c r="D31" i="13"/>
  <c r="H30" i="13"/>
  <c r="J30" i="13" s="1"/>
  <c r="F30" i="13"/>
  <c r="S63" i="21" l="1"/>
  <c r="T62" i="21" s="1"/>
  <c r="O62" i="21"/>
  <c r="R62" i="21"/>
  <c r="N60" i="21"/>
  <c r="P60" i="21"/>
  <c r="Q60" i="21" s="1"/>
  <c r="M59" i="21"/>
  <c r="F31" i="13"/>
  <c r="D32" i="13"/>
  <c r="H31" i="13"/>
  <c r="J31" i="13" s="1"/>
  <c r="G30" i="13"/>
  <c r="K29" i="13"/>
  <c r="E32" i="13"/>
  <c r="R61" i="21" l="1"/>
  <c r="S62" i="21"/>
  <c r="T61" i="21" s="1"/>
  <c r="P59" i="21"/>
  <c r="Q59" i="21" s="1"/>
  <c r="N59" i="21"/>
  <c r="M58" i="21"/>
  <c r="O61" i="21"/>
  <c r="E33" i="13"/>
  <c r="G31" i="13"/>
  <c r="K30" i="13"/>
  <c r="D33" i="13"/>
  <c r="H32" i="13"/>
  <c r="J32" i="13" s="1"/>
  <c r="L31" i="13"/>
  <c r="F32" i="13"/>
  <c r="L30" i="13"/>
  <c r="S61" i="21" l="1"/>
  <c r="T60" i="21" s="1"/>
  <c r="R60" i="21"/>
  <c r="P58" i="21"/>
  <c r="Q58" i="21" s="1"/>
  <c r="N58" i="21"/>
  <c r="M57" i="21"/>
  <c r="O60" i="21"/>
  <c r="S60" i="21" s="1"/>
  <c r="D34" i="13"/>
  <c r="H33" i="13"/>
  <c r="J33" i="13" s="1"/>
  <c r="G32" i="13"/>
  <c r="K31" i="13"/>
  <c r="F33" i="13"/>
  <c r="E34" i="13"/>
  <c r="T59" i="21" l="1"/>
  <c r="R59" i="21"/>
  <c r="N57" i="21"/>
  <c r="P57" i="21"/>
  <c r="Q57" i="21" s="1"/>
  <c r="M56" i="21"/>
  <c r="O59" i="21"/>
  <c r="S59" i="21" s="1"/>
  <c r="E35" i="13"/>
  <c r="F34" i="13"/>
  <c r="G33" i="13"/>
  <c r="K32" i="13"/>
  <c r="D35" i="13"/>
  <c r="H34" i="13"/>
  <c r="J34" i="13" s="1"/>
  <c r="L32" i="13"/>
  <c r="T58" i="21" l="1"/>
  <c r="O57" i="21"/>
  <c r="O58" i="21"/>
  <c r="R58" i="21"/>
  <c r="N56" i="21"/>
  <c r="P56" i="21"/>
  <c r="Q56" i="21" s="1"/>
  <c r="M55" i="21"/>
  <c r="D36" i="13"/>
  <c r="H35" i="13"/>
  <c r="J35" i="13" s="1"/>
  <c r="G34" i="13"/>
  <c r="K33" i="13"/>
  <c r="F35" i="13"/>
  <c r="E36" i="13"/>
  <c r="L33" i="13"/>
  <c r="R57" i="21" l="1"/>
  <c r="S57" i="21" s="1"/>
  <c r="S58" i="21"/>
  <c r="T57" i="21" s="1"/>
  <c r="O56" i="21"/>
  <c r="P55" i="21"/>
  <c r="Q55" i="21" s="1"/>
  <c r="N55" i="21"/>
  <c r="M54" i="21"/>
  <c r="E37" i="13"/>
  <c r="F36" i="13"/>
  <c r="G35" i="13"/>
  <c r="K34" i="13"/>
  <c r="D37" i="13"/>
  <c r="H36" i="13"/>
  <c r="J36" i="13" s="1"/>
  <c r="L34" i="13"/>
  <c r="T56" i="21" l="1"/>
  <c r="O55" i="21"/>
  <c r="R56" i="21"/>
  <c r="S56" i="21" s="1"/>
  <c r="P54" i="21"/>
  <c r="Q54" i="21" s="1"/>
  <c r="N54" i="21"/>
  <c r="R55" i="21"/>
  <c r="M53" i="21"/>
  <c r="D38" i="13"/>
  <c r="H37" i="13"/>
  <c r="J37" i="13" s="1"/>
  <c r="G36" i="13"/>
  <c r="K35" i="13"/>
  <c r="F37" i="13"/>
  <c r="E38" i="13"/>
  <c r="L35" i="13"/>
  <c r="T55" i="21" l="1"/>
  <c r="P53" i="21"/>
  <c r="Q53" i="21" s="1"/>
  <c r="N53" i="21"/>
  <c r="M52" i="21"/>
  <c r="S55" i="21"/>
  <c r="T54" i="21" s="1"/>
  <c r="E39" i="13"/>
  <c r="F38" i="13"/>
  <c r="G37" i="13"/>
  <c r="K36" i="13"/>
  <c r="D39" i="13"/>
  <c r="H38" i="13"/>
  <c r="J38" i="13" s="1"/>
  <c r="L36" i="13"/>
  <c r="N52" i="21" l="1"/>
  <c r="P52" i="21"/>
  <c r="Q52" i="21" s="1"/>
  <c r="M51" i="21"/>
  <c r="O54" i="21"/>
  <c r="R54" i="21"/>
  <c r="D40" i="13"/>
  <c r="H39" i="13"/>
  <c r="J39" i="13" s="1"/>
  <c r="G38" i="13"/>
  <c r="K37" i="13"/>
  <c r="F39" i="13"/>
  <c r="E40" i="13"/>
  <c r="L37" i="13"/>
  <c r="S54" i="21" l="1"/>
  <c r="T53" i="21" s="1"/>
  <c r="P51" i="21"/>
  <c r="Q51" i="21" s="1"/>
  <c r="N51" i="21"/>
  <c r="O52" i="21" s="1"/>
  <c r="M50" i="21"/>
  <c r="O53" i="21"/>
  <c r="R53" i="21"/>
  <c r="E41" i="13"/>
  <c r="F40" i="13"/>
  <c r="G39" i="13"/>
  <c r="K38" i="13"/>
  <c r="D41" i="13"/>
  <c r="H40" i="13"/>
  <c r="J40" i="13" s="1"/>
  <c r="L38" i="13"/>
  <c r="S53" i="21" l="1"/>
  <c r="T52" i="21" s="1"/>
  <c r="R52" i="21"/>
  <c r="P50" i="21"/>
  <c r="Q50" i="21" s="1"/>
  <c r="N50" i="21"/>
  <c r="R51" i="21"/>
  <c r="M49" i="21"/>
  <c r="S52" i="21"/>
  <c r="D42" i="13"/>
  <c r="H41" i="13"/>
  <c r="J41" i="13" s="1"/>
  <c r="G40" i="13"/>
  <c r="L40" i="13" s="1"/>
  <c r="K39" i="13"/>
  <c r="F41" i="13"/>
  <c r="E42" i="13"/>
  <c r="L39" i="13"/>
  <c r="T51" i="21" l="1"/>
  <c r="N49" i="21"/>
  <c r="P49" i="21"/>
  <c r="Q49" i="21" s="1"/>
  <c r="M48" i="21"/>
  <c r="O51" i="21"/>
  <c r="S51" i="21" s="1"/>
  <c r="T50" i="21" s="1"/>
  <c r="G41" i="13"/>
  <c r="K40" i="13"/>
  <c r="D43" i="13"/>
  <c r="H42" i="13"/>
  <c r="J42" i="13" s="1"/>
  <c r="E43" i="13"/>
  <c r="F42" i="13"/>
  <c r="O50" i="21" l="1"/>
  <c r="R50" i="21"/>
  <c r="P48" i="21"/>
  <c r="Q48" i="21" s="1"/>
  <c r="N48" i="21"/>
  <c r="R49" i="21"/>
  <c r="M47" i="21"/>
  <c r="F43" i="13"/>
  <c r="E44" i="13"/>
  <c r="D44" i="13"/>
  <c r="H43" i="13"/>
  <c r="J43" i="13" s="1"/>
  <c r="G42" i="13"/>
  <c r="K41" i="13"/>
  <c r="L41" i="13"/>
  <c r="N47" i="21" l="1"/>
  <c r="P47" i="21"/>
  <c r="Q47" i="21" s="1"/>
  <c r="M46" i="21"/>
  <c r="S50" i="21"/>
  <c r="T49" i="21" s="1"/>
  <c r="O48" i="21"/>
  <c r="O49" i="21"/>
  <c r="S49" i="21" s="1"/>
  <c r="G43" i="13"/>
  <c r="K42" i="13"/>
  <c r="D45" i="13"/>
  <c r="H44" i="13"/>
  <c r="J44" i="13" s="1"/>
  <c r="E45" i="13"/>
  <c r="F44" i="13"/>
  <c r="L42" i="13"/>
  <c r="T48" i="21" l="1"/>
  <c r="R48" i="21"/>
  <c r="S48" i="21" s="1"/>
  <c r="O47" i="21"/>
  <c r="P46" i="21"/>
  <c r="Q46" i="21" s="1"/>
  <c r="N46" i="21"/>
  <c r="M45" i="21"/>
  <c r="F45" i="13"/>
  <c r="E46" i="13"/>
  <c r="D46" i="13"/>
  <c r="H45" i="13"/>
  <c r="J45" i="13" s="1"/>
  <c r="G44" i="13"/>
  <c r="K43" i="13"/>
  <c r="L43" i="13"/>
  <c r="R47" i="21" l="1"/>
  <c r="S47" i="21" s="1"/>
  <c r="T47" i="21"/>
  <c r="P45" i="21"/>
  <c r="Q45" i="21" s="1"/>
  <c r="N45" i="21"/>
  <c r="M44" i="21"/>
  <c r="G45" i="13"/>
  <c r="K44" i="13"/>
  <c r="D47" i="13"/>
  <c r="H46" i="13"/>
  <c r="J46" i="13" s="1"/>
  <c r="E47" i="13"/>
  <c r="F46" i="13"/>
  <c r="L44" i="13"/>
  <c r="T46" i="21" l="1"/>
  <c r="R46" i="21"/>
  <c r="P44" i="21"/>
  <c r="Q44" i="21" s="1"/>
  <c r="N44" i="21"/>
  <c r="M43" i="21"/>
  <c r="O46" i="21"/>
  <c r="S46" i="21" s="1"/>
  <c r="F47" i="13"/>
  <c r="E48" i="13"/>
  <c r="D48" i="13"/>
  <c r="H47" i="13"/>
  <c r="J47" i="13" s="1"/>
  <c r="G46" i="13"/>
  <c r="K45" i="13"/>
  <c r="L45" i="13"/>
  <c r="T45" i="21" l="1"/>
  <c r="N43" i="21"/>
  <c r="O44" i="21" s="1"/>
  <c r="P43" i="21"/>
  <c r="Q43" i="21" s="1"/>
  <c r="M42" i="21"/>
  <c r="O45" i="21"/>
  <c r="R45" i="21"/>
  <c r="G47" i="13"/>
  <c r="K46" i="13"/>
  <c r="D49" i="13"/>
  <c r="H48" i="13"/>
  <c r="J48" i="13" s="1"/>
  <c r="E49" i="13"/>
  <c r="F48" i="13"/>
  <c r="L46" i="13"/>
  <c r="S45" i="21" l="1"/>
  <c r="T44" i="21" s="1"/>
  <c r="R44" i="21"/>
  <c r="P42" i="21"/>
  <c r="Q42" i="21" s="1"/>
  <c r="N42" i="21"/>
  <c r="O43" i="21" s="1"/>
  <c r="M41" i="21"/>
  <c r="S44" i="21"/>
  <c r="F49" i="13"/>
  <c r="E50" i="13"/>
  <c r="D50" i="13"/>
  <c r="H49" i="13"/>
  <c r="J49" i="13" s="1"/>
  <c r="G48" i="13"/>
  <c r="K47" i="13"/>
  <c r="L47" i="13"/>
  <c r="T43" i="21" l="1"/>
  <c r="R43" i="21"/>
  <c r="S43" i="21"/>
  <c r="P41" i="21"/>
  <c r="Q41" i="21" s="1"/>
  <c r="N41" i="21"/>
  <c r="M40" i="21"/>
  <c r="G49" i="13"/>
  <c r="K48" i="13"/>
  <c r="D51" i="13"/>
  <c r="H50" i="13"/>
  <c r="J50" i="13" s="1"/>
  <c r="E51" i="13"/>
  <c r="F50" i="13"/>
  <c r="L48" i="13"/>
  <c r="T42" i="21" l="1"/>
  <c r="P40" i="21"/>
  <c r="Q40" i="21" s="1"/>
  <c r="N40" i="21"/>
  <c r="O41" i="21" s="1"/>
  <c r="M39" i="21"/>
  <c r="O42" i="21"/>
  <c r="R42" i="21"/>
  <c r="F51" i="13"/>
  <c r="E52" i="13"/>
  <c r="D52" i="13"/>
  <c r="H51" i="13"/>
  <c r="J51" i="13" s="1"/>
  <c r="G50" i="13"/>
  <c r="K49" i="13"/>
  <c r="L49" i="13"/>
  <c r="S42" i="21" l="1"/>
  <c r="T41" i="21" s="1"/>
  <c r="R41" i="21"/>
  <c r="R40" i="21"/>
  <c r="P39" i="21"/>
  <c r="Q39" i="21" s="1"/>
  <c r="N39" i="21"/>
  <c r="M38" i="21"/>
  <c r="S41" i="21"/>
  <c r="G51" i="13"/>
  <c r="K50" i="13"/>
  <c r="D53" i="13"/>
  <c r="H52" i="13"/>
  <c r="J52" i="13" s="1"/>
  <c r="E53" i="13"/>
  <c r="F52" i="13"/>
  <c r="L51" i="13"/>
  <c r="L50" i="13"/>
  <c r="T40" i="21" l="1"/>
  <c r="P38" i="21"/>
  <c r="Q38" i="21" s="1"/>
  <c r="R39" i="21"/>
  <c r="N38" i="21"/>
  <c r="M37" i="21"/>
  <c r="O40" i="21"/>
  <c r="S40" i="21" s="1"/>
  <c r="F53" i="13"/>
  <c r="E54" i="13"/>
  <c r="D54" i="13"/>
  <c r="H53" i="13"/>
  <c r="J53" i="13" s="1"/>
  <c r="G52" i="13"/>
  <c r="K51" i="13"/>
  <c r="T39" i="21" l="1"/>
  <c r="O39" i="21"/>
  <c r="S39" i="21" s="1"/>
  <c r="P37" i="21"/>
  <c r="Q37" i="21" s="1"/>
  <c r="N37" i="21"/>
  <c r="M36" i="21"/>
  <c r="G53" i="13"/>
  <c r="K52" i="13"/>
  <c r="D55" i="13"/>
  <c r="H54" i="13"/>
  <c r="J54" i="13" s="1"/>
  <c r="L52" i="13"/>
  <c r="E55" i="13"/>
  <c r="F54" i="13"/>
  <c r="L53" i="13"/>
  <c r="T38" i="21" l="1"/>
  <c r="R38" i="21"/>
  <c r="N36" i="21"/>
  <c r="O37" i="21" s="1"/>
  <c r="P36" i="21"/>
  <c r="Q36" i="21" s="1"/>
  <c r="M35" i="21"/>
  <c r="O38" i="21"/>
  <c r="S38" i="21" s="1"/>
  <c r="F55" i="13"/>
  <c r="E56" i="13"/>
  <c r="D56" i="13"/>
  <c r="H55" i="13"/>
  <c r="J55" i="13" s="1"/>
  <c r="G54" i="13"/>
  <c r="K53" i="13"/>
  <c r="T37" i="21" l="1"/>
  <c r="R37" i="21"/>
  <c r="S37" i="21" s="1"/>
  <c r="O36" i="21"/>
  <c r="N35" i="21"/>
  <c r="P35" i="21"/>
  <c r="Q35" i="21" s="1"/>
  <c r="M34" i="21"/>
  <c r="G55" i="13"/>
  <c r="K54" i="13"/>
  <c r="D57" i="13"/>
  <c r="H56" i="13"/>
  <c r="J56" i="13" s="1"/>
  <c r="L54" i="13"/>
  <c r="E57" i="13"/>
  <c r="F56" i="13"/>
  <c r="L55" i="13"/>
  <c r="T36" i="21" l="1"/>
  <c r="P34" i="21"/>
  <c r="Q34" i="21" s="1"/>
  <c r="R35" i="21"/>
  <c r="N34" i="21"/>
  <c r="M33" i="21"/>
  <c r="R36" i="21"/>
  <c r="S36" i="21" s="1"/>
  <c r="F57" i="13"/>
  <c r="E58" i="13"/>
  <c r="D58" i="13"/>
  <c r="H57" i="13"/>
  <c r="J57" i="13" s="1"/>
  <c r="G56" i="13"/>
  <c r="K55" i="13"/>
  <c r="T35" i="21" l="1"/>
  <c r="O35" i="21"/>
  <c r="S35" i="21" s="1"/>
  <c r="N33" i="21"/>
  <c r="P33" i="21"/>
  <c r="Q33" i="21" s="1"/>
  <c r="M32" i="21"/>
  <c r="G57" i="13"/>
  <c r="K56" i="13"/>
  <c r="D59" i="13"/>
  <c r="H58" i="13"/>
  <c r="J58" i="13" s="1"/>
  <c r="L56" i="13"/>
  <c r="E59" i="13"/>
  <c r="F58" i="13"/>
  <c r="L57" i="13"/>
  <c r="T34" i="21" l="1"/>
  <c r="N32" i="21"/>
  <c r="P32" i="21"/>
  <c r="Q32" i="21" s="1"/>
  <c r="M31" i="21"/>
  <c r="O34" i="21"/>
  <c r="R34" i="21"/>
  <c r="F59" i="13"/>
  <c r="E60" i="13"/>
  <c r="D60" i="13"/>
  <c r="H59" i="13"/>
  <c r="J59" i="13" s="1"/>
  <c r="G58" i="13"/>
  <c r="K57" i="13"/>
  <c r="R33" i="21" l="1"/>
  <c r="S34" i="21"/>
  <c r="T33" i="21" s="1"/>
  <c r="O32" i="21"/>
  <c r="N31" i="21"/>
  <c r="P31" i="21"/>
  <c r="Q31" i="21" s="1"/>
  <c r="M30" i="21"/>
  <c r="O33" i="21"/>
  <c r="G59" i="13"/>
  <c r="K58" i="13"/>
  <c r="D61" i="13"/>
  <c r="H60" i="13"/>
  <c r="J60" i="13" s="1"/>
  <c r="L58" i="13"/>
  <c r="E61" i="13"/>
  <c r="F60" i="13"/>
  <c r="L59" i="13"/>
  <c r="S33" i="21" l="1"/>
  <c r="T32" i="21" s="1"/>
  <c r="R32" i="21"/>
  <c r="S32" i="21" s="1"/>
  <c r="P30" i="21"/>
  <c r="Q30" i="21" s="1"/>
  <c r="N30" i="21"/>
  <c r="M29" i="21"/>
  <c r="F61" i="13"/>
  <c r="E62" i="13"/>
  <c r="D62" i="13"/>
  <c r="H61" i="13"/>
  <c r="J61" i="13" s="1"/>
  <c r="G60" i="13"/>
  <c r="K59" i="13"/>
  <c r="T31" i="21" l="1"/>
  <c r="R31" i="21"/>
  <c r="P29" i="21"/>
  <c r="Q29" i="21" s="1"/>
  <c r="N29" i="21"/>
  <c r="M28" i="21"/>
  <c r="O31" i="21"/>
  <c r="G61" i="13"/>
  <c r="K60" i="13"/>
  <c r="D63" i="13"/>
  <c r="H62" i="13"/>
  <c r="J62" i="13" s="1"/>
  <c r="L60" i="13"/>
  <c r="E63" i="13"/>
  <c r="F62" i="13"/>
  <c r="L61" i="13"/>
  <c r="S31" i="21" l="1"/>
  <c r="T30" i="21" s="1"/>
  <c r="O29" i="21"/>
  <c r="O30" i="21"/>
  <c r="R30" i="21"/>
  <c r="N28" i="21"/>
  <c r="P28" i="21"/>
  <c r="Q28" i="21" s="1"/>
  <c r="M27" i="21"/>
  <c r="F63" i="13"/>
  <c r="E64" i="13"/>
  <c r="D64" i="13"/>
  <c r="H63" i="13"/>
  <c r="J63" i="13" s="1"/>
  <c r="G62" i="13"/>
  <c r="K61" i="13"/>
  <c r="P27" i="21" l="1"/>
  <c r="Q27" i="21" s="1"/>
  <c r="N27" i="21"/>
  <c r="S30" i="21"/>
  <c r="T29" i="21" s="1"/>
  <c r="R29" i="21"/>
  <c r="S29" i="21" s="1"/>
  <c r="G63" i="13"/>
  <c r="L63" i="13" s="1"/>
  <c r="K62" i="13"/>
  <c r="D65" i="13"/>
  <c r="H64" i="13"/>
  <c r="J64" i="13" s="1"/>
  <c r="L62" i="13"/>
  <c r="E65" i="13"/>
  <c r="F64" i="13"/>
  <c r="T28" i="21" l="1"/>
  <c r="R28" i="21"/>
  <c r="O28" i="21"/>
  <c r="P26" i="21"/>
  <c r="Q26" i="21" s="1"/>
  <c r="N26" i="21"/>
  <c r="F65" i="13"/>
  <c r="E66" i="13"/>
  <c r="D66" i="13"/>
  <c r="H66" i="13" s="1"/>
  <c r="J66" i="13" s="1"/>
  <c r="H65" i="13"/>
  <c r="J65" i="13" s="1"/>
  <c r="G64" i="13"/>
  <c r="K63" i="13"/>
  <c r="S28" i="21" l="1"/>
  <c r="T27" i="21" s="1"/>
  <c r="P17" i="21" s="1"/>
  <c r="O18" i="21"/>
  <c r="P18" i="21"/>
  <c r="O27" i="21"/>
  <c r="G65" i="13"/>
  <c r="K64" i="13"/>
  <c r="L64" i="13"/>
  <c r="F66" i="13"/>
  <c r="L65" i="13"/>
  <c r="P19" i="21" l="1"/>
  <c r="S27" i="21"/>
  <c r="G66" i="13"/>
  <c r="K66" i="13" s="1"/>
  <c r="K65" i="13"/>
  <c r="T26" i="21" l="1"/>
  <c r="O17" i="21" s="1"/>
  <c r="O19" i="21" s="1"/>
  <c r="S19" i="21"/>
  <c r="L66" i="13"/>
  <c r="M65" i="13"/>
  <c r="M64" i="13" s="1"/>
  <c r="P65" i="13" l="1"/>
  <c r="Q65" i="13" s="1"/>
  <c r="N65" i="13"/>
  <c r="P64" i="13"/>
  <c r="Q64" i="13" s="1"/>
  <c r="N64" i="13"/>
  <c r="M63" i="13"/>
  <c r="R65" i="13" l="1"/>
  <c r="P63" i="13"/>
  <c r="Q63" i="13" s="1"/>
  <c r="N63" i="13"/>
  <c r="M62" i="13"/>
  <c r="O66" i="13"/>
  <c r="O65" i="13"/>
  <c r="S65" i="13" s="1"/>
  <c r="O64" i="13"/>
  <c r="R66" i="13"/>
  <c r="S66" i="13" l="1"/>
  <c r="R64" i="13"/>
  <c r="S64" i="13" s="1"/>
  <c r="P62" i="13"/>
  <c r="Q62" i="13" s="1"/>
  <c r="N62" i="13"/>
  <c r="M61" i="13"/>
  <c r="R63" i="13" l="1"/>
  <c r="P61" i="13"/>
  <c r="Q61" i="13" s="1"/>
  <c r="N61" i="13"/>
  <c r="O62" i="13" s="1"/>
  <c r="M60" i="13"/>
  <c r="O63" i="13"/>
  <c r="T65" i="13"/>
  <c r="T64" i="13" s="1"/>
  <c r="T63" i="13" s="1"/>
  <c r="S63" i="13" l="1"/>
  <c r="T62" i="13" s="1"/>
  <c r="P60" i="13"/>
  <c r="Q60" i="13" s="1"/>
  <c r="R61" i="13" s="1"/>
  <c r="N60" i="13"/>
  <c r="O61" i="13" s="1"/>
  <c r="M59" i="13"/>
  <c r="R62" i="13"/>
  <c r="S62" i="13" s="1"/>
  <c r="S61" i="13" l="1"/>
  <c r="T61" i="13"/>
  <c r="P59" i="13"/>
  <c r="Q59" i="13" s="1"/>
  <c r="R60" i="13" s="1"/>
  <c r="N59" i="13"/>
  <c r="M58" i="13"/>
  <c r="O60" i="13"/>
  <c r="T60" i="13" l="1"/>
  <c r="S60" i="13"/>
  <c r="P58" i="13"/>
  <c r="Q58" i="13" s="1"/>
  <c r="R59" i="13" s="1"/>
  <c r="N58" i="13"/>
  <c r="M57" i="13"/>
  <c r="T59" i="13" l="1"/>
  <c r="P57" i="13"/>
  <c r="Q57" i="13" s="1"/>
  <c r="N57" i="13"/>
  <c r="O58" i="13" s="1"/>
  <c r="M56" i="13"/>
  <c r="O59" i="13"/>
  <c r="S59" i="13" s="1"/>
  <c r="T58" i="13" l="1"/>
  <c r="P56" i="13"/>
  <c r="Q56" i="13" s="1"/>
  <c r="R57" i="13" s="1"/>
  <c r="N56" i="13"/>
  <c r="O57" i="13" s="1"/>
  <c r="M55" i="13"/>
  <c r="R58" i="13"/>
  <c r="S58" i="13" s="1"/>
  <c r="S57" i="13" l="1"/>
  <c r="T57" i="13"/>
  <c r="P55" i="13"/>
  <c r="Q55" i="13" s="1"/>
  <c r="N55" i="13"/>
  <c r="O56" i="13" s="1"/>
  <c r="M54" i="13"/>
  <c r="T56" i="13" l="1"/>
  <c r="R56" i="13"/>
  <c r="S56" i="13" s="1"/>
  <c r="P54" i="13"/>
  <c r="Q54" i="13" s="1"/>
  <c r="N54" i="13"/>
  <c r="M53" i="13"/>
  <c r="T55" i="13" l="1"/>
  <c r="R55" i="13"/>
  <c r="P53" i="13"/>
  <c r="Q53" i="13" s="1"/>
  <c r="N53" i="13"/>
  <c r="O54" i="13" s="1"/>
  <c r="M52" i="13"/>
  <c r="O55" i="13"/>
  <c r="S55" i="13" l="1"/>
  <c r="R54" i="13"/>
  <c r="S54" i="13" s="1"/>
  <c r="T54" i="13"/>
  <c r="P52" i="13"/>
  <c r="Q52" i="13" s="1"/>
  <c r="R53" i="13" s="1"/>
  <c r="N52" i="13"/>
  <c r="M51" i="13"/>
  <c r="T53" i="13" l="1"/>
  <c r="P51" i="13"/>
  <c r="Q51" i="13" s="1"/>
  <c r="N51" i="13"/>
  <c r="M50" i="13"/>
  <c r="O52" i="13"/>
  <c r="O53" i="13"/>
  <c r="S53" i="13" s="1"/>
  <c r="T52" i="13" l="1"/>
  <c r="P50" i="13"/>
  <c r="Q50" i="13" s="1"/>
  <c r="R51" i="13" s="1"/>
  <c r="N50" i="13"/>
  <c r="O51" i="13" s="1"/>
  <c r="M49" i="13"/>
  <c r="R52" i="13"/>
  <c r="S52" i="13" s="1"/>
  <c r="S51" i="13" l="1"/>
  <c r="T51" i="13"/>
  <c r="P49" i="13"/>
  <c r="Q49" i="13" s="1"/>
  <c r="R50" i="13" s="1"/>
  <c r="N49" i="13"/>
  <c r="O50" i="13" s="1"/>
  <c r="M48" i="13"/>
  <c r="T50" i="13" l="1"/>
  <c r="S50" i="13"/>
  <c r="T49" i="13" s="1"/>
  <c r="P48" i="13"/>
  <c r="Q48" i="13" s="1"/>
  <c r="N48" i="13"/>
  <c r="M47" i="13"/>
  <c r="R49" i="13" l="1"/>
  <c r="P47" i="13"/>
  <c r="Q47" i="13" s="1"/>
  <c r="N47" i="13"/>
  <c r="O48" i="13" s="1"/>
  <c r="M46" i="13"/>
  <c r="O49" i="13"/>
  <c r="S49" i="13" l="1"/>
  <c r="T48" i="13" s="1"/>
  <c r="R48" i="13"/>
  <c r="S48" i="13" s="1"/>
  <c r="P46" i="13"/>
  <c r="Q46" i="13" s="1"/>
  <c r="N46" i="13"/>
  <c r="M45" i="13"/>
  <c r="R47" i="13" l="1"/>
  <c r="T47" i="13"/>
  <c r="P45" i="13"/>
  <c r="Q45" i="13" s="1"/>
  <c r="N45" i="13"/>
  <c r="O46" i="13" s="1"/>
  <c r="M44" i="13"/>
  <c r="O47" i="13"/>
  <c r="S47" i="13" l="1"/>
  <c r="T46" i="13" s="1"/>
  <c r="P44" i="13"/>
  <c r="Q44" i="13" s="1"/>
  <c r="N44" i="13"/>
  <c r="O45" i="13" s="1"/>
  <c r="M43" i="13"/>
  <c r="R46" i="13"/>
  <c r="S46" i="13" s="1"/>
  <c r="R45" i="13" l="1"/>
  <c r="S45" i="13" s="1"/>
  <c r="T45" i="13"/>
  <c r="P43" i="13"/>
  <c r="Q43" i="13" s="1"/>
  <c r="N43" i="13"/>
  <c r="O44" i="13" s="1"/>
  <c r="M42" i="13"/>
  <c r="T44" i="13" l="1"/>
  <c r="R44" i="13"/>
  <c r="S44" i="13" s="1"/>
  <c r="P42" i="13"/>
  <c r="Q42" i="13" s="1"/>
  <c r="N42" i="13"/>
  <c r="M41" i="13"/>
  <c r="R43" i="13" l="1"/>
  <c r="T43" i="13"/>
  <c r="P41" i="13"/>
  <c r="Q41" i="13" s="1"/>
  <c r="N41" i="13"/>
  <c r="O42" i="13" s="1"/>
  <c r="M40" i="13"/>
  <c r="O43" i="13"/>
  <c r="S43" i="13" l="1"/>
  <c r="T42" i="13" s="1"/>
  <c r="P40" i="13"/>
  <c r="Q40" i="13" s="1"/>
  <c r="R41" i="13" s="1"/>
  <c r="N40" i="13"/>
  <c r="O41" i="13" s="1"/>
  <c r="M39" i="13"/>
  <c r="R42" i="13"/>
  <c r="S42" i="13" s="1"/>
  <c r="S41" i="13" l="1"/>
  <c r="T41" i="13"/>
  <c r="P39" i="13"/>
  <c r="Q39" i="13" s="1"/>
  <c r="R40" i="13" s="1"/>
  <c r="N39" i="13"/>
  <c r="M38" i="13"/>
  <c r="O40" i="13"/>
  <c r="T40" i="13" l="1"/>
  <c r="S40" i="13"/>
  <c r="P38" i="13"/>
  <c r="Q38" i="13" s="1"/>
  <c r="N38" i="13"/>
  <c r="M37" i="13"/>
  <c r="T39" i="13" l="1"/>
  <c r="R39" i="13"/>
  <c r="P37" i="13"/>
  <c r="Q37" i="13" s="1"/>
  <c r="R38" i="13" s="1"/>
  <c r="N37" i="13"/>
  <c r="O38" i="13" s="1"/>
  <c r="M36" i="13"/>
  <c r="O39" i="13"/>
  <c r="S39" i="13" l="1"/>
  <c r="T38" i="13" s="1"/>
  <c r="S38" i="13"/>
  <c r="P36" i="13"/>
  <c r="Q36" i="13" s="1"/>
  <c r="N36" i="13"/>
  <c r="O37" i="13" s="1"/>
  <c r="M35" i="13"/>
  <c r="T37" i="13" l="1"/>
  <c r="R37" i="13"/>
  <c r="S37" i="13" s="1"/>
  <c r="P35" i="13"/>
  <c r="Q35" i="13" s="1"/>
  <c r="R36" i="13" s="1"/>
  <c r="N35" i="13"/>
  <c r="M34" i="13"/>
  <c r="T36" i="13" l="1"/>
  <c r="P34" i="13"/>
  <c r="Q34" i="13" s="1"/>
  <c r="N34" i="13"/>
  <c r="O35" i="13" s="1"/>
  <c r="M33" i="13"/>
  <c r="O36" i="13"/>
  <c r="S36" i="13" s="1"/>
  <c r="T35" i="13" l="1"/>
  <c r="P33" i="13"/>
  <c r="Q33" i="13" s="1"/>
  <c r="R34" i="13" s="1"/>
  <c r="N33" i="13"/>
  <c r="O34" i="13" s="1"/>
  <c r="M32" i="13"/>
  <c r="R35" i="13"/>
  <c r="S35" i="13" s="1"/>
  <c r="S34" i="13" l="1"/>
  <c r="T34" i="13"/>
  <c r="P32" i="13"/>
  <c r="Q32" i="13" s="1"/>
  <c r="N32" i="13"/>
  <c r="M31" i="13"/>
  <c r="O33" i="13"/>
  <c r="T33" i="13" l="1"/>
  <c r="R33" i="13"/>
  <c r="S33" i="13" s="1"/>
  <c r="P31" i="13"/>
  <c r="Q31" i="13" s="1"/>
  <c r="N31" i="13"/>
  <c r="M30" i="13"/>
  <c r="R32" i="13" l="1"/>
  <c r="T32" i="13"/>
  <c r="P30" i="13"/>
  <c r="Q30" i="13" s="1"/>
  <c r="N30" i="13"/>
  <c r="O31" i="13" s="1"/>
  <c r="M29" i="13"/>
  <c r="O32" i="13"/>
  <c r="S32" i="13" l="1"/>
  <c r="T31" i="13" s="1"/>
  <c r="R31" i="13"/>
  <c r="S31" i="13" s="1"/>
  <c r="P29" i="13"/>
  <c r="Q29" i="13" s="1"/>
  <c r="N29" i="13"/>
  <c r="M28" i="13"/>
  <c r="R30" i="13" l="1"/>
  <c r="T30" i="13"/>
  <c r="P28" i="13"/>
  <c r="Q28" i="13" s="1"/>
  <c r="N28" i="13"/>
  <c r="O29" i="13" s="1"/>
  <c r="M27" i="13"/>
  <c r="O30" i="13"/>
  <c r="S30" i="13" l="1"/>
  <c r="T29" i="13" s="1"/>
  <c r="R29" i="13"/>
  <c r="S29" i="13" s="1"/>
  <c r="P27" i="13"/>
  <c r="Q27" i="13" s="1"/>
  <c r="N27" i="13"/>
  <c r="M26" i="13"/>
  <c r="R28" i="13" l="1"/>
  <c r="T28" i="13"/>
  <c r="N26" i="13"/>
  <c r="O27" i="13" s="1"/>
  <c r="P26" i="13"/>
  <c r="Q26" i="13" s="1"/>
  <c r="O28" i="13"/>
  <c r="S28" i="13" l="1"/>
  <c r="T27" i="13" s="1"/>
  <c r="O18" i="13"/>
  <c r="R27" i="13"/>
  <c r="S27" i="13" s="1"/>
  <c r="T26" i="13" l="1"/>
  <c r="O17" i="13" s="1"/>
  <c r="O19" i="13" s="1"/>
  <c r="T66" i="2" l="1"/>
  <c r="M66" i="2" l="1"/>
  <c r="P66" i="2" s="1"/>
  <c r="Q66" i="2" s="1"/>
  <c r="E27" i="2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F28" i="16" l="1"/>
  <c r="L28" i="16" s="1"/>
  <c r="F28" i="17"/>
  <c r="F29" i="2"/>
  <c r="I27" i="2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F29" i="17" l="1"/>
  <c r="F29" i="16"/>
  <c r="L29" i="16" s="1"/>
  <c r="F30" i="2"/>
  <c r="N66" i="2"/>
  <c r="F30" i="16" l="1"/>
  <c r="L30" i="16" s="1"/>
  <c r="F30" i="17"/>
  <c r="F31" i="2"/>
  <c r="H27" i="2"/>
  <c r="B28" i="2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J27" i="2" l="1"/>
  <c r="G27" i="2" s="1"/>
  <c r="E5" i="7" s="1"/>
  <c r="G5" i="7" s="1"/>
  <c r="H27" i="17"/>
  <c r="J27" i="17" s="1"/>
  <c r="G27" i="17" s="1"/>
  <c r="F31" i="16"/>
  <c r="L31" i="16" s="1"/>
  <c r="F31" i="17"/>
  <c r="F32" i="2"/>
  <c r="L27" i="2"/>
  <c r="K27" i="2"/>
  <c r="D28" i="2"/>
  <c r="G28" i="17" l="1"/>
  <c r="L27" i="17"/>
  <c r="K27" i="17"/>
  <c r="F32" i="17"/>
  <c r="F32" i="16"/>
  <c r="L32" i="16" s="1"/>
  <c r="F33" i="2"/>
  <c r="H28" i="2"/>
  <c r="J28" i="2" s="1"/>
  <c r="G28" i="2" s="1"/>
  <c r="D29" i="2"/>
  <c r="G29" i="17" l="1"/>
  <c r="K28" i="17"/>
  <c r="L28" i="17"/>
  <c r="F33" i="17"/>
  <c r="F33" i="16"/>
  <c r="L33" i="16" s="1"/>
  <c r="F34" i="2"/>
  <c r="K28" i="2"/>
  <c r="L28" i="2"/>
  <c r="H29" i="2"/>
  <c r="J29" i="2" s="1"/>
  <c r="G29" i="2" s="1"/>
  <c r="D30" i="2"/>
  <c r="K29" i="17" l="1"/>
  <c r="G30" i="17"/>
  <c r="L29" i="17"/>
  <c r="F34" i="16"/>
  <c r="L34" i="16" s="1"/>
  <c r="F34" i="17"/>
  <c r="F35" i="2"/>
  <c r="L29" i="2"/>
  <c r="K29" i="2"/>
  <c r="H30" i="2"/>
  <c r="J30" i="2" s="1"/>
  <c r="G30" i="2" s="1"/>
  <c r="D31" i="2"/>
  <c r="G31" i="17" l="1"/>
  <c r="K30" i="17"/>
  <c r="L30" i="17"/>
  <c r="F35" i="16"/>
  <c r="L35" i="16" s="1"/>
  <c r="F35" i="17"/>
  <c r="F36" i="2"/>
  <c r="L30" i="2"/>
  <c r="K30" i="2"/>
  <c r="H31" i="2"/>
  <c r="J31" i="2" s="1"/>
  <c r="G31" i="2" s="1"/>
  <c r="D32" i="2"/>
  <c r="G32" i="17" l="1"/>
  <c r="K31" i="17"/>
  <c r="L31" i="17"/>
  <c r="F36" i="17"/>
  <c r="F36" i="16"/>
  <c r="L36" i="16" s="1"/>
  <c r="F37" i="2"/>
  <c r="K31" i="2"/>
  <c r="L31" i="2"/>
  <c r="H32" i="2"/>
  <c r="J32" i="2" s="1"/>
  <c r="G32" i="2" s="1"/>
  <c r="D33" i="2"/>
  <c r="K32" i="17" l="1"/>
  <c r="G33" i="17"/>
  <c r="L32" i="17"/>
  <c r="F37" i="17"/>
  <c r="F37" i="16"/>
  <c r="L37" i="16" s="1"/>
  <c r="F38" i="2"/>
  <c r="L32" i="2"/>
  <c r="K32" i="2"/>
  <c r="H33" i="2"/>
  <c r="J33" i="2" s="1"/>
  <c r="G33" i="2" s="1"/>
  <c r="D34" i="2"/>
  <c r="G34" i="17" l="1"/>
  <c r="K33" i="17"/>
  <c r="L33" i="17"/>
  <c r="F38" i="16"/>
  <c r="L38" i="16" s="1"/>
  <c r="F38" i="17"/>
  <c r="F39" i="2"/>
  <c r="K33" i="2"/>
  <c r="L33" i="2"/>
  <c r="H34" i="2"/>
  <c r="J34" i="2" s="1"/>
  <c r="G34" i="2" s="1"/>
  <c r="K34" i="2" s="1"/>
  <c r="D35" i="2"/>
  <c r="K34" i="17" l="1"/>
  <c r="G35" i="17"/>
  <c r="L34" i="17"/>
  <c r="F39" i="16"/>
  <c r="L39" i="16" s="1"/>
  <c r="F39" i="17"/>
  <c r="F40" i="2"/>
  <c r="L34" i="2"/>
  <c r="H35" i="2"/>
  <c r="J35" i="2" s="1"/>
  <c r="G35" i="2" s="1"/>
  <c r="D36" i="2"/>
  <c r="K35" i="17" l="1"/>
  <c r="G36" i="17"/>
  <c r="L35" i="17"/>
  <c r="F40" i="17"/>
  <c r="F40" i="16"/>
  <c r="L40" i="16" s="1"/>
  <c r="F41" i="2"/>
  <c r="L35" i="2"/>
  <c r="K35" i="2"/>
  <c r="H36" i="2"/>
  <c r="J36" i="2" s="1"/>
  <c r="G36" i="2" s="1"/>
  <c r="D37" i="2"/>
  <c r="K36" i="17" l="1"/>
  <c r="G37" i="17"/>
  <c r="L36" i="17"/>
  <c r="F41" i="17"/>
  <c r="F41" i="16"/>
  <c r="L41" i="16" s="1"/>
  <c r="F42" i="2"/>
  <c r="K36" i="2"/>
  <c r="L36" i="2"/>
  <c r="H37" i="2"/>
  <c r="J37" i="2" s="1"/>
  <c r="G37" i="2" s="1"/>
  <c r="D38" i="2"/>
  <c r="G38" i="17" l="1"/>
  <c r="K37" i="17"/>
  <c r="L37" i="17"/>
  <c r="F42" i="17"/>
  <c r="F42" i="16"/>
  <c r="L42" i="16" s="1"/>
  <c r="F43" i="2"/>
  <c r="K37" i="2"/>
  <c r="L37" i="2"/>
  <c r="H38" i="2"/>
  <c r="J38" i="2" s="1"/>
  <c r="G38" i="2" s="1"/>
  <c r="K38" i="2" s="1"/>
  <c r="D39" i="2"/>
  <c r="K38" i="17" l="1"/>
  <c r="G39" i="17"/>
  <c r="L38" i="17"/>
  <c r="F43" i="16"/>
  <c r="L43" i="16" s="1"/>
  <c r="F43" i="17"/>
  <c r="F44" i="2"/>
  <c r="L38" i="2"/>
  <c r="H39" i="2"/>
  <c r="J39" i="2" s="1"/>
  <c r="G39" i="2" s="1"/>
  <c r="D40" i="2"/>
  <c r="K39" i="17" l="1"/>
  <c r="G40" i="17"/>
  <c r="L39" i="17"/>
  <c r="F44" i="17"/>
  <c r="F44" i="16"/>
  <c r="L44" i="16" s="1"/>
  <c r="F45" i="2"/>
  <c r="L39" i="2"/>
  <c r="K39" i="2"/>
  <c r="H40" i="2"/>
  <c r="J40" i="2" s="1"/>
  <c r="G40" i="2" s="1"/>
  <c r="K40" i="2" s="1"/>
  <c r="D41" i="2"/>
  <c r="K40" i="17" l="1"/>
  <c r="G41" i="17"/>
  <c r="L40" i="17"/>
  <c r="F45" i="17"/>
  <c r="F45" i="16"/>
  <c r="L45" i="16" s="1"/>
  <c r="F46" i="2"/>
  <c r="L40" i="2"/>
  <c r="H41" i="2"/>
  <c r="J41" i="2" s="1"/>
  <c r="G41" i="2" s="1"/>
  <c r="D42" i="2"/>
  <c r="K41" i="17" l="1"/>
  <c r="G42" i="17"/>
  <c r="L41" i="17"/>
  <c r="F46" i="16"/>
  <c r="L46" i="16" s="1"/>
  <c r="F46" i="17"/>
  <c r="F47" i="2"/>
  <c r="K41" i="2"/>
  <c r="L41" i="2"/>
  <c r="H42" i="2"/>
  <c r="J42" i="2" s="1"/>
  <c r="G42" i="2" s="1"/>
  <c r="D43" i="2"/>
  <c r="K42" i="17" l="1"/>
  <c r="G43" i="17"/>
  <c r="L42" i="17"/>
  <c r="F47" i="16"/>
  <c r="L47" i="16" s="1"/>
  <c r="F47" i="17"/>
  <c r="F48" i="2"/>
  <c r="K42" i="2"/>
  <c r="L42" i="2"/>
  <c r="H43" i="2"/>
  <c r="J43" i="2" s="1"/>
  <c r="G43" i="2" s="1"/>
  <c r="D44" i="2"/>
  <c r="K43" i="17" l="1"/>
  <c r="G44" i="17"/>
  <c r="L43" i="17"/>
  <c r="F48" i="17"/>
  <c r="F48" i="16"/>
  <c r="L48" i="16" s="1"/>
  <c r="F49" i="2"/>
  <c r="K43" i="2"/>
  <c r="L43" i="2"/>
  <c r="H44" i="2"/>
  <c r="J44" i="2" s="1"/>
  <c r="G44" i="2" s="1"/>
  <c r="D45" i="2"/>
  <c r="K44" i="17" l="1"/>
  <c r="G45" i="17"/>
  <c r="L44" i="17"/>
  <c r="F49" i="17"/>
  <c r="F49" i="16"/>
  <c r="L49" i="16" s="1"/>
  <c r="F50" i="2"/>
  <c r="L44" i="2"/>
  <c r="K44" i="2"/>
  <c r="H45" i="2"/>
  <c r="J45" i="2" s="1"/>
  <c r="G45" i="2" s="1"/>
  <c r="D46" i="2"/>
  <c r="K45" i="17" l="1"/>
  <c r="G46" i="17"/>
  <c r="L45" i="17"/>
  <c r="F50" i="17"/>
  <c r="F50" i="16"/>
  <c r="L50" i="16" s="1"/>
  <c r="F51" i="2"/>
  <c r="L45" i="2"/>
  <c r="K45" i="2"/>
  <c r="H46" i="2"/>
  <c r="J46" i="2" s="1"/>
  <c r="G46" i="2" s="1"/>
  <c r="D47" i="2"/>
  <c r="K46" i="17" l="1"/>
  <c r="G47" i="17"/>
  <c r="L46" i="17"/>
  <c r="F51" i="16"/>
  <c r="L51" i="16" s="1"/>
  <c r="F51" i="17"/>
  <c r="F52" i="2"/>
  <c r="L46" i="2"/>
  <c r="K46" i="2"/>
  <c r="H47" i="2"/>
  <c r="J47" i="2" s="1"/>
  <c r="G47" i="2" s="1"/>
  <c r="D48" i="2"/>
  <c r="K47" i="17" l="1"/>
  <c r="G48" i="17"/>
  <c r="L47" i="17"/>
  <c r="F52" i="17"/>
  <c r="F52" i="16"/>
  <c r="L52" i="16" s="1"/>
  <c r="F53" i="2"/>
  <c r="L47" i="2"/>
  <c r="K47" i="2"/>
  <c r="H48" i="2"/>
  <c r="J48" i="2" s="1"/>
  <c r="G48" i="2" s="1"/>
  <c r="D49" i="2"/>
  <c r="K48" i="17" l="1"/>
  <c r="G49" i="17"/>
  <c r="L48" i="17"/>
  <c r="F53" i="17"/>
  <c r="F53" i="16"/>
  <c r="L53" i="16" s="1"/>
  <c r="F54" i="2"/>
  <c r="K48" i="2"/>
  <c r="L48" i="2"/>
  <c r="H49" i="2"/>
  <c r="J49" i="2" s="1"/>
  <c r="G49" i="2" s="1"/>
  <c r="D50" i="2"/>
  <c r="K49" i="17" l="1"/>
  <c r="G50" i="17"/>
  <c r="L49" i="17"/>
  <c r="F54" i="16"/>
  <c r="L54" i="16" s="1"/>
  <c r="F54" i="17"/>
  <c r="F55" i="2"/>
  <c r="L49" i="2"/>
  <c r="K49" i="2"/>
  <c r="H50" i="2"/>
  <c r="J50" i="2" s="1"/>
  <c r="G50" i="2" s="1"/>
  <c r="D51" i="2"/>
  <c r="K50" i="17" l="1"/>
  <c r="G51" i="17"/>
  <c r="L50" i="17"/>
  <c r="F55" i="16"/>
  <c r="L55" i="16" s="1"/>
  <c r="F55" i="17"/>
  <c r="F56" i="2"/>
  <c r="L50" i="2"/>
  <c r="K50" i="2"/>
  <c r="H51" i="2"/>
  <c r="J51" i="2" s="1"/>
  <c r="G51" i="2" s="1"/>
  <c r="D52" i="2"/>
  <c r="K51" i="17" l="1"/>
  <c r="G52" i="17"/>
  <c r="L51" i="17"/>
  <c r="F56" i="17"/>
  <c r="F56" i="16"/>
  <c r="L56" i="16" s="1"/>
  <c r="F57" i="2"/>
  <c r="K51" i="2"/>
  <c r="L51" i="2"/>
  <c r="H52" i="2"/>
  <c r="J52" i="2" s="1"/>
  <c r="G52" i="2" s="1"/>
  <c r="D53" i="2"/>
  <c r="K52" i="17" l="1"/>
  <c r="G53" i="17"/>
  <c r="L52" i="17"/>
  <c r="F57" i="17"/>
  <c r="F57" i="16"/>
  <c r="L57" i="16" s="1"/>
  <c r="F58" i="2"/>
  <c r="K52" i="2"/>
  <c r="L52" i="2"/>
  <c r="H53" i="2"/>
  <c r="J53" i="2" s="1"/>
  <c r="G53" i="2" s="1"/>
  <c r="D54" i="2"/>
  <c r="K53" i="17" l="1"/>
  <c r="G54" i="17"/>
  <c r="L53" i="17"/>
  <c r="F58" i="17"/>
  <c r="F58" i="16"/>
  <c r="L58" i="16" s="1"/>
  <c r="F59" i="2"/>
  <c r="K53" i="2"/>
  <c r="L53" i="2"/>
  <c r="H54" i="2"/>
  <c r="J54" i="2" s="1"/>
  <c r="G54" i="2" s="1"/>
  <c r="D55" i="2"/>
  <c r="K54" i="17" l="1"/>
  <c r="G55" i="17"/>
  <c r="L54" i="17"/>
  <c r="F59" i="16"/>
  <c r="L59" i="16" s="1"/>
  <c r="F59" i="17"/>
  <c r="F60" i="2"/>
  <c r="K54" i="2"/>
  <c r="L54" i="2"/>
  <c r="H55" i="2"/>
  <c r="J55" i="2" s="1"/>
  <c r="G55" i="2" s="1"/>
  <c r="D56" i="2"/>
  <c r="K55" i="17" l="1"/>
  <c r="G56" i="17"/>
  <c r="L55" i="17"/>
  <c r="F60" i="17"/>
  <c r="F60" i="16"/>
  <c r="L60" i="16" s="1"/>
  <c r="F61" i="2"/>
  <c r="L55" i="2"/>
  <c r="K55" i="2"/>
  <c r="H56" i="2"/>
  <c r="J56" i="2" s="1"/>
  <c r="G56" i="2" s="1"/>
  <c r="D57" i="2"/>
  <c r="K56" i="17" l="1"/>
  <c r="G57" i="17"/>
  <c r="L56" i="17"/>
  <c r="F61" i="17"/>
  <c r="F61" i="16"/>
  <c r="L61" i="16" s="1"/>
  <c r="F62" i="2"/>
  <c r="L56" i="2"/>
  <c r="K56" i="2"/>
  <c r="H57" i="2"/>
  <c r="J57" i="2" s="1"/>
  <c r="G57" i="2" s="1"/>
  <c r="D58" i="2"/>
  <c r="G58" i="17" l="1"/>
  <c r="K57" i="17"/>
  <c r="L57" i="17"/>
  <c r="F62" i="16"/>
  <c r="L62" i="16" s="1"/>
  <c r="F62" i="17"/>
  <c r="F63" i="2"/>
  <c r="K57" i="2"/>
  <c r="L57" i="2"/>
  <c r="H58" i="2"/>
  <c r="J58" i="2" s="1"/>
  <c r="G58" i="2" s="1"/>
  <c r="D59" i="2"/>
  <c r="K58" i="17" l="1"/>
  <c r="G59" i="17"/>
  <c r="L58" i="17"/>
  <c r="F63" i="16"/>
  <c r="L63" i="16" s="1"/>
  <c r="F63" i="17"/>
  <c r="F64" i="2"/>
  <c r="L58" i="2"/>
  <c r="K58" i="2"/>
  <c r="H59" i="2"/>
  <c r="J59" i="2" s="1"/>
  <c r="G59" i="2" s="1"/>
  <c r="D60" i="2"/>
  <c r="K59" i="17" l="1"/>
  <c r="G60" i="17"/>
  <c r="L59" i="17"/>
  <c r="F64" i="17"/>
  <c r="F64" i="16"/>
  <c r="L64" i="16" s="1"/>
  <c r="F65" i="2"/>
  <c r="L59" i="2"/>
  <c r="K59" i="2"/>
  <c r="H60" i="2"/>
  <c r="J60" i="2" s="1"/>
  <c r="G60" i="2" s="1"/>
  <c r="D61" i="2"/>
  <c r="K60" i="17" l="1"/>
  <c r="G61" i="17"/>
  <c r="L60" i="17"/>
  <c r="F65" i="17"/>
  <c r="F65" i="16"/>
  <c r="L65" i="16" s="1"/>
  <c r="F66" i="2"/>
  <c r="K60" i="2"/>
  <c r="L60" i="2"/>
  <c r="H61" i="2"/>
  <c r="J61" i="2" s="1"/>
  <c r="G61" i="2" s="1"/>
  <c r="D62" i="2"/>
  <c r="K61" i="17" l="1"/>
  <c r="G62" i="17"/>
  <c r="L61" i="17"/>
  <c r="F66" i="17"/>
  <c r="F66" i="16"/>
  <c r="L66" i="16" s="1"/>
  <c r="L61" i="2"/>
  <c r="K61" i="2"/>
  <c r="H62" i="2"/>
  <c r="J62" i="2" s="1"/>
  <c r="G62" i="2" s="1"/>
  <c r="D63" i="2"/>
  <c r="K62" i="17" l="1"/>
  <c r="G63" i="17"/>
  <c r="L62" i="17"/>
  <c r="M65" i="16"/>
  <c r="K62" i="2"/>
  <c r="L62" i="2"/>
  <c r="H63" i="2"/>
  <c r="J63" i="2" s="1"/>
  <c r="G63" i="2" s="1"/>
  <c r="D64" i="2"/>
  <c r="K63" i="17" l="1"/>
  <c r="G64" i="17"/>
  <c r="L63" i="17"/>
  <c r="M64" i="16"/>
  <c r="N65" i="16"/>
  <c r="P65" i="16"/>
  <c r="Q65" i="16" s="1"/>
  <c r="R66" i="16" s="1"/>
  <c r="L63" i="2"/>
  <c r="K63" i="2"/>
  <c r="H64" i="2"/>
  <c r="J64" i="2" s="1"/>
  <c r="G64" i="2" s="1"/>
  <c r="D65" i="2"/>
  <c r="K64" i="17" l="1"/>
  <c r="G65" i="17"/>
  <c r="L64" i="17"/>
  <c r="P64" i="16"/>
  <c r="Q64" i="16" s="1"/>
  <c r="N64" i="16"/>
  <c r="O65" i="16" s="1"/>
  <c r="M63" i="16"/>
  <c r="O66" i="16"/>
  <c r="S66" i="16" s="1"/>
  <c r="T65" i="16" s="1"/>
  <c r="L64" i="2"/>
  <c r="K64" i="2"/>
  <c r="H65" i="2"/>
  <c r="J65" i="2" s="1"/>
  <c r="G65" i="2" s="1"/>
  <c r="D66" i="2"/>
  <c r="K65" i="17" l="1"/>
  <c r="G66" i="17"/>
  <c r="L65" i="17"/>
  <c r="R65" i="16"/>
  <c r="S65" i="16" s="1"/>
  <c r="T64" i="16" s="1"/>
  <c r="P63" i="16"/>
  <c r="Q63" i="16" s="1"/>
  <c r="R64" i="16" s="1"/>
  <c r="N63" i="16"/>
  <c r="O64" i="16" s="1"/>
  <c r="M62" i="16"/>
  <c r="K65" i="2"/>
  <c r="L65" i="2"/>
  <c r="H66" i="2"/>
  <c r="J66" i="2" s="1"/>
  <c r="G66" i="2" s="1"/>
  <c r="K66" i="17" l="1"/>
  <c r="L66" i="17"/>
  <c r="S64" i="16"/>
  <c r="T63" i="16" s="1"/>
  <c r="N62" i="16"/>
  <c r="P62" i="16"/>
  <c r="Q62" i="16" s="1"/>
  <c r="M61" i="16"/>
  <c r="L66" i="2"/>
  <c r="K66" i="2"/>
  <c r="M65" i="17" l="1"/>
  <c r="R63" i="16"/>
  <c r="O63" i="16"/>
  <c r="S63" i="16" s="1"/>
  <c r="T62" i="16" s="1"/>
  <c r="P61" i="16"/>
  <c r="Q61" i="16" s="1"/>
  <c r="N61" i="16"/>
  <c r="O62" i="16" s="1"/>
  <c r="M60" i="16"/>
  <c r="M65" i="2"/>
  <c r="M64" i="2" s="1"/>
  <c r="P65" i="17" l="1"/>
  <c r="Q65" i="17" s="1"/>
  <c r="N65" i="17"/>
  <c r="M64" i="17"/>
  <c r="P60" i="16"/>
  <c r="Q60" i="16" s="1"/>
  <c r="N60" i="16"/>
  <c r="M59" i="16"/>
  <c r="R62" i="16"/>
  <c r="S62" i="16" s="1"/>
  <c r="T61" i="16" s="1"/>
  <c r="N65" i="2"/>
  <c r="P65" i="2"/>
  <c r="M63" i="2"/>
  <c r="N63" i="2" s="1"/>
  <c r="P64" i="2"/>
  <c r="N64" i="2"/>
  <c r="R66" i="17" l="1"/>
  <c r="P64" i="17"/>
  <c r="Q64" i="17" s="1"/>
  <c r="M63" i="17"/>
  <c r="N64" i="17"/>
  <c r="O65" i="17" s="1"/>
  <c r="O66" i="17"/>
  <c r="O64" i="2"/>
  <c r="R61" i="16"/>
  <c r="O61" i="16"/>
  <c r="P59" i="16"/>
  <c r="Q59" i="16" s="1"/>
  <c r="N59" i="16"/>
  <c r="M58" i="16"/>
  <c r="O65" i="2"/>
  <c r="O66" i="2"/>
  <c r="Q64" i="2"/>
  <c r="R65" i="2" s="1"/>
  <c r="Q65" i="2"/>
  <c r="R66" i="2" s="1"/>
  <c r="M62" i="2"/>
  <c r="N62" i="2" s="1"/>
  <c r="O63" i="2" s="1"/>
  <c r="P63" i="2"/>
  <c r="R65" i="17" l="1"/>
  <c r="S66" i="17"/>
  <c r="T65" i="17" s="1"/>
  <c r="S65" i="17"/>
  <c r="S61" i="16"/>
  <c r="T60" i="16" s="1"/>
  <c r="N63" i="17"/>
  <c r="O64" i="17" s="1"/>
  <c r="M62" i="17"/>
  <c r="P63" i="17"/>
  <c r="Q63" i="17" s="1"/>
  <c r="R64" i="17" s="1"/>
  <c r="R60" i="16"/>
  <c r="P58" i="16"/>
  <c r="Q58" i="16" s="1"/>
  <c r="N58" i="16"/>
  <c r="O59" i="16" s="1"/>
  <c r="M57" i="16"/>
  <c r="O60" i="16"/>
  <c r="S65" i="2"/>
  <c r="S66" i="2"/>
  <c r="T65" i="2" s="1"/>
  <c r="Q63" i="2"/>
  <c r="R64" i="2" s="1"/>
  <c r="M61" i="2"/>
  <c r="P62" i="2"/>
  <c r="T64" i="17" l="1"/>
  <c r="S64" i="17"/>
  <c r="S60" i="16"/>
  <c r="T59" i="16" s="1"/>
  <c r="M61" i="17"/>
  <c r="N62" i="17"/>
  <c r="O63" i="17" s="1"/>
  <c r="P62" i="17"/>
  <c r="Q62" i="17" s="1"/>
  <c r="R63" i="17" s="1"/>
  <c r="R59" i="16"/>
  <c r="S59" i="16" s="1"/>
  <c r="T64" i="2"/>
  <c r="N57" i="16"/>
  <c r="P57" i="16"/>
  <c r="Q57" i="16" s="1"/>
  <c r="M56" i="16"/>
  <c r="S64" i="2"/>
  <c r="Q62" i="2"/>
  <c r="M60" i="2"/>
  <c r="P61" i="2"/>
  <c r="N61" i="2"/>
  <c r="T58" i="16" l="1"/>
  <c r="T63" i="17"/>
  <c r="N61" i="17"/>
  <c r="P61" i="17"/>
  <c r="Q61" i="17" s="1"/>
  <c r="R62" i="17" s="1"/>
  <c r="M60" i="17"/>
  <c r="S63" i="17"/>
  <c r="T62" i="17" s="1"/>
  <c r="T63" i="2"/>
  <c r="R58" i="16"/>
  <c r="O58" i="16"/>
  <c r="N56" i="16"/>
  <c r="P56" i="16"/>
  <c r="Q56" i="16" s="1"/>
  <c r="M55" i="16"/>
  <c r="O62" i="2"/>
  <c r="R63" i="2"/>
  <c r="S63" i="2" s="1"/>
  <c r="Q61" i="2"/>
  <c r="R62" i="2" s="1"/>
  <c r="M59" i="2"/>
  <c r="P60" i="2"/>
  <c r="N60" i="2"/>
  <c r="O61" i="2" s="1"/>
  <c r="T62" i="2" l="1"/>
  <c r="N60" i="17"/>
  <c r="P60" i="17"/>
  <c r="Q60" i="17" s="1"/>
  <c r="M59" i="17"/>
  <c r="O62" i="17"/>
  <c r="S62" i="17" s="1"/>
  <c r="T61" i="17" s="1"/>
  <c r="O61" i="17"/>
  <c r="R57" i="16"/>
  <c r="P55" i="16"/>
  <c r="Q55" i="16" s="1"/>
  <c r="R56" i="16" s="1"/>
  <c r="N55" i="16"/>
  <c r="M54" i="16"/>
  <c r="O57" i="16"/>
  <c r="S58" i="16"/>
  <c r="T57" i="16" s="1"/>
  <c r="S62" i="2"/>
  <c r="T61" i="2" s="1"/>
  <c r="Q60" i="2"/>
  <c r="M58" i="2"/>
  <c r="N58" i="2" s="1"/>
  <c r="P59" i="2"/>
  <c r="N59" i="2"/>
  <c r="O60" i="2" s="1"/>
  <c r="R61" i="17" l="1"/>
  <c r="S61" i="17" s="1"/>
  <c r="T60" i="17" s="1"/>
  <c r="P59" i="17"/>
  <c r="Q59" i="17" s="1"/>
  <c r="R60" i="17" s="1"/>
  <c r="M58" i="17"/>
  <c r="N59" i="17"/>
  <c r="S57" i="16"/>
  <c r="T56" i="16" s="1"/>
  <c r="P54" i="16"/>
  <c r="Q54" i="16" s="1"/>
  <c r="R55" i="16" s="1"/>
  <c r="N54" i="16"/>
  <c r="O55" i="16" s="1"/>
  <c r="M53" i="16"/>
  <c r="O56" i="16"/>
  <c r="S56" i="16" s="1"/>
  <c r="O59" i="2"/>
  <c r="R61" i="2"/>
  <c r="S61" i="2" s="1"/>
  <c r="T60" i="2" s="1"/>
  <c r="Q59" i="2"/>
  <c r="M57" i="2"/>
  <c r="N57" i="2" s="1"/>
  <c r="O58" i="2" s="1"/>
  <c r="P58" i="2"/>
  <c r="O60" i="17" l="1"/>
  <c r="S60" i="17" s="1"/>
  <c r="T59" i="17" s="1"/>
  <c r="P58" i="17"/>
  <c r="Q58" i="17" s="1"/>
  <c r="N58" i="17"/>
  <c r="M57" i="17"/>
  <c r="T55" i="16"/>
  <c r="S55" i="16"/>
  <c r="P53" i="16"/>
  <c r="Q53" i="16" s="1"/>
  <c r="N53" i="16"/>
  <c r="O54" i="16" s="1"/>
  <c r="M52" i="16"/>
  <c r="R60" i="2"/>
  <c r="S60" i="2" s="1"/>
  <c r="T59" i="2" s="1"/>
  <c r="Q58" i="2"/>
  <c r="R59" i="2" s="1"/>
  <c r="M56" i="2"/>
  <c r="P57" i="2"/>
  <c r="N57" i="17" l="1"/>
  <c r="O58" i="17" s="1"/>
  <c r="P57" i="17"/>
  <c r="Q57" i="17" s="1"/>
  <c r="M56" i="17"/>
  <c r="R58" i="17"/>
  <c r="R59" i="17"/>
  <c r="O59" i="17"/>
  <c r="T54" i="16"/>
  <c r="R54" i="16"/>
  <c r="S54" i="16" s="1"/>
  <c r="P52" i="16"/>
  <c r="Q52" i="16" s="1"/>
  <c r="N52" i="16"/>
  <c r="O53" i="16" s="1"/>
  <c r="M51" i="16"/>
  <c r="S59" i="2"/>
  <c r="T58" i="2" s="1"/>
  <c r="Q57" i="2"/>
  <c r="R58" i="2" s="1"/>
  <c r="M55" i="2"/>
  <c r="N55" i="2" s="1"/>
  <c r="P56" i="2"/>
  <c r="N56" i="2"/>
  <c r="T53" i="16" l="1"/>
  <c r="P56" i="17"/>
  <c r="Q56" i="17" s="1"/>
  <c r="R57" i="17" s="1"/>
  <c r="N56" i="17"/>
  <c r="O57" i="17" s="1"/>
  <c r="S57" i="17" s="1"/>
  <c r="M55" i="17"/>
  <c r="S59" i="17"/>
  <c r="T58" i="17" s="1"/>
  <c r="S58" i="17"/>
  <c r="N51" i="16"/>
  <c r="O52" i="16" s="1"/>
  <c r="P51" i="16"/>
  <c r="Q51" i="16" s="1"/>
  <c r="R52" i="16" s="1"/>
  <c r="M50" i="16"/>
  <c r="R53" i="16"/>
  <c r="S53" i="16" s="1"/>
  <c r="O56" i="2"/>
  <c r="O57" i="2"/>
  <c r="S58" i="2"/>
  <c r="T57" i="2" s="1"/>
  <c r="Q56" i="2"/>
  <c r="M54" i="2"/>
  <c r="N54" i="2" s="1"/>
  <c r="P55" i="2"/>
  <c r="T57" i="17" l="1"/>
  <c r="T56" i="17" s="1"/>
  <c r="T52" i="16"/>
  <c r="P55" i="17"/>
  <c r="Q55" i="17" s="1"/>
  <c r="N55" i="17"/>
  <c r="O56" i="17" s="1"/>
  <c r="M54" i="17"/>
  <c r="S52" i="16"/>
  <c r="T51" i="16" s="1"/>
  <c r="N50" i="16"/>
  <c r="O51" i="16" s="1"/>
  <c r="P50" i="16"/>
  <c r="Q50" i="16" s="1"/>
  <c r="M49" i="16"/>
  <c r="O55" i="2"/>
  <c r="R57" i="2"/>
  <c r="S57" i="2" s="1"/>
  <c r="T56" i="2" s="1"/>
  <c r="Q55" i="2"/>
  <c r="M53" i="2"/>
  <c r="P54" i="2"/>
  <c r="R56" i="17" l="1"/>
  <c r="S56" i="17" s="1"/>
  <c r="T55" i="17" s="1"/>
  <c r="P54" i="17"/>
  <c r="Q54" i="17" s="1"/>
  <c r="N54" i="17"/>
  <c r="O55" i="17" s="1"/>
  <c r="M53" i="17"/>
  <c r="P49" i="16"/>
  <c r="Q49" i="16" s="1"/>
  <c r="N49" i="16"/>
  <c r="M48" i="16"/>
  <c r="R51" i="16"/>
  <c r="S51" i="16" s="1"/>
  <c r="T50" i="16" s="1"/>
  <c r="R56" i="2"/>
  <c r="S56" i="2" s="1"/>
  <c r="T55" i="2" s="1"/>
  <c r="Q54" i="2"/>
  <c r="M52" i="2"/>
  <c r="N52" i="2" s="1"/>
  <c r="P53" i="2"/>
  <c r="N53" i="2"/>
  <c r="R55" i="17" l="1"/>
  <c r="S55" i="17" s="1"/>
  <c r="T54" i="17" s="1"/>
  <c r="P53" i="17"/>
  <c r="Q53" i="17" s="1"/>
  <c r="M52" i="17"/>
  <c r="N53" i="17"/>
  <c r="O54" i="17" s="1"/>
  <c r="R50" i="16"/>
  <c r="O50" i="16"/>
  <c r="P48" i="16"/>
  <c r="Q48" i="16" s="1"/>
  <c r="N48" i="16"/>
  <c r="M47" i="16"/>
  <c r="O53" i="2"/>
  <c r="O54" i="2"/>
  <c r="R55" i="2"/>
  <c r="S55" i="2" s="1"/>
  <c r="T54" i="2" s="1"/>
  <c r="Q53" i="2"/>
  <c r="M51" i="2"/>
  <c r="N51" i="2" s="1"/>
  <c r="P52" i="2"/>
  <c r="R54" i="17" l="1"/>
  <c r="N52" i="17"/>
  <c r="O53" i="17" s="1"/>
  <c r="P52" i="17"/>
  <c r="Q52" i="17" s="1"/>
  <c r="M51" i="17"/>
  <c r="S54" i="17"/>
  <c r="T53" i="17" s="1"/>
  <c r="R49" i="16"/>
  <c r="O49" i="16"/>
  <c r="P47" i="16"/>
  <c r="Q47" i="16" s="1"/>
  <c r="N47" i="16"/>
  <c r="O48" i="16" s="1"/>
  <c r="M46" i="16"/>
  <c r="S50" i="16"/>
  <c r="T49" i="16" s="1"/>
  <c r="O52" i="2"/>
  <c r="R54" i="2"/>
  <c r="S54" i="2" s="1"/>
  <c r="T53" i="2" s="1"/>
  <c r="Q52" i="2"/>
  <c r="M50" i="2"/>
  <c r="N50" i="2" s="1"/>
  <c r="O51" i="2" s="1"/>
  <c r="P51" i="2"/>
  <c r="R53" i="17" l="1"/>
  <c r="S53" i="17" s="1"/>
  <c r="T52" i="17" s="1"/>
  <c r="P51" i="17"/>
  <c r="Q51" i="17" s="1"/>
  <c r="M50" i="17"/>
  <c r="N51" i="17"/>
  <c r="R48" i="16"/>
  <c r="S48" i="16" s="1"/>
  <c r="S49" i="16"/>
  <c r="T48" i="16" s="1"/>
  <c r="N46" i="16"/>
  <c r="O47" i="16" s="1"/>
  <c r="P46" i="16"/>
  <c r="Q46" i="16" s="1"/>
  <c r="M45" i="16"/>
  <c r="R53" i="2"/>
  <c r="S53" i="2" s="1"/>
  <c r="T52" i="2" s="1"/>
  <c r="Q51" i="2"/>
  <c r="M49" i="2"/>
  <c r="P50" i="2"/>
  <c r="R52" i="17" l="1"/>
  <c r="O52" i="17"/>
  <c r="P50" i="17"/>
  <c r="Q50" i="17" s="1"/>
  <c r="M49" i="17"/>
  <c r="N50" i="17"/>
  <c r="T47" i="16"/>
  <c r="P45" i="16"/>
  <c r="Q45" i="16" s="1"/>
  <c r="R46" i="16" s="1"/>
  <c r="N45" i="16"/>
  <c r="M44" i="16"/>
  <c r="R47" i="16"/>
  <c r="S47" i="16" s="1"/>
  <c r="R52" i="2"/>
  <c r="S52" i="2" s="1"/>
  <c r="T51" i="2" s="1"/>
  <c r="Q50" i="2"/>
  <c r="M48" i="2"/>
  <c r="N48" i="2" s="1"/>
  <c r="P49" i="2"/>
  <c r="N49" i="2"/>
  <c r="S52" i="17" l="1"/>
  <c r="T51" i="17" s="1"/>
  <c r="R51" i="17"/>
  <c r="T46" i="16"/>
  <c r="P49" i="17"/>
  <c r="Q49" i="17" s="1"/>
  <c r="R50" i="17" s="1"/>
  <c r="M48" i="17"/>
  <c r="N49" i="17"/>
  <c r="O50" i="17" s="1"/>
  <c r="O51" i="17"/>
  <c r="P44" i="16"/>
  <c r="Q44" i="16" s="1"/>
  <c r="N44" i="16"/>
  <c r="M43" i="16"/>
  <c r="O46" i="16"/>
  <c r="S46" i="16" s="1"/>
  <c r="T45" i="16" s="1"/>
  <c r="O49" i="2"/>
  <c r="O50" i="2"/>
  <c r="R51" i="2"/>
  <c r="S51" i="2" s="1"/>
  <c r="T50" i="2" s="1"/>
  <c r="Q49" i="2"/>
  <c r="M47" i="2"/>
  <c r="N47" i="2" s="1"/>
  <c r="P48" i="2"/>
  <c r="S51" i="17" l="1"/>
  <c r="T50" i="17" s="1"/>
  <c r="S50" i="17"/>
  <c r="T49" i="17"/>
  <c r="N48" i="17"/>
  <c r="O49" i="17" s="1"/>
  <c r="P48" i="17"/>
  <c r="Q48" i="17" s="1"/>
  <c r="M47" i="17"/>
  <c r="P43" i="16"/>
  <c r="Q43" i="16" s="1"/>
  <c r="R44" i="16" s="1"/>
  <c r="N43" i="16"/>
  <c r="O44" i="16" s="1"/>
  <c r="M42" i="16"/>
  <c r="O45" i="16"/>
  <c r="R45" i="16"/>
  <c r="O48" i="2"/>
  <c r="R50" i="2"/>
  <c r="S50" i="2" s="1"/>
  <c r="T49" i="2" s="1"/>
  <c r="Q48" i="2"/>
  <c r="R49" i="2" s="1"/>
  <c r="S49" i="2" s="1"/>
  <c r="M46" i="2"/>
  <c r="N46" i="2" s="1"/>
  <c r="O47" i="2" s="1"/>
  <c r="P47" i="2"/>
  <c r="R49" i="17" l="1"/>
  <c r="S49" i="17" s="1"/>
  <c r="T48" i="17" s="1"/>
  <c r="N47" i="17"/>
  <c r="O48" i="17" s="1"/>
  <c r="P47" i="17"/>
  <c r="Q47" i="17" s="1"/>
  <c r="R48" i="17" s="1"/>
  <c r="M46" i="17"/>
  <c r="P42" i="16"/>
  <c r="Q42" i="16" s="1"/>
  <c r="N42" i="16"/>
  <c r="O43" i="16" s="1"/>
  <c r="M41" i="16"/>
  <c r="S44" i="16"/>
  <c r="S45" i="16"/>
  <c r="T44" i="16" s="1"/>
  <c r="T48" i="2"/>
  <c r="Q47" i="2"/>
  <c r="M45" i="2"/>
  <c r="N45" i="2" s="1"/>
  <c r="O46" i="2" s="1"/>
  <c r="P46" i="2"/>
  <c r="S48" i="17" l="1"/>
  <c r="N46" i="17"/>
  <c r="O47" i="17" s="1"/>
  <c r="P46" i="17"/>
  <c r="Q46" i="17" s="1"/>
  <c r="M45" i="17"/>
  <c r="T47" i="17"/>
  <c r="T43" i="16"/>
  <c r="P41" i="16"/>
  <c r="Q41" i="16" s="1"/>
  <c r="N41" i="16"/>
  <c r="O42" i="16" s="1"/>
  <c r="M40" i="16"/>
  <c r="R43" i="16"/>
  <c r="S43" i="16" s="1"/>
  <c r="R48" i="2"/>
  <c r="S48" i="2" s="1"/>
  <c r="T47" i="2" s="1"/>
  <c r="Q46" i="2"/>
  <c r="M44" i="2"/>
  <c r="N44" i="2" s="1"/>
  <c r="P45" i="2"/>
  <c r="R47" i="17" l="1"/>
  <c r="S47" i="17" s="1"/>
  <c r="T46" i="17" s="1"/>
  <c r="T42" i="16"/>
  <c r="N45" i="17"/>
  <c r="O46" i="17" s="1"/>
  <c r="P45" i="17"/>
  <c r="Q45" i="17" s="1"/>
  <c r="M44" i="17"/>
  <c r="R42" i="16"/>
  <c r="S42" i="16" s="1"/>
  <c r="N40" i="16"/>
  <c r="P40" i="16"/>
  <c r="Q40" i="16" s="1"/>
  <c r="M39" i="16"/>
  <c r="O45" i="2"/>
  <c r="R47" i="2"/>
  <c r="S47" i="2" s="1"/>
  <c r="T46" i="2" s="1"/>
  <c r="Q45" i="2"/>
  <c r="M43" i="2"/>
  <c r="N43" i="2" s="1"/>
  <c r="O44" i="2" s="1"/>
  <c r="P44" i="2"/>
  <c r="R46" i="17" l="1"/>
  <c r="S46" i="17" s="1"/>
  <c r="T45" i="17" s="1"/>
  <c r="T41" i="16"/>
  <c r="P44" i="17"/>
  <c r="Q44" i="17" s="1"/>
  <c r="M43" i="17"/>
  <c r="N44" i="17"/>
  <c r="O45" i="17" s="1"/>
  <c r="R41" i="16"/>
  <c r="O41" i="16"/>
  <c r="N39" i="16"/>
  <c r="P39" i="16"/>
  <c r="Q39" i="16" s="1"/>
  <c r="M38" i="16"/>
  <c r="R46" i="2"/>
  <c r="S46" i="2" s="1"/>
  <c r="T45" i="2" s="1"/>
  <c r="Q44" i="2"/>
  <c r="M42" i="2"/>
  <c r="N42" i="2" s="1"/>
  <c r="P43" i="2"/>
  <c r="R45" i="17" l="1"/>
  <c r="N43" i="17"/>
  <c r="O44" i="17" s="1"/>
  <c r="P43" i="17"/>
  <c r="Q43" i="17" s="1"/>
  <c r="M42" i="17"/>
  <c r="S45" i="17"/>
  <c r="T44" i="17" s="1"/>
  <c r="S41" i="16"/>
  <c r="T40" i="16" s="1"/>
  <c r="R40" i="16"/>
  <c r="N38" i="16"/>
  <c r="O39" i="16" s="1"/>
  <c r="P38" i="16"/>
  <c r="Q38" i="16" s="1"/>
  <c r="M37" i="16"/>
  <c r="O40" i="16"/>
  <c r="O43" i="2"/>
  <c r="R45" i="2"/>
  <c r="S45" i="2" s="1"/>
  <c r="T44" i="2" s="1"/>
  <c r="Q43" i="2"/>
  <c r="M41" i="2"/>
  <c r="N41" i="2" s="1"/>
  <c r="O42" i="2" s="1"/>
  <c r="P42" i="2"/>
  <c r="R44" i="17" l="1"/>
  <c r="S44" i="17" s="1"/>
  <c r="T43" i="17" s="1"/>
  <c r="P42" i="17"/>
  <c r="Q42" i="17" s="1"/>
  <c r="M41" i="17"/>
  <c r="N42" i="17"/>
  <c r="O43" i="17" s="1"/>
  <c r="R39" i="16"/>
  <c r="S39" i="16" s="1"/>
  <c r="S40" i="16"/>
  <c r="T39" i="16" s="1"/>
  <c r="P37" i="16"/>
  <c r="Q37" i="16" s="1"/>
  <c r="R38" i="16" s="1"/>
  <c r="N37" i="16"/>
  <c r="M36" i="16"/>
  <c r="R44" i="2"/>
  <c r="S44" i="2" s="1"/>
  <c r="T43" i="2" s="1"/>
  <c r="Q42" i="2"/>
  <c r="M40" i="2"/>
  <c r="N40" i="2" s="1"/>
  <c r="P41" i="2"/>
  <c r="R43" i="17" l="1"/>
  <c r="P41" i="17"/>
  <c r="Q41" i="17" s="1"/>
  <c r="M40" i="17"/>
  <c r="N41" i="17"/>
  <c r="O42" i="17" s="1"/>
  <c r="S43" i="17"/>
  <c r="T42" i="17" s="1"/>
  <c r="T38" i="16"/>
  <c r="O38" i="16"/>
  <c r="S38" i="16" s="1"/>
  <c r="T37" i="16" s="1"/>
  <c r="N36" i="16"/>
  <c r="O37" i="16" s="1"/>
  <c r="P36" i="16"/>
  <c r="Q36" i="16" s="1"/>
  <c r="R37" i="16" s="1"/>
  <c r="M35" i="16"/>
  <c r="O41" i="2"/>
  <c r="R43" i="2"/>
  <c r="S43" i="2" s="1"/>
  <c r="T42" i="2" s="1"/>
  <c r="Q41" i="2"/>
  <c r="R42" i="2" s="1"/>
  <c r="M39" i="2"/>
  <c r="P40" i="2"/>
  <c r="R42" i="17" l="1"/>
  <c r="S42" i="17" s="1"/>
  <c r="T41" i="17" s="1"/>
  <c r="N40" i="17"/>
  <c r="P40" i="17"/>
  <c r="Q40" i="17" s="1"/>
  <c r="R41" i="17" s="1"/>
  <c r="M39" i="17"/>
  <c r="S37" i="16"/>
  <c r="T36" i="16" s="1"/>
  <c r="P35" i="16"/>
  <c r="Q35" i="16" s="1"/>
  <c r="N35" i="16"/>
  <c r="M34" i="16"/>
  <c r="S42" i="2"/>
  <c r="T41" i="2" s="1"/>
  <c r="Q40" i="2"/>
  <c r="R41" i="2" s="1"/>
  <c r="M38" i="2"/>
  <c r="N38" i="2" s="1"/>
  <c r="P39" i="2"/>
  <c r="N39" i="2"/>
  <c r="N39" i="17" l="1"/>
  <c r="P39" i="17"/>
  <c r="Q39" i="17" s="1"/>
  <c r="R40" i="17" s="1"/>
  <c r="M38" i="17"/>
  <c r="O41" i="17"/>
  <c r="S41" i="17" s="1"/>
  <c r="T40" i="17" s="1"/>
  <c r="O40" i="17"/>
  <c r="R36" i="16"/>
  <c r="P34" i="16"/>
  <c r="Q34" i="16" s="1"/>
  <c r="N34" i="16"/>
  <c r="O35" i="16" s="1"/>
  <c r="M33" i="16"/>
  <c r="O36" i="16"/>
  <c r="O39" i="2"/>
  <c r="O40" i="2"/>
  <c r="S41" i="2"/>
  <c r="T40" i="2" s="1"/>
  <c r="Q39" i="2"/>
  <c r="M37" i="2"/>
  <c r="N37" i="2" s="1"/>
  <c r="P38" i="2"/>
  <c r="S40" i="17" l="1"/>
  <c r="T39" i="17" s="1"/>
  <c r="S36" i="16"/>
  <c r="T35" i="16" s="1"/>
  <c r="N38" i="17"/>
  <c r="O39" i="17" s="1"/>
  <c r="P38" i="17"/>
  <c r="Q38" i="17" s="1"/>
  <c r="R39" i="17" s="1"/>
  <c r="M37" i="17"/>
  <c r="R35" i="16"/>
  <c r="S35" i="16" s="1"/>
  <c r="T34" i="16" s="1"/>
  <c r="N33" i="16"/>
  <c r="O34" i="16" s="1"/>
  <c r="P33" i="16"/>
  <c r="Q33" i="16" s="1"/>
  <c r="M32" i="16"/>
  <c r="O38" i="2"/>
  <c r="R40" i="2"/>
  <c r="S40" i="2" s="1"/>
  <c r="T39" i="2" s="1"/>
  <c r="Q38" i="2"/>
  <c r="R39" i="2" s="1"/>
  <c r="M36" i="2"/>
  <c r="P37" i="2"/>
  <c r="S39" i="17" l="1"/>
  <c r="T38" i="17" s="1"/>
  <c r="P37" i="17"/>
  <c r="Q37" i="17" s="1"/>
  <c r="M36" i="17"/>
  <c r="N37" i="17"/>
  <c r="P32" i="16"/>
  <c r="Q32" i="16" s="1"/>
  <c r="N32" i="16"/>
  <c r="O33" i="16" s="1"/>
  <c r="M31" i="16"/>
  <c r="R34" i="16"/>
  <c r="S34" i="16" s="1"/>
  <c r="T33" i="16" s="1"/>
  <c r="S39" i="2"/>
  <c r="T38" i="2" s="1"/>
  <c r="Q37" i="2"/>
  <c r="R38" i="2" s="1"/>
  <c r="M35" i="2"/>
  <c r="N35" i="2" s="1"/>
  <c r="P36" i="2"/>
  <c r="N36" i="2"/>
  <c r="R38" i="17" l="1"/>
  <c r="R33" i="16"/>
  <c r="O38" i="17"/>
  <c r="S38" i="17" s="1"/>
  <c r="T37" i="17" s="1"/>
  <c r="P36" i="17"/>
  <c r="Q36" i="17" s="1"/>
  <c r="M35" i="17"/>
  <c r="N36" i="17"/>
  <c r="O37" i="17" s="1"/>
  <c r="S33" i="16"/>
  <c r="T32" i="16" s="1"/>
  <c r="N31" i="16"/>
  <c r="P31" i="16"/>
  <c r="Q31" i="16" s="1"/>
  <c r="M30" i="16"/>
  <c r="O36" i="2"/>
  <c r="O37" i="2"/>
  <c r="S38" i="2"/>
  <c r="T37" i="2" s="1"/>
  <c r="Q36" i="2"/>
  <c r="R37" i="2" s="1"/>
  <c r="M34" i="2"/>
  <c r="N34" i="2" s="1"/>
  <c r="O35" i="2" s="1"/>
  <c r="P35" i="2"/>
  <c r="P35" i="17" l="1"/>
  <c r="Q35" i="17" s="1"/>
  <c r="M34" i="17"/>
  <c r="N35" i="17"/>
  <c r="O36" i="17" s="1"/>
  <c r="R37" i="17"/>
  <c r="S37" i="17" s="1"/>
  <c r="T36" i="17" s="1"/>
  <c r="N30" i="16"/>
  <c r="O31" i="16" s="1"/>
  <c r="P30" i="16"/>
  <c r="Q30" i="16" s="1"/>
  <c r="M29" i="16"/>
  <c r="O32" i="16"/>
  <c r="R32" i="16"/>
  <c r="S37" i="2"/>
  <c r="T36" i="2" s="1"/>
  <c r="Q35" i="2"/>
  <c r="M33" i="2"/>
  <c r="N33" i="2" s="1"/>
  <c r="P34" i="2"/>
  <c r="R36" i="17" l="1"/>
  <c r="N34" i="17"/>
  <c r="O35" i="17" s="1"/>
  <c r="P34" i="17"/>
  <c r="Q34" i="17" s="1"/>
  <c r="M33" i="17"/>
  <c r="S36" i="17"/>
  <c r="T35" i="17" s="1"/>
  <c r="S32" i="16"/>
  <c r="T31" i="16" s="1"/>
  <c r="R31" i="16"/>
  <c r="S31" i="16" s="1"/>
  <c r="T30" i="16" s="1"/>
  <c r="N29" i="16"/>
  <c r="O30" i="16" s="1"/>
  <c r="P29" i="16"/>
  <c r="Q29" i="16" s="1"/>
  <c r="M28" i="16"/>
  <c r="O34" i="2"/>
  <c r="R36" i="2"/>
  <c r="S36" i="2" s="1"/>
  <c r="T35" i="2" s="1"/>
  <c r="Q34" i="2"/>
  <c r="R35" i="2" s="1"/>
  <c r="M32" i="2"/>
  <c r="N32" i="2" s="1"/>
  <c r="P33" i="2"/>
  <c r="R35" i="17" l="1"/>
  <c r="S35" i="17" s="1"/>
  <c r="T34" i="17" s="1"/>
  <c r="P33" i="17"/>
  <c r="Q33" i="17" s="1"/>
  <c r="M32" i="17"/>
  <c r="N33" i="17"/>
  <c r="O34" i="17" s="1"/>
  <c r="N28" i="16"/>
  <c r="O29" i="16" s="1"/>
  <c r="P28" i="16"/>
  <c r="Q28" i="16" s="1"/>
  <c r="M27" i="16"/>
  <c r="R30" i="16"/>
  <c r="S30" i="16" s="1"/>
  <c r="T29" i="16" s="1"/>
  <c r="O33" i="2"/>
  <c r="S35" i="2"/>
  <c r="T34" i="2" s="1"/>
  <c r="Q33" i="2"/>
  <c r="R34" i="2" s="1"/>
  <c r="M31" i="2"/>
  <c r="N31" i="2" s="1"/>
  <c r="O32" i="2" s="1"/>
  <c r="P32" i="2"/>
  <c r="R34" i="17" l="1"/>
  <c r="P32" i="17"/>
  <c r="Q32" i="17" s="1"/>
  <c r="M31" i="17"/>
  <c r="N32" i="17"/>
  <c r="S34" i="17"/>
  <c r="T33" i="17" s="1"/>
  <c r="N27" i="16"/>
  <c r="O28" i="16" s="1"/>
  <c r="P27" i="16"/>
  <c r="Q27" i="16" s="1"/>
  <c r="R28" i="16" s="1"/>
  <c r="R29" i="16"/>
  <c r="S29" i="16" s="1"/>
  <c r="T28" i="16" s="1"/>
  <c r="S34" i="2"/>
  <c r="T33" i="2" s="1"/>
  <c r="Q32" i="2"/>
  <c r="M30" i="2"/>
  <c r="P31" i="2"/>
  <c r="R33" i="17" l="1"/>
  <c r="O33" i="17"/>
  <c r="P31" i="17"/>
  <c r="Q31" i="17" s="1"/>
  <c r="R32" i="17" s="1"/>
  <c r="M30" i="17"/>
  <c r="N31" i="17"/>
  <c r="S33" i="17"/>
  <c r="T32" i="17" s="1"/>
  <c r="S28" i="16"/>
  <c r="T27" i="16" s="1"/>
  <c r="P17" i="16" s="1"/>
  <c r="R33" i="2"/>
  <c r="S33" i="2" s="1"/>
  <c r="T32" i="2" s="1"/>
  <c r="Q31" i="2"/>
  <c r="R32" i="2" s="1"/>
  <c r="M29" i="2"/>
  <c r="N29" i="2" s="1"/>
  <c r="P30" i="2"/>
  <c r="N30" i="2"/>
  <c r="P30" i="17" l="1"/>
  <c r="Q30" i="17" s="1"/>
  <c r="R31" i="17" s="1"/>
  <c r="M29" i="17"/>
  <c r="N30" i="17"/>
  <c r="O31" i="17" s="1"/>
  <c r="O32" i="17"/>
  <c r="S32" i="17" s="1"/>
  <c r="T31" i="17" s="1"/>
  <c r="O30" i="2"/>
  <c r="O31" i="2"/>
  <c r="S32" i="2"/>
  <c r="T31" i="2" s="1"/>
  <c r="Q30" i="2"/>
  <c r="R31" i="2" s="1"/>
  <c r="M28" i="2"/>
  <c r="N28" i="2" s="1"/>
  <c r="O29" i="2" s="1"/>
  <c r="P29" i="2"/>
  <c r="S31" i="17" l="1"/>
  <c r="T30" i="17" s="1"/>
  <c r="N29" i="17"/>
  <c r="O30" i="17" s="1"/>
  <c r="P29" i="17"/>
  <c r="Q29" i="17" s="1"/>
  <c r="M28" i="17"/>
  <c r="S31" i="2"/>
  <c r="T30" i="2" s="1"/>
  <c r="Q29" i="2"/>
  <c r="M27" i="2"/>
  <c r="N27" i="2" s="1"/>
  <c r="P28" i="2"/>
  <c r="R30" i="17" l="1"/>
  <c r="S30" i="17" s="1"/>
  <c r="T29" i="17" s="1"/>
  <c r="N28" i="17"/>
  <c r="P28" i="17"/>
  <c r="Q28" i="17" s="1"/>
  <c r="R29" i="17" s="1"/>
  <c r="M27" i="17"/>
  <c r="O28" i="2"/>
  <c r="R30" i="2"/>
  <c r="S30" i="2" s="1"/>
  <c r="T29" i="2" s="1"/>
  <c r="Q28" i="2"/>
  <c r="R29" i="2" s="1"/>
  <c r="M26" i="2"/>
  <c r="P27" i="2"/>
  <c r="P27" i="17" l="1"/>
  <c r="N27" i="17"/>
  <c r="O28" i="17" s="1"/>
  <c r="O29" i="17"/>
  <c r="S29" i="17" s="1"/>
  <c r="T28" i="17" s="1"/>
  <c r="M26" i="17"/>
  <c r="M26" i="16"/>
  <c r="P26" i="16" s="1"/>
  <c r="S29" i="2"/>
  <c r="T28" i="2" s="1"/>
  <c r="Q27" i="2"/>
  <c r="P26" i="2"/>
  <c r="Q26" i="2" s="1"/>
  <c r="N26" i="2"/>
  <c r="E7" i="7" l="1"/>
  <c r="Q27" i="17"/>
  <c r="R28" i="17" s="1"/>
  <c r="S28" i="17" s="1"/>
  <c r="T27" i="17" s="1"/>
  <c r="Q26" i="16"/>
  <c r="N26" i="17"/>
  <c r="N26" i="16"/>
  <c r="P26" i="17"/>
  <c r="Q26" i="17" s="1"/>
  <c r="O27" i="2"/>
  <c r="R28" i="2"/>
  <c r="S28" i="2" s="1"/>
  <c r="T27" i="2" s="1"/>
  <c r="F6" i="7" s="1"/>
  <c r="R27" i="2"/>
  <c r="O18" i="2"/>
  <c r="R27" i="16" l="1"/>
  <c r="P18" i="16" s="1"/>
  <c r="P19" i="16" s="1"/>
  <c r="P17" i="17"/>
  <c r="G7" i="7"/>
  <c r="E2" i="7"/>
  <c r="O18" i="17"/>
  <c r="O18" i="16"/>
  <c r="S27" i="2"/>
  <c r="F4" i="7" s="1"/>
  <c r="R27" i="17"/>
  <c r="R17" i="17" s="1"/>
  <c r="O27" i="16"/>
  <c r="O27" i="17"/>
  <c r="G6" i="7"/>
  <c r="E8" i="7" l="1"/>
  <c r="E9" i="7" s="1"/>
  <c r="S27" i="17"/>
  <c r="T26" i="2"/>
  <c r="O17" i="2" s="1"/>
  <c r="O19" i="2" s="1"/>
  <c r="S27" i="16"/>
  <c r="P18" i="17"/>
  <c r="P19" i="17" s="1"/>
  <c r="G4" i="7" l="1"/>
  <c r="O17" i="17"/>
  <c r="O19" i="17" s="1"/>
  <c r="O17" i="16"/>
  <c r="O19" i="16" s="1"/>
  <c r="F2" i="7"/>
  <c r="F3" i="7" s="1"/>
  <c r="G2" i="7" l="1"/>
  <c r="G3" i="7"/>
  <c r="H7" i="7" l="1"/>
  <c r="H6" i="7"/>
  <c r="F8" i="7"/>
  <c r="F9" i="7" s="1"/>
  <c r="G8" i="7" l="1"/>
  <c r="H8" i="7" s="1"/>
</calcChain>
</file>

<file path=xl/sharedStrings.xml><?xml version="1.0" encoding="utf-8"?>
<sst xmlns="http://schemas.openxmlformats.org/spreadsheetml/2006/main" count="439" uniqueCount="78">
  <si>
    <t>Policy term</t>
  </si>
  <si>
    <t>years</t>
  </si>
  <si>
    <t>Mortality</t>
  </si>
  <si>
    <t>Mortality table</t>
  </si>
  <si>
    <t>Calculations</t>
  </si>
  <si>
    <t>Annuity Indexation/Expenses Inflation</t>
  </si>
  <si>
    <t>Age of each annuitant</t>
  </si>
  <si>
    <t>Investment earnings rate</t>
  </si>
  <si>
    <t>Mortality improvements</t>
  </si>
  <si>
    <t>Selected Balance Sheet and Capital Information</t>
  </si>
  <si>
    <t>Annual annuity benefit per policy</t>
  </si>
  <si>
    <t>Number of policies</t>
  </si>
  <si>
    <t>Embedded Value risk discount rate</t>
  </si>
  <si>
    <t>Policy liability discount rate</t>
  </si>
  <si>
    <t>Policy liabilities</t>
  </si>
  <si>
    <t>Age last birthday</t>
  </si>
  <si>
    <t>Projection period</t>
  </si>
  <si>
    <t>Tax rate</t>
  </si>
  <si>
    <t>Value of imputation credits for shareholders</t>
  </si>
  <si>
    <t>Receivables</t>
  </si>
  <si>
    <t>Property assets</t>
  </si>
  <si>
    <t>Target surplus as % PCA</t>
  </si>
  <si>
    <t>EOY</t>
  </si>
  <si>
    <t>Base Mortality Rate</t>
  </si>
  <si>
    <t>Mortality Rate Used</t>
  </si>
  <si>
    <t>BEL</t>
  </si>
  <si>
    <t>PCA</t>
  </si>
  <si>
    <t>VIF</t>
  </si>
  <si>
    <t>ANW</t>
  </si>
  <si>
    <t>Check</t>
  </si>
  <si>
    <t>annuities are lifetime annuities</t>
  </si>
  <si>
    <t>pa</t>
  </si>
  <si>
    <t>pa applied to second year cash flows onwards</t>
  </si>
  <si>
    <t>n/a</t>
  </si>
  <si>
    <t>Corporate bonds held at market value</t>
  </si>
  <si>
    <t>at 31 Dec 2016</t>
  </si>
  <si>
    <t>To be determined in part a)</t>
  </si>
  <si>
    <t>EV</t>
  </si>
  <si>
    <t>Target Surplus</t>
  </si>
  <si>
    <t>Other liabilities (predominantly tax liabilities)</t>
  </si>
  <si>
    <t>Cash transfer from VIF to ANW</t>
  </si>
  <si>
    <t>Profit excl Invest Return (net of tax)</t>
  </si>
  <si>
    <t>Embedded value at 31.12.2017</t>
  </si>
  <si>
    <t>Assumptions</t>
  </si>
  <si>
    <t>Embedded value at 31.12.2016</t>
  </si>
  <si>
    <t>Experience profit over year</t>
  </si>
  <si>
    <t>Prescribed Capital Amount (PCA) as % BEL</t>
  </si>
  <si>
    <t>Projection Year</t>
  </si>
  <si>
    <t>Calendar Year</t>
  </si>
  <si>
    <t>refer to "Mortality table" worksheet</t>
  </si>
  <si>
    <t xml:space="preserve">First unindexed payment is payable at end of 2017 (if annuitant is still alive). </t>
  </si>
  <si>
    <t>years old exactly at 31 Dec 2016</t>
  </si>
  <si>
    <t>Fixed renewal expenses for 2017</t>
  </si>
  <si>
    <t>payable at end of each year. Increases with CPI annually.</t>
  </si>
  <si>
    <t>of Mortality table</t>
  </si>
  <si>
    <t>As at</t>
  </si>
  <si>
    <t>Full Annuity Payment Per Policy Inforce</t>
  </si>
  <si>
    <t>Mortality Improvement Factor</t>
  </si>
  <si>
    <t>Number of Policies Inforce</t>
  </si>
  <si>
    <t>Expected Annuity Payments</t>
  </si>
  <si>
    <t>Expected Expenses</t>
  </si>
  <si>
    <t>Policy Liability</t>
  </si>
  <si>
    <t>Investment Return (net of tax)</t>
  </si>
  <si>
    <t>Distributable Profits</t>
  </si>
  <si>
    <t>PV Future Distributable Profits</t>
  </si>
  <si>
    <t>Timing:</t>
  </si>
  <si>
    <t>Full Expense Per Policy Inforce</t>
  </si>
  <si>
    <t>Key:</t>
  </si>
  <si>
    <t>INPUTS</t>
  </si>
  <si>
    <t>$</t>
  </si>
  <si>
    <r>
      <t xml:space="preserve">Unwind </t>
    </r>
    <r>
      <rPr>
        <sz val="10"/>
        <color rgb="FFC00000"/>
        <rFont val="Century Gothic"/>
        <family val="2"/>
      </rPr>
      <t>= VIF * RDR</t>
    </r>
  </si>
  <si>
    <r>
      <t xml:space="preserve">Investment return reduction from 5% to 4%
</t>
    </r>
    <r>
      <rPr>
        <sz val="10"/>
        <color rgb="FFC00000"/>
        <rFont val="Century Gothic"/>
        <family val="2"/>
      </rPr>
      <t>after actual expense being incorporated</t>
    </r>
  </si>
  <si>
    <r>
      <t xml:space="preserve">Expected distributable profit over year
</t>
    </r>
    <r>
      <rPr>
        <sz val="10"/>
        <color rgb="FFC00000"/>
        <rFont val="Century Gothic"/>
        <family val="2"/>
      </rPr>
      <t>expected distributable profit coming out of VIF and going into ANW</t>
    </r>
  </si>
  <si>
    <r>
      <t xml:space="preserve">Experience profit over year </t>
    </r>
    <r>
      <rPr>
        <sz val="10"/>
        <color rgb="FFC00000"/>
        <rFont val="Century Gothic"/>
        <family val="2"/>
      </rPr>
      <t>= Inorce of that year * (actual expense - expected expense)*(1-Tax rate)</t>
    </r>
    <r>
      <rPr>
        <sz val="10"/>
        <color theme="1"/>
        <rFont val="Century Gothic"/>
        <family val="2"/>
      </rPr>
      <t xml:space="preserve">
</t>
    </r>
    <r>
      <rPr>
        <i/>
        <sz val="10"/>
        <color rgb="FFC00000"/>
        <rFont val="Century Gothic"/>
        <family val="2"/>
      </rPr>
      <t>N.B. only update the actual experience while the BOY BEL, PL remain to be the expected value</t>
    </r>
  </si>
  <si>
    <r>
      <t xml:space="preserve">Mortality assumptions from 100% of base to 95% 
</t>
    </r>
    <r>
      <rPr>
        <sz val="10"/>
        <color rgb="FFC00000"/>
        <rFont val="Century Gothic"/>
        <family val="2"/>
      </rPr>
      <t>the movement comes from the change on required capital (i.e.PCA) and PL with tax effect</t>
    </r>
  </si>
  <si>
    <t>Alternative method</t>
  </si>
  <si>
    <t xml:space="preserve">Experience profit over year </t>
  </si>
  <si>
    <t>Mortality assumptions from 100% of base to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</si>
</sst>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;[Red]\-&quot;$&quot;#,##0"/>
    <numFmt numFmtId="165" formatCode="_-* #,##0.00_-;\-* #,##0.00_-;_-* &quot;-&quot;??_-;_-@_-"/>
    <numFmt numFmtId="166" formatCode="_ * #,##0.00_ ;_ * \-#,##0.00_ ;_ * &quot;-&quot;??_ ;_ @_ "/>
    <numFmt numFmtId="167" formatCode="_ * #,##0_ ;_ * \-#,##0_ ;_ * &quot;-&quot;??_ ;_ @_ "/>
    <numFmt numFmtId="168" formatCode="#,##0.00000"/>
    <numFmt numFmtId="169" formatCode="#,##0.000000"/>
    <numFmt numFmtId="170" formatCode="\+#,##0;\(#,##0\);\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3"/>
      <name val="Century Gothic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rgb="FFC00000"/>
      <name val="Century Gothic"/>
      <family val="2"/>
    </font>
    <font>
      <i/>
      <sz val="10"/>
      <color rgb="FFC00000"/>
      <name val="Century Gothic"/>
      <family val="2"/>
    </font>
    <font>
      <b/>
      <sz val="10"/>
      <color rgb="FFC00000"/>
      <name val="Century Gothic"/>
      <family val="2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0" borderId="0"/>
    <xf numFmtId="0" fontId="8" fillId="0" borderId="0" applyBorder="0"/>
    <xf numFmtId="165" fontId="7" fillId="0" borderId="0" applyFont="0" applyFill="0" applyBorder="0" applyAlignment="0" applyProtection="0"/>
    <xf numFmtId="0" fontId="14" fillId="5" borderId="12" applyNumberFormat="0" applyAlignment="0" applyProtection="0"/>
  </cellStyleXfs>
  <cellXfs count="120">
    <xf numFmtId="0" fontId="0" fillId="0" borderId="0" xfId="0"/>
    <xf numFmtId="0" fontId="2" fillId="0" borderId="0" xfId="0" applyFont="1" applyBorder="1"/>
    <xf numFmtId="0" fontId="4" fillId="0" borderId="1" xfId="1" applyFont="1" applyBorder="1"/>
    <xf numFmtId="0" fontId="2" fillId="0" borderId="2" xfId="0" applyFont="1" applyBorder="1"/>
    <xf numFmtId="0" fontId="2" fillId="0" borderId="4" xfId="0" applyFont="1" applyBorder="1"/>
    <xf numFmtId="0" fontId="5" fillId="0" borderId="4" xfId="1" applyFont="1" applyBorder="1"/>
    <xf numFmtId="0" fontId="5" fillId="0" borderId="0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0" xfId="1" applyFont="1"/>
    <xf numFmtId="0" fontId="5" fillId="0" borderId="2" xfId="1" applyFont="1" applyBorder="1"/>
    <xf numFmtId="0" fontId="4" fillId="0" borderId="0" xfId="1" applyFont="1" applyBorder="1"/>
    <xf numFmtId="0" fontId="4" fillId="0" borderId="4" xfId="1" applyFont="1" applyBorder="1"/>
    <xf numFmtId="0" fontId="5" fillId="0" borderId="0" xfId="1" applyFont="1" applyAlignment="1">
      <alignment wrapText="1"/>
    </xf>
    <xf numFmtId="0" fontId="5" fillId="0" borderId="1" xfId="1" applyFont="1" applyBorder="1"/>
    <xf numFmtId="0" fontId="5" fillId="0" borderId="2" xfId="1" applyFont="1" applyFill="1" applyBorder="1"/>
    <xf numFmtId="0" fontId="6" fillId="0" borderId="4" xfId="1" applyFont="1" applyBorder="1"/>
    <xf numFmtId="0" fontId="5" fillId="0" borderId="0" xfId="1" applyFont="1" applyFill="1" applyBorder="1"/>
    <xf numFmtId="0" fontId="5" fillId="0" borderId="0" xfId="1" applyFont="1" applyFill="1"/>
    <xf numFmtId="0" fontId="7" fillId="0" borderId="0" xfId="8"/>
    <xf numFmtId="1" fontId="7" fillId="0" borderId="0" xfId="8" applyNumberFormat="1"/>
    <xf numFmtId="9" fontId="5" fillId="0" borderId="0" xfId="1" applyNumberFormat="1" applyFont="1" applyFill="1" applyBorder="1"/>
    <xf numFmtId="0" fontId="6" fillId="0" borderId="0" xfId="1" applyFont="1" applyBorder="1"/>
    <xf numFmtId="0" fontId="5" fillId="0" borderId="9" xfId="1" applyFont="1" applyBorder="1" applyAlignment="1">
      <alignment horizontal="center" wrapText="1"/>
    </xf>
    <xf numFmtId="0" fontId="5" fillId="0" borderId="4" xfId="1" applyFont="1" applyBorder="1" applyAlignment="1">
      <alignment horizontal="center"/>
    </xf>
    <xf numFmtId="167" fontId="5" fillId="0" borderId="0" xfId="7" applyNumberFormat="1" applyFont="1"/>
    <xf numFmtId="0" fontId="5" fillId="0" borderId="0" xfId="1" applyFont="1" applyBorder="1" applyAlignment="1">
      <alignment horizontal="center" wrapText="1"/>
    </xf>
    <xf numFmtId="3" fontId="5" fillId="0" borderId="0" xfId="1" applyNumberFormat="1" applyFont="1" applyBorder="1" applyAlignment="1">
      <alignment horizontal="right" wrapText="1"/>
    </xf>
    <xf numFmtId="0" fontId="5" fillId="0" borderId="0" xfId="1" applyFont="1" applyBorder="1" applyAlignment="1">
      <alignment horizontal="right" wrapText="1"/>
    </xf>
    <xf numFmtId="0" fontId="5" fillId="0" borderId="0" xfId="1" applyFont="1" applyBorder="1" applyAlignment="1">
      <alignment wrapText="1"/>
    </xf>
    <xf numFmtId="167" fontId="5" fillId="0" borderId="0" xfId="7" applyNumberFormat="1" applyFont="1" applyBorder="1" applyAlignment="1">
      <alignment wrapText="1"/>
    </xf>
    <xf numFmtId="166" fontId="5" fillId="0" borderId="0" xfId="1" applyNumberFormat="1" applyFont="1" applyBorder="1" applyAlignment="1">
      <alignment wrapText="1"/>
    </xf>
    <xf numFmtId="166" fontId="5" fillId="0" borderId="0" xfId="1" applyNumberFormat="1" applyFont="1" applyBorder="1"/>
    <xf numFmtId="3" fontId="5" fillId="0" borderId="0" xfId="1" applyNumberFormat="1" applyFont="1" applyBorder="1"/>
    <xf numFmtId="3" fontId="5" fillId="0" borderId="0" xfId="1" applyNumberFormat="1" applyFont="1" applyBorder="1" applyAlignment="1">
      <alignment horizontal="center"/>
    </xf>
    <xf numFmtId="3" fontId="5" fillId="0" borderId="0" xfId="1" applyNumberFormat="1" applyFont="1" applyBorder="1" applyAlignment="1">
      <alignment horizontal="center" wrapText="1"/>
    </xf>
    <xf numFmtId="169" fontId="5" fillId="0" borderId="0" xfId="1" applyNumberFormat="1" applyFont="1" applyBorder="1" applyAlignment="1">
      <alignment horizontal="center"/>
    </xf>
    <xf numFmtId="3" fontId="5" fillId="0" borderId="0" xfId="1" applyNumberFormat="1" applyFont="1"/>
    <xf numFmtId="0" fontId="5" fillId="2" borderId="0" xfId="1" applyFont="1" applyFill="1" applyBorder="1"/>
    <xf numFmtId="0" fontId="5" fillId="2" borderId="0" xfId="1" applyFont="1" applyFill="1" applyBorder="1" applyAlignment="1">
      <alignment horizontal="right"/>
    </xf>
    <xf numFmtId="3" fontId="5" fillId="2" borderId="0" xfId="1" applyNumberFormat="1" applyFont="1" applyFill="1" applyBorder="1"/>
    <xf numFmtId="9" fontId="5" fillId="2" borderId="0" xfId="1" applyNumberFormat="1" applyFont="1" applyFill="1" applyBorder="1"/>
    <xf numFmtId="164" fontId="5" fillId="2" borderId="0" xfId="1" applyNumberFormat="1" applyFont="1" applyFill="1" applyBorder="1"/>
    <xf numFmtId="167" fontId="5" fillId="2" borderId="5" xfId="7" applyNumberFormat="1" applyFont="1" applyFill="1" applyBorder="1" applyAlignment="1">
      <alignment horizontal="right"/>
    </xf>
    <xf numFmtId="167" fontId="5" fillId="2" borderId="7" xfId="7" applyNumberFormat="1" applyFont="1" applyFill="1" applyBorder="1" applyAlignment="1">
      <alignment horizontal="right"/>
    </xf>
    <xf numFmtId="9" fontId="5" fillId="2" borderId="3" xfId="1" applyNumberFormat="1" applyFont="1" applyFill="1" applyBorder="1"/>
    <xf numFmtId="9" fontId="5" fillId="2" borderId="7" xfId="1" applyNumberFormat="1" applyFont="1" applyFill="1" applyBorder="1"/>
    <xf numFmtId="0" fontId="4" fillId="0" borderId="2" xfId="1" applyFont="1" applyBorder="1"/>
    <xf numFmtId="0" fontId="5" fillId="0" borderId="3" xfId="1" applyFont="1" applyBorder="1"/>
    <xf numFmtId="0" fontId="5" fillId="0" borderId="5" xfId="1" applyFont="1" applyBorder="1"/>
    <xf numFmtId="0" fontId="5" fillId="0" borderId="7" xfId="1" applyFont="1" applyBorder="1"/>
    <xf numFmtId="0" fontId="5" fillId="0" borderId="0" xfId="8" applyFont="1" applyAlignment="1">
      <alignment horizontal="right"/>
    </xf>
    <xf numFmtId="0" fontId="5" fillId="0" borderId="0" xfId="8" applyFont="1"/>
    <xf numFmtId="0" fontId="5" fillId="0" borderId="0" xfId="9" applyFont="1" applyAlignment="1">
      <alignment horizontal="right"/>
    </xf>
    <xf numFmtId="168" fontId="5" fillId="2" borderId="0" xfId="1" applyNumberFormat="1" applyFont="1" applyFill="1" applyBorder="1"/>
    <xf numFmtId="3" fontId="5" fillId="3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2" fillId="0" borderId="0" xfId="0" applyFont="1"/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0" applyFont="1"/>
    <xf numFmtId="3" fontId="10" fillId="0" borderId="0" xfId="0" applyNumberFormat="1" applyFont="1" applyAlignment="1">
      <alignment horizontal="right"/>
    </xf>
    <xf numFmtId="14" fontId="9" fillId="0" borderId="0" xfId="0" applyNumberFormat="1" applyFont="1"/>
    <xf numFmtId="170" fontId="2" fillId="0" borderId="0" xfId="0" applyNumberFormat="1" applyFont="1" applyAlignment="1">
      <alignment horizontal="right"/>
    </xf>
    <xf numFmtId="170" fontId="2" fillId="0" borderId="0" xfId="0" applyNumberFormat="1" applyFont="1"/>
    <xf numFmtId="3" fontId="5" fillId="4" borderId="0" xfId="1" applyNumberFormat="1" applyFont="1" applyFill="1" applyBorder="1" applyAlignment="1">
      <alignment horizontal="center"/>
    </xf>
    <xf numFmtId="3" fontId="5" fillId="0" borderId="0" xfId="1" applyNumberFormat="1" applyFont="1" applyFill="1" applyBorder="1" applyAlignment="1">
      <alignment horizontal="center"/>
    </xf>
    <xf numFmtId="169" fontId="5" fillId="0" borderId="0" xfId="1" applyNumberFormat="1" applyFont="1" applyFill="1" applyBorder="1" applyAlignment="1">
      <alignment horizontal="center"/>
    </xf>
    <xf numFmtId="3" fontId="5" fillId="0" borderId="0" xfId="1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left" indent="2"/>
    </xf>
    <xf numFmtId="0" fontId="5" fillId="0" borderId="3" xfId="1" applyFont="1" applyFill="1" applyBorder="1"/>
    <xf numFmtId="0" fontId="2" fillId="0" borderId="6" xfId="0" applyFont="1" applyBorder="1"/>
    <xf numFmtId="0" fontId="2" fillId="0" borderId="1" xfId="0" applyFont="1" applyBorder="1"/>
    <xf numFmtId="167" fontId="10" fillId="2" borderId="5" xfId="7" applyNumberFormat="1" applyFont="1" applyFill="1" applyBorder="1" applyAlignment="1">
      <alignment horizontal="right"/>
    </xf>
    <xf numFmtId="0" fontId="10" fillId="2" borderId="0" xfId="1" applyFont="1" applyFill="1" applyBorder="1" applyAlignment="1">
      <alignment horizontal="right"/>
    </xf>
    <xf numFmtId="9" fontId="5" fillId="2" borderId="8" xfId="1" applyNumberFormat="1" applyFont="1" applyFill="1" applyBorder="1" applyAlignment="1">
      <alignment horizontal="right"/>
    </xf>
    <xf numFmtId="9" fontId="5" fillId="3" borderId="0" xfId="1" applyNumberFormat="1" applyFont="1" applyFill="1" applyBorder="1"/>
    <xf numFmtId="14" fontId="4" fillId="0" borderId="5" xfId="1" applyNumberFormat="1" applyFont="1" applyFill="1" applyBorder="1"/>
    <xf numFmtId="0" fontId="4" fillId="0" borderId="5" xfId="1" applyFont="1" applyFill="1" applyBorder="1" applyAlignment="1">
      <alignment horizontal="right"/>
    </xf>
    <xf numFmtId="9" fontId="5" fillId="3" borderId="7" xfId="1" applyNumberFormat="1" applyFont="1" applyFill="1" applyBorder="1"/>
    <xf numFmtId="0" fontId="5" fillId="0" borderId="5" xfId="1" applyFont="1" applyBorder="1" applyAlignment="1">
      <alignment horizontal="center" wrapText="1"/>
    </xf>
    <xf numFmtId="3" fontId="5" fillId="0" borderId="5" xfId="1" applyNumberFormat="1" applyFont="1" applyFill="1" applyBorder="1" applyAlignment="1">
      <alignment horizontal="center"/>
    </xf>
    <xf numFmtId="3" fontId="5" fillId="0" borderId="5" xfId="1" applyNumberFormat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3" fontId="5" fillId="0" borderId="8" xfId="1" applyNumberFormat="1" applyFont="1" applyBorder="1" applyAlignment="1">
      <alignment horizontal="center"/>
    </xf>
    <xf numFmtId="169" fontId="5" fillId="0" borderId="8" xfId="1" applyNumberFormat="1" applyFont="1" applyBorder="1" applyAlignment="1">
      <alignment horizontal="center"/>
    </xf>
    <xf numFmtId="3" fontId="5" fillId="0" borderId="8" xfId="1" applyNumberFormat="1" applyFont="1" applyBorder="1" applyAlignment="1">
      <alignment horizontal="center" wrapText="1"/>
    </xf>
    <xf numFmtId="3" fontId="5" fillId="0" borderId="7" xfId="1" applyNumberFormat="1" applyFont="1" applyBorder="1" applyAlignment="1">
      <alignment horizontal="center"/>
    </xf>
    <xf numFmtId="0" fontId="5" fillId="0" borderId="10" xfId="1" applyFont="1" applyBorder="1" applyAlignment="1">
      <alignment horizontal="center" wrapText="1"/>
    </xf>
    <xf numFmtId="0" fontId="5" fillId="2" borderId="0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3" fontId="4" fillId="0" borderId="0" xfId="1" applyNumberFormat="1" applyFont="1" applyBorder="1"/>
    <xf numFmtId="0" fontId="4" fillId="0" borderId="0" xfId="1" applyFont="1" applyFill="1" applyAlignment="1">
      <alignment horizontal="right"/>
    </xf>
    <xf numFmtId="14" fontId="4" fillId="0" borderId="0" xfId="1" applyNumberFormat="1" applyFont="1" applyFill="1" applyAlignment="1">
      <alignment horizontal="right"/>
    </xf>
    <xf numFmtId="0" fontId="5" fillId="0" borderId="0" xfId="1" applyFont="1" applyBorder="1" applyAlignment="1">
      <alignment horizontal="right"/>
    </xf>
    <xf numFmtId="3" fontId="5" fillId="3" borderId="8" xfId="1" applyNumberFormat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wrapText="1"/>
    </xf>
    <xf numFmtId="0" fontId="5" fillId="0" borderId="10" xfId="1" applyFont="1" applyFill="1" applyBorder="1" applyAlignment="1">
      <alignment horizontal="center" wrapText="1"/>
    </xf>
    <xf numFmtId="0" fontId="5" fillId="0" borderId="11" xfId="1" applyFont="1" applyBorder="1" applyAlignment="1">
      <alignment horizontal="center" wrapText="1"/>
    </xf>
    <xf numFmtId="167" fontId="5" fillId="0" borderId="0" xfId="1" applyNumberFormat="1" applyFont="1"/>
    <xf numFmtId="0" fontId="10" fillId="0" borderId="0" xfId="0" applyFont="1" applyAlignment="1">
      <alignment horizontal="right"/>
    </xf>
    <xf numFmtId="167" fontId="5" fillId="0" borderId="0" xfId="7" applyNumberFormat="1" applyFont="1" applyFill="1" applyBorder="1" applyAlignment="1">
      <alignment wrapText="1"/>
    </xf>
    <xf numFmtId="0" fontId="5" fillId="0" borderId="0" xfId="1" applyFont="1" applyFill="1" applyBorder="1" applyAlignment="1"/>
    <xf numFmtId="169" fontId="5" fillId="3" borderId="0" xfId="1" applyNumberFormat="1" applyFont="1" applyFill="1" applyBorder="1" applyAlignment="1">
      <alignment horizontal="center"/>
    </xf>
    <xf numFmtId="0" fontId="4" fillId="0" borderId="0" xfId="1" applyFont="1" applyAlignment="1">
      <alignment horizontal="right"/>
    </xf>
    <xf numFmtId="0" fontId="2" fillId="0" borderId="0" xfId="0" applyFont="1" applyAlignment="1">
      <alignment horizontal="left" wrapText="1" indent="2"/>
    </xf>
    <xf numFmtId="170" fontId="2" fillId="0" borderId="0" xfId="0" applyNumberFormat="1" applyFont="1" applyAlignment="1">
      <alignment horizontal="right" vertical="center"/>
    </xf>
    <xf numFmtId="170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 indent="2"/>
    </xf>
    <xf numFmtId="170" fontId="11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4" fillId="0" borderId="0" xfId="1" applyFont="1"/>
    <xf numFmtId="0" fontId="13" fillId="0" borderId="0" xfId="0" applyFont="1" applyAlignment="1">
      <alignment horizontal="center" vertical="center"/>
    </xf>
    <xf numFmtId="3" fontId="14" fillId="5" borderId="12" xfId="11" applyNumberFormat="1"/>
  </cellXfs>
  <cellStyles count="12">
    <cellStyle name="Calculation" xfId="11" builtinId="22"/>
    <cellStyle name="Comma" xfId="7" builtinId="3"/>
    <cellStyle name="Comma 2" xfId="3"/>
    <cellStyle name="Comma 2 2" xfId="10"/>
    <cellStyle name="Comma 3" xfId="4"/>
    <cellStyle name="Normal" xfId="0" builtinId="0"/>
    <cellStyle name="Normal 2" xfId="5"/>
    <cellStyle name="Normal 2 2" xfId="8"/>
    <cellStyle name="Normal 3" xfId="1"/>
    <cellStyle name="Normal_males" xfId="9"/>
    <cellStyle name="Percent 2" xfId="6"/>
    <cellStyle name="Percent 3" xfId="2"/>
  </cellStyles>
  <dxfs count="0"/>
  <tableStyles count="0" defaultTableStyle="TableStyleMedium2" defaultPivotStyle="PivotStyleLight16"/>
  <colors>
    <mruColors>
      <color rgb="FF0066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1242</xdr:rowOff>
    </xdr:from>
    <xdr:to>
      <xdr:col>1</xdr:col>
      <xdr:colOff>428625</xdr:colOff>
      <xdr:row>1</xdr:row>
      <xdr:rowOff>29817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377" y="1242"/>
          <a:ext cx="152400" cy="202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6.7109375" style="19" bestFit="1" customWidth="1"/>
    <col min="2" max="2" width="9.5703125" style="19" bestFit="1" customWidth="1"/>
    <col min="3" max="250" width="9.140625" style="19"/>
    <col min="251" max="251" width="11" style="19" bestFit="1" customWidth="1"/>
    <col min="252" max="256" width="9.140625" style="19"/>
    <col min="257" max="257" width="10" style="19" bestFit="1" customWidth="1"/>
    <col min="258" max="258" width="12.42578125" style="19" bestFit="1" customWidth="1"/>
    <col min="259" max="506" width="9.140625" style="19"/>
    <col min="507" max="507" width="11" style="19" bestFit="1" customWidth="1"/>
    <col min="508" max="512" width="9.140625" style="19"/>
    <col min="513" max="513" width="10" style="19" bestFit="1" customWidth="1"/>
    <col min="514" max="514" width="12.42578125" style="19" bestFit="1" customWidth="1"/>
    <col min="515" max="762" width="9.140625" style="19"/>
    <col min="763" max="763" width="11" style="19" bestFit="1" customWidth="1"/>
    <col min="764" max="768" width="9.140625" style="19"/>
    <col min="769" max="769" width="10" style="19" bestFit="1" customWidth="1"/>
    <col min="770" max="770" width="12.42578125" style="19" bestFit="1" customWidth="1"/>
    <col min="771" max="1018" width="9.140625" style="19"/>
    <col min="1019" max="1019" width="11" style="19" bestFit="1" customWidth="1"/>
    <col min="1020" max="1024" width="9.140625" style="19"/>
    <col min="1025" max="1025" width="10" style="19" bestFit="1" customWidth="1"/>
    <col min="1026" max="1026" width="12.42578125" style="19" bestFit="1" customWidth="1"/>
    <col min="1027" max="1274" width="9.140625" style="19"/>
    <col min="1275" max="1275" width="11" style="19" bestFit="1" customWidth="1"/>
    <col min="1276" max="1280" width="9.140625" style="19"/>
    <col min="1281" max="1281" width="10" style="19" bestFit="1" customWidth="1"/>
    <col min="1282" max="1282" width="12.42578125" style="19" bestFit="1" customWidth="1"/>
    <col min="1283" max="1530" width="9.140625" style="19"/>
    <col min="1531" max="1531" width="11" style="19" bestFit="1" customWidth="1"/>
    <col min="1532" max="1536" width="9.140625" style="19"/>
    <col min="1537" max="1537" width="10" style="19" bestFit="1" customWidth="1"/>
    <col min="1538" max="1538" width="12.42578125" style="19" bestFit="1" customWidth="1"/>
    <col min="1539" max="1786" width="9.140625" style="19"/>
    <col min="1787" max="1787" width="11" style="19" bestFit="1" customWidth="1"/>
    <col min="1788" max="1792" width="9.140625" style="19"/>
    <col min="1793" max="1793" width="10" style="19" bestFit="1" customWidth="1"/>
    <col min="1794" max="1794" width="12.42578125" style="19" bestFit="1" customWidth="1"/>
    <col min="1795" max="2042" width="9.140625" style="19"/>
    <col min="2043" max="2043" width="11" style="19" bestFit="1" customWidth="1"/>
    <col min="2044" max="2048" width="9.140625" style="19"/>
    <col min="2049" max="2049" width="10" style="19" bestFit="1" customWidth="1"/>
    <col min="2050" max="2050" width="12.42578125" style="19" bestFit="1" customWidth="1"/>
    <col min="2051" max="2298" width="9.140625" style="19"/>
    <col min="2299" max="2299" width="11" style="19" bestFit="1" customWidth="1"/>
    <col min="2300" max="2304" width="9.140625" style="19"/>
    <col min="2305" max="2305" width="10" style="19" bestFit="1" customWidth="1"/>
    <col min="2306" max="2306" width="12.42578125" style="19" bestFit="1" customWidth="1"/>
    <col min="2307" max="2554" width="9.140625" style="19"/>
    <col min="2555" max="2555" width="11" style="19" bestFit="1" customWidth="1"/>
    <col min="2556" max="2560" width="9.140625" style="19"/>
    <col min="2561" max="2561" width="10" style="19" bestFit="1" customWidth="1"/>
    <col min="2562" max="2562" width="12.42578125" style="19" bestFit="1" customWidth="1"/>
    <col min="2563" max="2810" width="9.140625" style="19"/>
    <col min="2811" max="2811" width="11" style="19" bestFit="1" customWidth="1"/>
    <col min="2812" max="2816" width="9.140625" style="19"/>
    <col min="2817" max="2817" width="10" style="19" bestFit="1" customWidth="1"/>
    <col min="2818" max="2818" width="12.42578125" style="19" bestFit="1" customWidth="1"/>
    <col min="2819" max="3066" width="9.140625" style="19"/>
    <col min="3067" max="3067" width="11" style="19" bestFit="1" customWidth="1"/>
    <col min="3068" max="3072" width="9.140625" style="19"/>
    <col min="3073" max="3073" width="10" style="19" bestFit="1" customWidth="1"/>
    <col min="3074" max="3074" width="12.42578125" style="19" bestFit="1" customWidth="1"/>
    <col min="3075" max="3322" width="9.140625" style="19"/>
    <col min="3323" max="3323" width="11" style="19" bestFit="1" customWidth="1"/>
    <col min="3324" max="3328" width="9.140625" style="19"/>
    <col min="3329" max="3329" width="10" style="19" bestFit="1" customWidth="1"/>
    <col min="3330" max="3330" width="12.42578125" style="19" bestFit="1" customWidth="1"/>
    <col min="3331" max="3578" width="9.140625" style="19"/>
    <col min="3579" max="3579" width="11" style="19" bestFit="1" customWidth="1"/>
    <col min="3580" max="3584" width="9.140625" style="19"/>
    <col min="3585" max="3585" width="10" style="19" bestFit="1" customWidth="1"/>
    <col min="3586" max="3586" width="12.42578125" style="19" bestFit="1" customWidth="1"/>
    <col min="3587" max="3834" width="9.140625" style="19"/>
    <col min="3835" max="3835" width="11" style="19" bestFit="1" customWidth="1"/>
    <col min="3836" max="3840" width="9.140625" style="19"/>
    <col min="3841" max="3841" width="10" style="19" bestFit="1" customWidth="1"/>
    <col min="3842" max="3842" width="12.42578125" style="19" bestFit="1" customWidth="1"/>
    <col min="3843" max="4090" width="9.140625" style="19"/>
    <col min="4091" max="4091" width="11" style="19" bestFit="1" customWidth="1"/>
    <col min="4092" max="4096" width="9.140625" style="19"/>
    <col min="4097" max="4097" width="10" style="19" bestFit="1" customWidth="1"/>
    <col min="4098" max="4098" width="12.42578125" style="19" bestFit="1" customWidth="1"/>
    <col min="4099" max="4346" width="9.140625" style="19"/>
    <col min="4347" max="4347" width="11" style="19" bestFit="1" customWidth="1"/>
    <col min="4348" max="4352" width="9.140625" style="19"/>
    <col min="4353" max="4353" width="10" style="19" bestFit="1" customWidth="1"/>
    <col min="4354" max="4354" width="12.42578125" style="19" bestFit="1" customWidth="1"/>
    <col min="4355" max="4602" width="9.140625" style="19"/>
    <col min="4603" max="4603" width="11" style="19" bestFit="1" customWidth="1"/>
    <col min="4604" max="4608" width="9.140625" style="19"/>
    <col min="4609" max="4609" width="10" style="19" bestFit="1" customWidth="1"/>
    <col min="4610" max="4610" width="12.42578125" style="19" bestFit="1" customWidth="1"/>
    <col min="4611" max="4858" width="9.140625" style="19"/>
    <col min="4859" max="4859" width="11" style="19" bestFit="1" customWidth="1"/>
    <col min="4860" max="4864" width="9.140625" style="19"/>
    <col min="4865" max="4865" width="10" style="19" bestFit="1" customWidth="1"/>
    <col min="4866" max="4866" width="12.42578125" style="19" bestFit="1" customWidth="1"/>
    <col min="4867" max="5114" width="9.140625" style="19"/>
    <col min="5115" max="5115" width="11" style="19" bestFit="1" customWidth="1"/>
    <col min="5116" max="5120" width="9.140625" style="19"/>
    <col min="5121" max="5121" width="10" style="19" bestFit="1" customWidth="1"/>
    <col min="5122" max="5122" width="12.42578125" style="19" bestFit="1" customWidth="1"/>
    <col min="5123" max="5370" width="9.140625" style="19"/>
    <col min="5371" max="5371" width="11" style="19" bestFit="1" customWidth="1"/>
    <col min="5372" max="5376" width="9.140625" style="19"/>
    <col min="5377" max="5377" width="10" style="19" bestFit="1" customWidth="1"/>
    <col min="5378" max="5378" width="12.42578125" style="19" bestFit="1" customWidth="1"/>
    <col min="5379" max="5626" width="9.140625" style="19"/>
    <col min="5627" max="5627" width="11" style="19" bestFit="1" customWidth="1"/>
    <col min="5628" max="5632" width="9.140625" style="19"/>
    <col min="5633" max="5633" width="10" style="19" bestFit="1" customWidth="1"/>
    <col min="5634" max="5634" width="12.42578125" style="19" bestFit="1" customWidth="1"/>
    <col min="5635" max="5882" width="9.140625" style="19"/>
    <col min="5883" max="5883" width="11" style="19" bestFit="1" customWidth="1"/>
    <col min="5884" max="5888" width="9.140625" style="19"/>
    <col min="5889" max="5889" width="10" style="19" bestFit="1" customWidth="1"/>
    <col min="5890" max="5890" width="12.42578125" style="19" bestFit="1" customWidth="1"/>
    <col min="5891" max="6138" width="9.140625" style="19"/>
    <col min="6139" max="6139" width="11" style="19" bestFit="1" customWidth="1"/>
    <col min="6140" max="6144" width="9.140625" style="19"/>
    <col min="6145" max="6145" width="10" style="19" bestFit="1" customWidth="1"/>
    <col min="6146" max="6146" width="12.42578125" style="19" bestFit="1" customWidth="1"/>
    <col min="6147" max="6394" width="9.140625" style="19"/>
    <col min="6395" max="6395" width="11" style="19" bestFit="1" customWidth="1"/>
    <col min="6396" max="6400" width="9.140625" style="19"/>
    <col min="6401" max="6401" width="10" style="19" bestFit="1" customWidth="1"/>
    <col min="6402" max="6402" width="12.42578125" style="19" bestFit="1" customWidth="1"/>
    <col min="6403" max="6650" width="9.140625" style="19"/>
    <col min="6651" max="6651" width="11" style="19" bestFit="1" customWidth="1"/>
    <col min="6652" max="6656" width="9.140625" style="19"/>
    <col min="6657" max="6657" width="10" style="19" bestFit="1" customWidth="1"/>
    <col min="6658" max="6658" width="12.42578125" style="19" bestFit="1" customWidth="1"/>
    <col min="6659" max="6906" width="9.140625" style="19"/>
    <col min="6907" max="6907" width="11" style="19" bestFit="1" customWidth="1"/>
    <col min="6908" max="6912" width="9.140625" style="19"/>
    <col min="6913" max="6913" width="10" style="19" bestFit="1" customWidth="1"/>
    <col min="6914" max="6914" width="12.42578125" style="19" bestFit="1" customWidth="1"/>
    <col min="6915" max="7162" width="9.140625" style="19"/>
    <col min="7163" max="7163" width="11" style="19" bestFit="1" customWidth="1"/>
    <col min="7164" max="7168" width="9.140625" style="19"/>
    <col min="7169" max="7169" width="10" style="19" bestFit="1" customWidth="1"/>
    <col min="7170" max="7170" width="12.42578125" style="19" bestFit="1" customWidth="1"/>
    <col min="7171" max="7418" width="9.140625" style="19"/>
    <col min="7419" max="7419" width="11" style="19" bestFit="1" customWidth="1"/>
    <col min="7420" max="7424" width="9.140625" style="19"/>
    <col min="7425" max="7425" width="10" style="19" bestFit="1" customWidth="1"/>
    <col min="7426" max="7426" width="12.42578125" style="19" bestFit="1" customWidth="1"/>
    <col min="7427" max="7674" width="9.140625" style="19"/>
    <col min="7675" max="7675" width="11" style="19" bestFit="1" customWidth="1"/>
    <col min="7676" max="7680" width="9.140625" style="19"/>
    <col min="7681" max="7681" width="10" style="19" bestFit="1" customWidth="1"/>
    <col min="7682" max="7682" width="12.42578125" style="19" bestFit="1" customWidth="1"/>
    <col min="7683" max="7930" width="9.140625" style="19"/>
    <col min="7931" max="7931" width="11" style="19" bestFit="1" customWidth="1"/>
    <col min="7932" max="7936" width="9.140625" style="19"/>
    <col min="7937" max="7937" width="10" style="19" bestFit="1" customWidth="1"/>
    <col min="7938" max="7938" width="12.42578125" style="19" bestFit="1" customWidth="1"/>
    <col min="7939" max="8186" width="9.140625" style="19"/>
    <col min="8187" max="8187" width="11" style="19" bestFit="1" customWidth="1"/>
    <col min="8188" max="8192" width="9.140625" style="19"/>
    <col min="8193" max="8193" width="10" style="19" bestFit="1" customWidth="1"/>
    <col min="8194" max="8194" width="12.42578125" style="19" bestFit="1" customWidth="1"/>
    <col min="8195" max="8442" width="9.140625" style="19"/>
    <col min="8443" max="8443" width="11" style="19" bestFit="1" customWidth="1"/>
    <col min="8444" max="8448" width="9.140625" style="19"/>
    <col min="8449" max="8449" width="10" style="19" bestFit="1" customWidth="1"/>
    <col min="8450" max="8450" width="12.42578125" style="19" bestFit="1" customWidth="1"/>
    <col min="8451" max="8698" width="9.140625" style="19"/>
    <col min="8699" max="8699" width="11" style="19" bestFit="1" customWidth="1"/>
    <col min="8700" max="8704" width="9.140625" style="19"/>
    <col min="8705" max="8705" width="10" style="19" bestFit="1" customWidth="1"/>
    <col min="8706" max="8706" width="12.42578125" style="19" bestFit="1" customWidth="1"/>
    <col min="8707" max="8954" width="9.140625" style="19"/>
    <col min="8955" max="8955" width="11" style="19" bestFit="1" customWidth="1"/>
    <col min="8956" max="8960" width="9.140625" style="19"/>
    <col min="8961" max="8961" width="10" style="19" bestFit="1" customWidth="1"/>
    <col min="8962" max="8962" width="12.42578125" style="19" bestFit="1" customWidth="1"/>
    <col min="8963" max="9210" width="9.140625" style="19"/>
    <col min="9211" max="9211" width="11" style="19" bestFit="1" customWidth="1"/>
    <col min="9212" max="9216" width="9.140625" style="19"/>
    <col min="9217" max="9217" width="10" style="19" bestFit="1" customWidth="1"/>
    <col min="9218" max="9218" width="12.42578125" style="19" bestFit="1" customWidth="1"/>
    <col min="9219" max="9466" width="9.140625" style="19"/>
    <col min="9467" max="9467" width="11" style="19" bestFit="1" customWidth="1"/>
    <col min="9468" max="9472" width="9.140625" style="19"/>
    <col min="9473" max="9473" width="10" style="19" bestFit="1" customWidth="1"/>
    <col min="9474" max="9474" width="12.42578125" style="19" bestFit="1" customWidth="1"/>
    <col min="9475" max="9722" width="9.140625" style="19"/>
    <col min="9723" max="9723" width="11" style="19" bestFit="1" customWidth="1"/>
    <col min="9724" max="9728" width="9.140625" style="19"/>
    <col min="9729" max="9729" width="10" style="19" bestFit="1" customWidth="1"/>
    <col min="9730" max="9730" width="12.42578125" style="19" bestFit="1" customWidth="1"/>
    <col min="9731" max="9978" width="9.140625" style="19"/>
    <col min="9979" max="9979" width="11" style="19" bestFit="1" customWidth="1"/>
    <col min="9980" max="9984" width="9.140625" style="19"/>
    <col min="9985" max="9985" width="10" style="19" bestFit="1" customWidth="1"/>
    <col min="9986" max="9986" width="12.42578125" style="19" bestFit="1" customWidth="1"/>
    <col min="9987" max="10234" width="9.140625" style="19"/>
    <col min="10235" max="10235" width="11" style="19" bestFit="1" customWidth="1"/>
    <col min="10236" max="10240" width="9.140625" style="19"/>
    <col min="10241" max="10241" width="10" style="19" bestFit="1" customWidth="1"/>
    <col min="10242" max="10242" width="12.42578125" style="19" bestFit="1" customWidth="1"/>
    <col min="10243" max="10490" width="9.140625" style="19"/>
    <col min="10491" max="10491" width="11" style="19" bestFit="1" customWidth="1"/>
    <col min="10492" max="10496" width="9.140625" style="19"/>
    <col min="10497" max="10497" width="10" style="19" bestFit="1" customWidth="1"/>
    <col min="10498" max="10498" width="12.42578125" style="19" bestFit="1" customWidth="1"/>
    <col min="10499" max="10746" width="9.140625" style="19"/>
    <col min="10747" max="10747" width="11" style="19" bestFit="1" customWidth="1"/>
    <col min="10748" max="10752" width="9.140625" style="19"/>
    <col min="10753" max="10753" width="10" style="19" bestFit="1" customWidth="1"/>
    <col min="10754" max="10754" width="12.42578125" style="19" bestFit="1" customWidth="1"/>
    <col min="10755" max="11002" width="9.140625" style="19"/>
    <col min="11003" max="11003" width="11" style="19" bestFit="1" customWidth="1"/>
    <col min="11004" max="11008" width="9.140625" style="19"/>
    <col min="11009" max="11009" width="10" style="19" bestFit="1" customWidth="1"/>
    <col min="11010" max="11010" width="12.42578125" style="19" bestFit="1" customWidth="1"/>
    <col min="11011" max="11258" width="9.140625" style="19"/>
    <col min="11259" max="11259" width="11" style="19" bestFit="1" customWidth="1"/>
    <col min="11260" max="11264" width="9.140625" style="19"/>
    <col min="11265" max="11265" width="10" style="19" bestFit="1" customWidth="1"/>
    <col min="11266" max="11266" width="12.42578125" style="19" bestFit="1" customWidth="1"/>
    <col min="11267" max="11514" width="9.140625" style="19"/>
    <col min="11515" max="11515" width="11" style="19" bestFit="1" customWidth="1"/>
    <col min="11516" max="11520" width="9.140625" style="19"/>
    <col min="11521" max="11521" width="10" style="19" bestFit="1" customWidth="1"/>
    <col min="11522" max="11522" width="12.42578125" style="19" bestFit="1" customWidth="1"/>
    <col min="11523" max="11770" width="9.140625" style="19"/>
    <col min="11771" max="11771" width="11" style="19" bestFit="1" customWidth="1"/>
    <col min="11772" max="11776" width="9.140625" style="19"/>
    <col min="11777" max="11777" width="10" style="19" bestFit="1" customWidth="1"/>
    <col min="11778" max="11778" width="12.42578125" style="19" bestFit="1" customWidth="1"/>
    <col min="11779" max="12026" width="9.140625" style="19"/>
    <col min="12027" max="12027" width="11" style="19" bestFit="1" customWidth="1"/>
    <col min="12028" max="12032" width="9.140625" style="19"/>
    <col min="12033" max="12033" width="10" style="19" bestFit="1" customWidth="1"/>
    <col min="12034" max="12034" width="12.42578125" style="19" bestFit="1" customWidth="1"/>
    <col min="12035" max="12282" width="9.140625" style="19"/>
    <col min="12283" max="12283" width="11" style="19" bestFit="1" customWidth="1"/>
    <col min="12284" max="12288" width="9.140625" style="19"/>
    <col min="12289" max="12289" width="10" style="19" bestFit="1" customWidth="1"/>
    <col min="12290" max="12290" width="12.42578125" style="19" bestFit="1" customWidth="1"/>
    <col min="12291" max="12538" width="9.140625" style="19"/>
    <col min="12539" max="12539" width="11" style="19" bestFit="1" customWidth="1"/>
    <col min="12540" max="12544" width="9.140625" style="19"/>
    <col min="12545" max="12545" width="10" style="19" bestFit="1" customWidth="1"/>
    <col min="12546" max="12546" width="12.42578125" style="19" bestFit="1" customWidth="1"/>
    <col min="12547" max="12794" width="9.140625" style="19"/>
    <col min="12795" max="12795" width="11" style="19" bestFit="1" customWidth="1"/>
    <col min="12796" max="12800" width="9.140625" style="19"/>
    <col min="12801" max="12801" width="10" style="19" bestFit="1" customWidth="1"/>
    <col min="12802" max="12802" width="12.42578125" style="19" bestFit="1" customWidth="1"/>
    <col min="12803" max="13050" width="9.140625" style="19"/>
    <col min="13051" max="13051" width="11" style="19" bestFit="1" customWidth="1"/>
    <col min="13052" max="13056" width="9.140625" style="19"/>
    <col min="13057" max="13057" width="10" style="19" bestFit="1" customWidth="1"/>
    <col min="13058" max="13058" width="12.42578125" style="19" bestFit="1" customWidth="1"/>
    <col min="13059" max="13306" width="9.140625" style="19"/>
    <col min="13307" max="13307" width="11" style="19" bestFit="1" customWidth="1"/>
    <col min="13308" max="13312" width="9.140625" style="19"/>
    <col min="13313" max="13313" width="10" style="19" bestFit="1" customWidth="1"/>
    <col min="13314" max="13314" width="12.42578125" style="19" bestFit="1" customWidth="1"/>
    <col min="13315" max="13562" width="9.140625" style="19"/>
    <col min="13563" max="13563" width="11" style="19" bestFit="1" customWidth="1"/>
    <col min="13564" max="13568" width="9.140625" style="19"/>
    <col min="13569" max="13569" width="10" style="19" bestFit="1" customWidth="1"/>
    <col min="13570" max="13570" width="12.42578125" style="19" bestFit="1" customWidth="1"/>
    <col min="13571" max="13818" width="9.140625" style="19"/>
    <col min="13819" max="13819" width="11" style="19" bestFit="1" customWidth="1"/>
    <col min="13820" max="13824" width="9.140625" style="19"/>
    <col min="13825" max="13825" width="10" style="19" bestFit="1" customWidth="1"/>
    <col min="13826" max="13826" width="12.42578125" style="19" bestFit="1" customWidth="1"/>
    <col min="13827" max="14074" width="9.140625" style="19"/>
    <col min="14075" max="14075" width="11" style="19" bestFit="1" customWidth="1"/>
    <col min="14076" max="14080" width="9.140625" style="19"/>
    <col min="14081" max="14081" width="10" style="19" bestFit="1" customWidth="1"/>
    <col min="14082" max="14082" width="12.42578125" style="19" bestFit="1" customWidth="1"/>
    <col min="14083" max="14330" width="9.140625" style="19"/>
    <col min="14331" max="14331" width="11" style="19" bestFit="1" customWidth="1"/>
    <col min="14332" max="14336" width="9.140625" style="19"/>
    <col min="14337" max="14337" width="10" style="19" bestFit="1" customWidth="1"/>
    <col min="14338" max="14338" width="12.42578125" style="19" bestFit="1" customWidth="1"/>
    <col min="14339" max="14586" width="9.140625" style="19"/>
    <col min="14587" max="14587" width="11" style="19" bestFit="1" customWidth="1"/>
    <col min="14588" max="14592" width="9.140625" style="19"/>
    <col min="14593" max="14593" width="10" style="19" bestFit="1" customWidth="1"/>
    <col min="14594" max="14594" width="12.42578125" style="19" bestFit="1" customWidth="1"/>
    <col min="14595" max="14842" width="9.140625" style="19"/>
    <col min="14843" max="14843" width="11" style="19" bestFit="1" customWidth="1"/>
    <col min="14844" max="14848" width="9.140625" style="19"/>
    <col min="14849" max="14849" width="10" style="19" bestFit="1" customWidth="1"/>
    <col min="14850" max="14850" width="12.42578125" style="19" bestFit="1" customWidth="1"/>
    <col min="14851" max="15098" width="9.140625" style="19"/>
    <col min="15099" max="15099" width="11" style="19" bestFit="1" customWidth="1"/>
    <col min="15100" max="15104" width="9.140625" style="19"/>
    <col min="15105" max="15105" width="10" style="19" bestFit="1" customWidth="1"/>
    <col min="15106" max="15106" width="12.42578125" style="19" bestFit="1" customWidth="1"/>
    <col min="15107" max="15354" width="9.140625" style="19"/>
    <col min="15355" max="15355" width="11" style="19" bestFit="1" customWidth="1"/>
    <col min="15356" max="15360" width="9.140625" style="19"/>
    <col min="15361" max="15361" width="10" style="19" bestFit="1" customWidth="1"/>
    <col min="15362" max="15362" width="12.42578125" style="19" bestFit="1" customWidth="1"/>
    <col min="15363" max="15610" width="9.140625" style="19"/>
    <col min="15611" max="15611" width="11" style="19" bestFit="1" customWidth="1"/>
    <col min="15612" max="15616" width="9.140625" style="19"/>
    <col min="15617" max="15617" width="10" style="19" bestFit="1" customWidth="1"/>
    <col min="15618" max="15618" width="12.42578125" style="19" bestFit="1" customWidth="1"/>
    <col min="15619" max="15866" width="9.140625" style="19"/>
    <col min="15867" max="15867" width="11" style="19" bestFit="1" customWidth="1"/>
    <col min="15868" max="15872" width="9.140625" style="19"/>
    <col min="15873" max="15873" width="10" style="19" bestFit="1" customWidth="1"/>
    <col min="15874" max="15874" width="12.42578125" style="19" bestFit="1" customWidth="1"/>
    <col min="15875" max="16122" width="9.140625" style="19"/>
    <col min="16123" max="16123" width="11" style="19" bestFit="1" customWidth="1"/>
    <col min="16124" max="16128" width="9.140625" style="19"/>
    <col min="16129" max="16129" width="10" style="19" bestFit="1" customWidth="1"/>
    <col min="16130" max="16130" width="12.42578125" style="19" bestFit="1" customWidth="1"/>
    <col min="16131" max="16384" width="9.140625" style="19"/>
  </cols>
  <sheetData>
    <row r="1" spans="1:5" ht="13.5" x14ac:dyDescent="0.25">
      <c r="A1" s="51" t="s">
        <v>15</v>
      </c>
      <c r="B1" s="52"/>
    </row>
    <row r="2" spans="1:5" ht="13.5" x14ac:dyDescent="0.25">
      <c r="A2" s="53">
        <v>0</v>
      </c>
      <c r="B2" s="54">
        <v>5.2300000000000003E-3</v>
      </c>
      <c r="D2" s="20"/>
      <c r="E2" s="20"/>
    </row>
    <row r="3" spans="1:5" ht="13.5" x14ac:dyDescent="0.25">
      <c r="A3" s="53">
        <v>1</v>
      </c>
      <c r="B3" s="54">
        <v>4.0000000000000002E-4</v>
      </c>
      <c r="D3" s="20"/>
      <c r="E3" s="20"/>
    </row>
    <row r="4" spans="1:5" ht="13.5" x14ac:dyDescent="0.25">
      <c r="A4" s="53">
        <v>2</v>
      </c>
      <c r="B4" s="54">
        <v>2.7999999999999998E-4</v>
      </c>
      <c r="D4" s="20"/>
      <c r="E4" s="20"/>
    </row>
    <row r="5" spans="1:5" ht="13.5" x14ac:dyDescent="0.25">
      <c r="A5" s="53">
        <v>3</v>
      </c>
      <c r="B5" s="54">
        <v>1.8000000000000001E-4</v>
      </c>
      <c r="D5" s="20"/>
      <c r="E5" s="20"/>
    </row>
    <row r="6" spans="1:5" ht="13.5" x14ac:dyDescent="0.25">
      <c r="A6" s="53">
        <v>4</v>
      </c>
      <c r="B6" s="54">
        <v>1.3999999999999999E-4</v>
      </c>
      <c r="D6" s="20"/>
      <c r="E6" s="20"/>
    </row>
    <row r="7" spans="1:5" ht="13.5" x14ac:dyDescent="0.25">
      <c r="A7" s="53">
        <v>5</v>
      </c>
      <c r="B7" s="54">
        <v>1.2999999999999999E-4</v>
      </c>
      <c r="D7" s="20"/>
      <c r="E7" s="20"/>
    </row>
    <row r="8" spans="1:5" ht="13.5" x14ac:dyDescent="0.25">
      <c r="A8" s="53">
        <v>6</v>
      </c>
      <c r="B8" s="54">
        <v>1.2E-4</v>
      </c>
      <c r="D8" s="20"/>
      <c r="E8" s="20"/>
    </row>
    <row r="9" spans="1:5" ht="13.5" x14ac:dyDescent="0.25">
      <c r="A9" s="53">
        <v>7</v>
      </c>
      <c r="B9" s="54">
        <v>1.1E-4</v>
      </c>
      <c r="D9" s="20"/>
      <c r="E9" s="20"/>
    </row>
    <row r="10" spans="1:5" ht="13.5" x14ac:dyDescent="0.25">
      <c r="A10" s="53">
        <v>8</v>
      </c>
      <c r="B10" s="54">
        <v>1E-4</v>
      </c>
      <c r="D10" s="20"/>
      <c r="E10" s="20"/>
    </row>
    <row r="11" spans="1:5" ht="13.5" x14ac:dyDescent="0.25">
      <c r="A11" s="53">
        <v>9</v>
      </c>
      <c r="B11" s="54">
        <v>1E-4</v>
      </c>
      <c r="D11" s="20"/>
      <c r="E11" s="20"/>
    </row>
    <row r="12" spans="1:5" ht="13.5" x14ac:dyDescent="0.25">
      <c r="A12" s="53">
        <v>10</v>
      </c>
      <c r="B12" s="54">
        <v>1E-4</v>
      </c>
      <c r="D12" s="20"/>
      <c r="E12" s="20"/>
    </row>
    <row r="13" spans="1:5" ht="13.5" x14ac:dyDescent="0.25">
      <c r="A13" s="53">
        <v>11</v>
      </c>
      <c r="B13" s="54">
        <v>1.1E-4</v>
      </c>
      <c r="D13" s="20"/>
      <c r="E13" s="20"/>
    </row>
    <row r="14" spans="1:5" ht="13.5" x14ac:dyDescent="0.25">
      <c r="A14" s="53">
        <v>12</v>
      </c>
      <c r="B14" s="54">
        <v>1.2E-4</v>
      </c>
      <c r="D14" s="20"/>
      <c r="E14" s="20"/>
    </row>
    <row r="15" spans="1:5" ht="13.5" x14ac:dyDescent="0.25">
      <c r="A15" s="53">
        <v>13</v>
      </c>
      <c r="B15" s="54">
        <v>1.2999999999999999E-4</v>
      </c>
      <c r="D15" s="20"/>
      <c r="E15" s="20"/>
    </row>
    <row r="16" spans="1:5" ht="13.5" x14ac:dyDescent="0.25">
      <c r="A16" s="53">
        <v>14</v>
      </c>
      <c r="B16" s="54">
        <v>1.6000000000000001E-4</v>
      </c>
      <c r="D16" s="20"/>
      <c r="E16" s="20"/>
    </row>
    <row r="17" spans="1:5" ht="13.5" x14ac:dyDescent="0.25">
      <c r="A17" s="53">
        <v>15</v>
      </c>
      <c r="B17" s="54">
        <v>2.2000000000000001E-4</v>
      </c>
      <c r="D17" s="20"/>
      <c r="E17" s="20"/>
    </row>
    <row r="18" spans="1:5" ht="13.5" x14ac:dyDescent="0.25">
      <c r="A18" s="53">
        <v>16</v>
      </c>
      <c r="B18" s="54">
        <v>3.5E-4</v>
      </c>
      <c r="D18" s="20"/>
      <c r="E18" s="20"/>
    </row>
    <row r="19" spans="1:5" ht="13.5" x14ac:dyDescent="0.25">
      <c r="A19" s="53">
        <v>17</v>
      </c>
      <c r="B19" s="54">
        <v>5.4000000000000001E-4</v>
      </c>
      <c r="D19" s="20"/>
      <c r="E19" s="20"/>
    </row>
    <row r="20" spans="1:5" ht="13.5" x14ac:dyDescent="0.25">
      <c r="A20" s="53">
        <v>18</v>
      </c>
      <c r="B20" s="54">
        <v>6.9999999999999999E-4</v>
      </c>
      <c r="D20" s="20"/>
      <c r="E20" s="20"/>
    </row>
    <row r="21" spans="1:5" ht="13.5" x14ac:dyDescent="0.25">
      <c r="A21" s="53">
        <v>19</v>
      </c>
      <c r="B21" s="54">
        <v>7.2999999999999996E-4</v>
      </c>
      <c r="D21" s="20"/>
      <c r="E21" s="20"/>
    </row>
    <row r="22" spans="1:5" ht="13.5" x14ac:dyDescent="0.25">
      <c r="A22" s="53">
        <v>20</v>
      </c>
      <c r="B22" s="54">
        <v>7.3999999999999999E-4</v>
      </c>
      <c r="D22" s="20"/>
      <c r="E22" s="20"/>
    </row>
    <row r="23" spans="1:5" ht="13.5" x14ac:dyDescent="0.25">
      <c r="A23" s="53">
        <v>21</v>
      </c>
      <c r="B23" s="54">
        <v>7.6000000000000004E-4</v>
      </c>
      <c r="D23" s="20"/>
      <c r="E23" s="20"/>
    </row>
    <row r="24" spans="1:5" ht="13.5" x14ac:dyDescent="0.25">
      <c r="A24" s="53">
        <v>22</v>
      </c>
      <c r="B24" s="54">
        <v>7.6999999999999996E-4</v>
      </c>
      <c r="D24" s="20"/>
      <c r="E24" s="20"/>
    </row>
    <row r="25" spans="1:5" ht="13.5" x14ac:dyDescent="0.25">
      <c r="A25" s="53">
        <v>23</v>
      </c>
      <c r="B25" s="54">
        <v>7.9000000000000001E-4</v>
      </c>
      <c r="D25" s="20"/>
      <c r="E25" s="20"/>
    </row>
    <row r="26" spans="1:5" ht="13.5" x14ac:dyDescent="0.25">
      <c r="A26" s="53">
        <v>24</v>
      </c>
      <c r="B26" s="54">
        <v>8.0999999999999996E-4</v>
      </c>
      <c r="D26" s="20"/>
      <c r="E26" s="20"/>
    </row>
    <row r="27" spans="1:5" ht="13.5" x14ac:dyDescent="0.25">
      <c r="A27" s="53">
        <v>25</v>
      </c>
      <c r="B27" s="54">
        <v>8.3000000000000001E-4</v>
      </c>
      <c r="D27" s="20"/>
      <c r="E27" s="20"/>
    </row>
    <row r="28" spans="1:5" ht="13.5" x14ac:dyDescent="0.25">
      <c r="A28" s="53">
        <v>26</v>
      </c>
      <c r="B28" s="54">
        <v>8.4999999999999995E-4</v>
      </c>
      <c r="D28" s="20"/>
      <c r="E28" s="20"/>
    </row>
    <row r="29" spans="1:5" ht="13.5" x14ac:dyDescent="0.25">
      <c r="A29" s="53">
        <v>27</v>
      </c>
      <c r="B29" s="54">
        <v>8.8000000000000003E-4</v>
      </c>
      <c r="D29" s="20"/>
      <c r="E29" s="20"/>
    </row>
    <row r="30" spans="1:5" ht="13.5" x14ac:dyDescent="0.25">
      <c r="A30" s="53">
        <v>28</v>
      </c>
      <c r="B30" s="54">
        <v>8.9999999999999998E-4</v>
      </c>
      <c r="D30" s="20"/>
      <c r="E30" s="20"/>
    </row>
    <row r="31" spans="1:5" ht="13.5" x14ac:dyDescent="0.25">
      <c r="A31" s="53">
        <v>29</v>
      </c>
      <c r="B31" s="54">
        <v>9.3000000000000005E-4</v>
      </c>
      <c r="D31" s="20"/>
      <c r="E31" s="20"/>
    </row>
    <row r="32" spans="1:5" ht="13.5" x14ac:dyDescent="0.25">
      <c r="A32" s="53">
        <v>30</v>
      </c>
      <c r="B32" s="54">
        <v>9.5E-4</v>
      </c>
      <c r="D32" s="20"/>
      <c r="E32" s="20"/>
    </row>
    <row r="33" spans="1:5" ht="13.5" x14ac:dyDescent="0.25">
      <c r="A33" s="53">
        <v>31</v>
      </c>
      <c r="B33" s="54">
        <v>9.7999999999999997E-4</v>
      </c>
      <c r="D33" s="20"/>
      <c r="E33" s="20"/>
    </row>
    <row r="34" spans="1:5" ht="13.5" x14ac:dyDescent="0.25">
      <c r="A34" s="53">
        <v>32</v>
      </c>
      <c r="B34" s="54">
        <v>1.01E-3</v>
      </c>
      <c r="D34" s="20"/>
      <c r="E34" s="20"/>
    </row>
    <row r="35" spans="1:5" ht="13.5" x14ac:dyDescent="0.25">
      <c r="A35" s="53">
        <v>33</v>
      </c>
      <c r="B35" s="54">
        <v>1.0499999999999999E-3</v>
      </c>
      <c r="D35" s="20"/>
      <c r="E35" s="20"/>
    </row>
    <row r="36" spans="1:5" ht="13.5" x14ac:dyDescent="0.25">
      <c r="A36" s="53">
        <v>34</v>
      </c>
      <c r="B36" s="54">
        <v>1.08E-3</v>
      </c>
      <c r="D36" s="20"/>
      <c r="E36" s="20"/>
    </row>
    <row r="37" spans="1:5" ht="13.5" x14ac:dyDescent="0.25">
      <c r="A37" s="53">
        <v>35</v>
      </c>
      <c r="B37" s="54">
        <v>1.1199999999999999E-3</v>
      </c>
      <c r="D37" s="20"/>
      <c r="E37" s="20"/>
    </row>
    <row r="38" spans="1:5" ht="13.5" x14ac:dyDescent="0.25">
      <c r="A38" s="53">
        <v>36</v>
      </c>
      <c r="B38" s="54">
        <v>1.17E-3</v>
      </c>
      <c r="D38" s="20"/>
      <c r="E38" s="20"/>
    </row>
    <row r="39" spans="1:5" ht="13.5" x14ac:dyDescent="0.25">
      <c r="A39" s="53">
        <v>37</v>
      </c>
      <c r="B39" s="54">
        <v>1.23E-3</v>
      </c>
      <c r="D39" s="20"/>
      <c r="E39" s="20"/>
    </row>
    <row r="40" spans="1:5" ht="13.5" x14ac:dyDescent="0.25">
      <c r="A40" s="53">
        <v>38</v>
      </c>
      <c r="B40" s="54">
        <v>1.2899999999999999E-3</v>
      </c>
      <c r="D40" s="20"/>
      <c r="E40" s="20"/>
    </row>
    <row r="41" spans="1:5" ht="13.5" x14ac:dyDescent="0.25">
      <c r="A41" s="53">
        <v>39</v>
      </c>
      <c r="B41" s="54">
        <v>1.3600000000000001E-3</v>
      </c>
      <c r="D41" s="20"/>
      <c r="E41" s="20"/>
    </row>
    <row r="42" spans="1:5" ht="13.5" x14ac:dyDescent="0.25">
      <c r="A42" s="53">
        <v>40</v>
      </c>
      <c r="B42" s="54">
        <v>1.4499999999999999E-3</v>
      </c>
      <c r="D42" s="20"/>
      <c r="E42" s="20"/>
    </row>
    <row r="43" spans="1:5" ht="13.5" x14ac:dyDescent="0.25">
      <c r="A43" s="53">
        <v>41</v>
      </c>
      <c r="B43" s="54">
        <v>1.5399999999999999E-3</v>
      </c>
      <c r="D43" s="20"/>
      <c r="E43" s="20"/>
    </row>
    <row r="44" spans="1:5" ht="13.5" x14ac:dyDescent="0.25">
      <c r="A44" s="53">
        <v>42</v>
      </c>
      <c r="B44" s="54">
        <v>1.65E-3</v>
      </c>
      <c r="D44" s="20"/>
      <c r="E44" s="20"/>
    </row>
    <row r="45" spans="1:5" ht="13.5" x14ac:dyDescent="0.25">
      <c r="A45" s="53">
        <v>43</v>
      </c>
      <c r="B45" s="54">
        <v>1.7600000000000001E-3</v>
      </c>
      <c r="D45" s="20"/>
      <c r="E45" s="20"/>
    </row>
    <row r="46" spans="1:5" ht="13.5" x14ac:dyDescent="0.25">
      <c r="A46" s="53">
        <v>44</v>
      </c>
      <c r="B46" s="54">
        <v>1.9E-3</v>
      </c>
      <c r="D46" s="20"/>
      <c r="E46" s="20"/>
    </row>
    <row r="47" spans="1:5" ht="13.5" x14ac:dyDescent="0.25">
      <c r="A47" s="53">
        <v>45</v>
      </c>
      <c r="B47" s="54">
        <v>2.0400000000000001E-3</v>
      </c>
      <c r="D47" s="20"/>
      <c r="E47" s="20"/>
    </row>
    <row r="48" spans="1:5" ht="13.5" x14ac:dyDescent="0.25">
      <c r="A48" s="53">
        <v>46</v>
      </c>
      <c r="B48" s="54">
        <v>2.2100000000000002E-3</v>
      </c>
      <c r="D48" s="20"/>
      <c r="E48" s="20"/>
    </row>
    <row r="49" spans="1:5" ht="13.5" x14ac:dyDescent="0.25">
      <c r="A49" s="53">
        <v>47</v>
      </c>
      <c r="B49" s="54">
        <v>2.3800000000000002E-3</v>
      </c>
      <c r="D49" s="20"/>
      <c r="E49" s="20"/>
    </row>
    <row r="50" spans="1:5" ht="13.5" x14ac:dyDescent="0.25">
      <c r="A50" s="53">
        <v>48</v>
      </c>
      <c r="B50" s="54">
        <v>2.5799999999999998E-3</v>
      </c>
      <c r="D50" s="20"/>
      <c r="E50" s="20"/>
    </row>
    <row r="51" spans="1:5" ht="13.5" x14ac:dyDescent="0.25">
      <c r="A51" s="53">
        <v>49</v>
      </c>
      <c r="B51" s="54">
        <v>2.8E-3</v>
      </c>
      <c r="D51" s="20"/>
      <c r="E51" s="20"/>
    </row>
    <row r="52" spans="1:5" ht="13.5" x14ac:dyDescent="0.25">
      <c r="A52" s="53">
        <v>50</v>
      </c>
      <c r="B52" s="54">
        <v>3.0300000000000001E-3</v>
      </c>
      <c r="D52" s="20"/>
      <c r="E52" s="20"/>
    </row>
    <row r="53" spans="1:5" ht="13.5" x14ac:dyDescent="0.25">
      <c r="A53" s="53">
        <v>51</v>
      </c>
      <c r="B53" s="54">
        <v>3.29E-3</v>
      </c>
      <c r="D53" s="20"/>
      <c r="E53" s="20"/>
    </row>
    <row r="54" spans="1:5" ht="13.5" x14ac:dyDescent="0.25">
      <c r="A54" s="53">
        <v>52</v>
      </c>
      <c r="B54" s="54">
        <v>3.5699999999999998E-3</v>
      </c>
      <c r="D54" s="20"/>
      <c r="E54" s="20"/>
    </row>
    <row r="55" spans="1:5" ht="13.5" x14ac:dyDescent="0.25">
      <c r="A55" s="53">
        <v>53</v>
      </c>
      <c r="B55" s="54">
        <v>3.8600000000000001E-3</v>
      </c>
      <c r="D55" s="20"/>
      <c r="E55" s="20"/>
    </row>
    <row r="56" spans="1:5" ht="13.5" x14ac:dyDescent="0.25">
      <c r="A56" s="53">
        <v>54</v>
      </c>
      <c r="B56" s="54">
        <v>4.1900000000000001E-3</v>
      </c>
      <c r="D56" s="20"/>
      <c r="E56" s="20"/>
    </row>
    <row r="57" spans="1:5" ht="13.5" x14ac:dyDescent="0.25">
      <c r="A57" s="53">
        <v>55</v>
      </c>
      <c r="B57" s="54">
        <v>4.5399999999999998E-3</v>
      </c>
      <c r="D57" s="20"/>
      <c r="E57" s="20"/>
    </row>
    <row r="58" spans="1:5" ht="13.5" x14ac:dyDescent="0.25">
      <c r="A58" s="53">
        <v>56</v>
      </c>
      <c r="B58" s="54">
        <v>4.9300000000000004E-3</v>
      </c>
      <c r="D58" s="20"/>
      <c r="E58" s="20"/>
    </row>
    <row r="59" spans="1:5" ht="13.5" x14ac:dyDescent="0.25">
      <c r="A59" s="53">
        <v>57</v>
      </c>
      <c r="B59" s="54">
        <v>5.3800000000000002E-3</v>
      </c>
      <c r="D59" s="20"/>
      <c r="E59" s="20"/>
    </row>
    <row r="60" spans="1:5" ht="13.5" x14ac:dyDescent="0.25">
      <c r="A60" s="53">
        <v>58</v>
      </c>
      <c r="B60" s="54">
        <v>5.9100000000000003E-3</v>
      </c>
      <c r="D60" s="20"/>
      <c r="E60" s="20"/>
    </row>
    <row r="61" spans="1:5" ht="13.5" x14ac:dyDescent="0.25">
      <c r="A61" s="53">
        <v>59</v>
      </c>
      <c r="B61" s="54">
        <v>6.5199999999999998E-3</v>
      </c>
      <c r="D61" s="20"/>
      <c r="E61" s="20"/>
    </row>
    <row r="62" spans="1:5" ht="13.5" x14ac:dyDescent="0.25">
      <c r="A62" s="53">
        <v>60</v>
      </c>
      <c r="B62" s="54">
        <v>7.2100000000000003E-3</v>
      </c>
      <c r="D62" s="20"/>
      <c r="E62" s="20"/>
    </row>
    <row r="63" spans="1:5" ht="13.5" x14ac:dyDescent="0.25">
      <c r="A63" s="53">
        <v>61</v>
      </c>
      <c r="B63" s="54">
        <v>7.9900000000000006E-3</v>
      </c>
      <c r="D63" s="20"/>
      <c r="E63" s="20"/>
    </row>
    <row r="64" spans="1:5" ht="13.5" x14ac:dyDescent="0.25">
      <c r="A64" s="53">
        <v>62</v>
      </c>
      <c r="B64" s="54">
        <v>8.8500000000000002E-3</v>
      </c>
      <c r="D64" s="20"/>
      <c r="E64" s="20"/>
    </row>
    <row r="65" spans="1:5" ht="13.5" x14ac:dyDescent="0.25">
      <c r="A65" s="53">
        <v>63</v>
      </c>
      <c r="B65" s="54">
        <v>9.8099999999999993E-3</v>
      </c>
      <c r="D65" s="20"/>
      <c r="E65" s="20"/>
    </row>
    <row r="66" spans="1:5" ht="13.5" x14ac:dyDescent="0.25">
      <c r="A66" s="53">
        <v>64</v>
      </c>
      <c r="B66" s="54">
        <v>1.085E-2</v>
      </c>
      <c r="D66" s="20"/>
      <c r="E66" s="20"/>
    </row>
    <row r="67" spans="1:5" ht="13.5" x14ac:dyDescent="0.25">
      <c r="A67" s="53">
        <v>65</v>
      </c>
      <c r="B67" s="54">
        <v>1.2E-2</v>
      </c>
      <c r="D67" s="20"/>
      <c r="E67" s="20"/>
    </row>
    <row r="68" spans="1:5" ht="13.5" x14ac:dyDescent="0.25">
      <c r="A68" s="53">
        <v>66</v>
      </c>
      <c r="B68" s="54">
        <v>1.323E-2</v>
      </c>
      <c r="D68" s="20"/>
      <c r="E68" s="20"/>
    </row>
    <row r="69" spans="1:5" ht="13.5" x14ac:dyDescent="0.25">
      <c r="A69" s="53">
        <v>67</v>
      </c>
      <c r="B69" s="54">
        <v>1.457E-2</v>
      </c>
      <c r="D69" s="20"/>
      <c r="E69" s="20"/>
    </row>
    <row r="70" spans="1:5" ht="13.5" x14ac:dyDescent="0.25">
      <c r="A70" s="53">
        <v>68</v>
      </c>
      <c r="B70" s="54">
        <v>1.601E-2</v>
      </c>
      <c r="D70" s="20"/>
      <c r="E70" s="20"/>
    </row>
    <row r="71" spans="1:5" ht="13.5" x14ac:dyDescent="0.25">
      <c r="A71" s="53">
        <v>69</v>
      </c>
      <c r="B71" s="54">
        <v>1.755E-2</v>
      </c>
      <c r="D71" s="20"/>
      <c r="E71" s="20"/>
    </row>
    <row r="72" spans="1:5" ht="13.5" x14ac:dyDescent="0.25">
      <c r="A72" s="53">
        <v>70</v>
      </c>
      <c r="B72" s="54">
        <v>1.9199999999999998E-2</v>
      </c>
      <c r="D72" s="20"/>
      <c r="E72" s="20"/>
    </row>
    <row r="73" spans="1:5" ht="13.5" x14ac:dyDescent="0.25">
      <c r="A73" s="53">
        <v>71</v>
      </c>
      <c r="B73" s="54">
        <v>2.1000000000000001E-2</v>
      </c>
      <c r="D73" s="20"/>
      <c r="E73" s="20"/>
    </row>
    <row r="74" spans="1:5" ht="13.5" x14ac:dyDescent="0.25">
      <c r="A74" s="53">
        <v>72</v>
      </c>
      <c r="B74" s="54">
        <v>2.3199999999999998E-2</v>
      </c>
      <c r="D74" s="20"/>
      <c r="E74" s="20"/>
    </row>
    <row r="75" spans="1:5" ht="13.5" x14ac:dyDescent="0.25">
      <c r="A75" s="53">
        <v>73</v>
      </c>
      <c r="B75" s="54">
        <v>2.6020000000000001E-2</v>
      </c>
      <c r="D75" s="20"/>
      <c r="E75" s="20"/>
    </row>
    <row r="76" spans="1:5" ht="13.5" x14ac:dyDescent="0.25">
      <c r="A76" s="53">
        <v>74</v>
      </c>
      <c r="B76" s="54">
        <v>2.938E-2</v>
      </c>
      <c r="D76" s="20"/>
      <c r="E76" s="20"/>
    </row>
    <row r="77" spans="1:5" ht="13.5" x14ac:dyDescent="0.25">
      <c r="A77" s="53">
        <v>75</v>
      </c>
      <c r="B77" s="54">
        <v>3.3119999999999997E-2</v>
      </c>
      <c r="D77" s="20"/>
      <c r="E77" s="20"/>
    </row>
    <row r="78" spans="1:5" ht="13.5" x14ac:dyDescent="0.25">
      <c r="A78" s="53">
        <v>76</v>
      </c>
      <c r="B78" s="54">
        <v>3.7159999999999999E-2</v>
      </c>
      <c r="D78" s="20"/>
      <c r="E78" s="20"/>
    </row>
    <row r="79" spans="1:5" ht="13.5" x14ac:dyDescent="0.25">
      <c r="A79" s="53">
        <v>77</v>
      </c>
      <c r="B79" s="54">
        <v>4.1529999999999997E-2</v>
      </c>
      <c r="D79" s="20"/>
      <c r="E79" s="20"/>
    </row>
    <row r="80" spans="1:5" ht="13.5" x14ac:dyDescent="0.25">
      <c r="A80" s="53">
        <v>78</v>
      </c>
      <c r="B80" s="54">
        <v>4.6339999999999999E-2</v>
      </c>
      <c r="D80" s="20"/>
      <c r="E80" s="20"/>
    </row>
    <row r="81" spans="1:5" ht="13.5" x14ac:dyDescent="0.25">
      <c r="A81" s="53">
        <v>79</v>
      </c>
      <c r="B81" s="54">
        <v>5.1670000000000001E-2</v>
      </c>
      <c r="D81" s="20"/>
      <c r="E81" s="20"/>
    </row>
    <row r="82" spans="1:5" ht="13.5" x14ac:dyDescent="0.25">
      <c r="A82" s="53">
        <v>80</v>
      </c>
      <c r="B82" s="54">
        <v>5.7599999999999998E-2</v>
      </c>
      <c r="D82" s="20"/>
      <c r="E82" s="20"/>
    </row>
    <row r="83" spans="1:5" ht="13.5" x14ac:dyDescent="0.25">
      <c r="A83" s="53">
        <v>81</v>
      </c>
      <c r="B83" s="54">
        <v>6.4219999999999999E-2</v>
      </c>
      <c r="D83" s="20"/>
      <c r="E83" s="20"/>
    </row>
    <row r="84" spans="1:5" ht="13.5" x14ac:dyDescent="0.25">
      <c r="A84" s="53">
        <v>82</v>
      </c>
      <c r="B84" s="54">
        <v>7.1599999999999997E-2</v>
      </c>
      <c r="D84" s="20"/>
      <c r="E84" s="20"/>
    </row>
    <row r="85" spans="1:5" ht="13.5" x14ac:dyDescent="0.25">
      <c r="A85" s="53">
        <v>83</v>
      </c>
      <c r="B85" s="54">
        <v>7.9829999999999998E-2</v>
      </c>
      <c r="D85" s="20"/>
      <c r="E85" s="20"/>
    </row>
    <row r="86" spans="1:5" ht="13.5" x14ac:dyDescent="0.25">
      <c r="A86" s="53">
        <v>84</v>
      </c>
      <c r="B86" s="54">
        <v>8.8959999999999997E-2</v>
      </c>
      <c r="D86" s="20"/>
      <c r="E86" s="20"/>
    </row>
    <row r="87" spans="1:5" ht="13.5" x14ac:dyDescent="0.25">
      <c r="A87" s="53">
        <v>85</v>
      </c>
      <c r="B87" s="54">
        <v>9.9070000000000005E-2</v>
      </c>
      <c r="D87" s="20"/>
      <c r="E87" s="20"/>
    </row>
    <row r="88" spans="1:5" ht="13.5" x14ac:dyDescent="0.25">
      <c r="A88" s="53">
        <v>86</v>
      </c>
      <c r="B88" s="54">
        <v>0.11020000000000001</v>
      </c>
      <c r="D88" s="20"/>
      <c r="E88" s="20"/>
    </row>
    <row r="89" spans="1:5" ht="13.5" x14ac:dyDescent="0.25">
      <c r="A89" s="53">
        <v>87</v>
      </c>
      <c r="B89" s="54">
        <v>0.12236</v>
      </c>
      <c r="D89" s="20"/>
      <c r="E89" s="20"/>
    </row>
    <row r="90" spans="1:5" ht="13.5" x14ac:dyDescent="0.25">
      <c r="A90" s="53">
        <v>88</v>
      </c>
      <c r="B90" s="54">
        <v>0.13533999999999999</v>
      </c>
      <c r="D90" s="20"/>
      <c r="E90" s="20"/>
    </row>
    <row r="91" spans="1:5" ht="13.5" x14ac:dyDescent="0.25">
      <c r="A91" s="53">
        <v>89</v>
      </c>
      <c r="B91" s="54">
        <v>0.14892</v>
      </c>
      <c r="D91" s="20"/>
      <c r="E91" s="20"/>
    </row>
    <row r="92" spans="1:5" ht="13.5" x14ac:dyDescent="0.25">
      <c r="A92" s="53">
        <v>90</v>
      </c>
      <c r="B92" s="54">
        <v>0.16286</v>
      </c>
      <c r="D92" s="20"/>
      <c r="E92" s="20"/>
    </row>
    <row r="93" spans="1:5" ht="13.5" x14ac:dyDescent="0.25">
      <c r="A93" s="53">
        <v>91</v>
      </c>
      <c r="B93" s="54">
        <v>0.17696000000000001</v>
      </c>
      <c r="D93" s="20"/>
      <c r="E93" s="20"/>
    </row>
    <row r="94" spans="1:5" ht="13.5" x14ac:dyDescent="0.25">
      <c r="A94" s="53">
        <v>92</v>
      </c>
      <c r="B94" s="54">
        <v>0.19102</v>
      </c>
      <c r="D94" s="20"/>
      <c r="E94" s="20"/>
    </row>
    <row r="95" spans="1:5" ht="13.5" x14ac:dyDescent="0.25">
      <c r="A95" s="53">
        <v>93</v>
      </c>
      <c r="B95" s="54">
        <v>0.20483999999999999</v>
      </c>
      <c r="D95" s="20"/>
      <c r="E95" s="20"/>
    </row>
    <row r="96" spans="1:5" ht="13.5" x14ac:dyDescent="0.25">
      <c r="A96" s="53">
        <v>94</v>
      </c>
      <c r="B96" s="54">
        <v>0.21823999999999999</v>
      </c>
      <c r="D96" s="20"/>
      <c r="E96" s="20"/>
    </row>
    <row r="97" spans="1:5" ht="13.5" x14ac:dyDescent="0.25">
      <c r="A97" s="53">
        <v>95</v>
      </c>
      <c r="B97" s="54">
        <v>0.23105999999999999</v>
      </c>
      <c r="D97" s="20"/>
      <c r="E97" s="20"/>
    </row>
    <row r="98" spans="1:5" ht="13.5" x14ac:dyDescent="0.25">
      <c r="A98" s="53">
        <v>96</v>
      </c>
      <c r="B98" s="54">
        <v>0.24315000000000001</v>
      </c>
      <c r="D98" s="20"/>
      <c r="E98" s="20"/>
    </row>
    <row r="99" spans="1:5" ht="13.5" x14ac:dyDescent="0.25">
      <c r="A99" s="53">
        <v>97</v>
      </c>
      <c r="B99" s="54">
        <v>0.25436999999999999</v>
      </c>
      <c r="D99" s="20"/>
      <c r="E99" s="20"/>
    </row>
    <row r="100" spans="1:5" ht="13.5" x14ac:dyDescent="0.25">
      <c r="A100" s="53">
        <v>98</v>
      </c>
      <c r="B100" s="54">
        <v>0.26457999999999998</v>
      </c>
      <c r="D100" s="20"/>
      <c r="E100" s="20"/>
    </row>
    <row r="101" spans="1:5" ht="13.5" x14ac:dyDescent="0.25">
      <c r="A101" s="53">
        <v>99</v>
      </c>
      <c r="B101" s="54">
        <v>0.27366000000000001</v>
      </c>
      <c r="D101" s="20"/>
      <c r="E101" s="20"/>
    </row>
    <row r="102" spans="1:5" ht="13.5" x14ac:dyDescent="0.25">
      <c r="A102" s="53">
        <v>100</v>
      </c>
      <c r="B102" s="54">
        <v>0.28205000000000002</v>
      </c>
      <c r="D102" s="20"/>
      <c r="E102" s="20"/>
    </row>
    <row r="103" spans="1:5" ht="13.5" x14ac:dyDescent="0.25">
      <c r="A103" s="53">
        <v>101</v>
      </c>
      <c r="B103" s="54">
        <v>0.29175000000000001</v>
      </c>
      <c r="D103" s="20"/>
      <c r="E103" s="20"/>
    </row>
    <row r="104" spans="1:5" ht="13.5" x14ac:dyDescent="0.25">
      <c r="A104" s="53">
        <v>102</v>
      </c>
      <c r="B104" s="54">
        <v>0.30020000000000002</v>
      </c>
      <c r="D104" s="20"/>
      <c r="E104" s="20"/>
    </row>
    <row r="105" spans="1:5" ht="13.5" x14ac:dyDescent="0.25">
      <c r="A105" s="53">
        <v>103</v>
      </c>
      <c r="B105" s="54">
        <v>0.30768000000000001</v>
      </c>
      <c r="D105" s="20"/>
      <c r="E105" s="20"/>
    </row>
    <row r="106" spans="1:5" ht="13.5" x14ac:dyDescent="0.25">
      <c r="A106" s="53">
        <v>104</v>
      </c>
      <c r="B106" s="54">
        <v>0.31442999999999999</v>
      </c>
      <c r="D106" s="20"/>
      <c r="E106" s="20"/>
    </row>
    <row r="107" spans="1:5" ht="13.5" x14ac:dyDescent="0.25">
      <c r="A107" s="53">
        <v>105</v>
      </c>
      <c r="B107" s="54">
        <v>0.32068999999999998</v>
      </c>
      <c r="D107" s="20"/>
      <c r="E107" s="20"/>
    </row>
    <row r="108" spans="1:5" ht="13.5" x14ac:dyDescent="0.25">
      <c r="A108" s="53">
        <v>106</v>
      </c>
      <c r="B108" s="54">
        <v>0.3261</v>
      </c>
      <c r="D108" s="20"/>
      <c r="E108" s="20"/>
    </row>
    <row r="109" spans="1:5" ht="13.5" x14ac:dyDescent="0.25">
      <c r="A109" s="53">
        <v>107</v>
      </c>
      <c r="B109" s="54">
        <v>0.33110000000000001</v>
      </c>
      <c r="D109" s="20"/>
      <c r="E109" s="20"/>
    </row>
    <row r="110" spans="1:5" ht="13.5" x14ac:dyDescent="0.25">
      <c r="A110" s="53">
        <v>108</v>
      </c>
      <c r="B110" s="54">
        <v>0.33656999999999998</v>
      </c>
      <c r="D110" s="20"/>
      <c r="E110" s="20"/>
    </row>
    <row r="111" spans="1:5" ht="13.5" x14ac:dyDescent="0.25">
      <c r="A111" s="53">
        <v>109</v>
      </c>
      <c r="B111" s="54">
        <v>0.34192</v>
      </c>
      <c r="D111" s="20"/>
      <c r="E111" s="20"/>
    </row>
  </sheetData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7"/>
  <sheetViews>
    <sheetView zoomScale="85" zoomScaleNormal="85" zoomScaleSheetLayoutView="90" workbookViewId="0">
      <pane xSplit="4" ySplit="25" topLeftCell="E26" activePane="bottomRight" state="frozen"/>
      <selection pane="topRight" activeCell="D1" sqref="D1"/>
      <selection pane="bottomLeft" activeCell="A27" sqref="A27"/>
      <selection pane="bottomRight" activeCell="O18" sqref="O18"/>
    </sheetView>
  </sheetViews>
  <sheetFormatPr defaultRowHeight="13.5" x14ac:dyDescent="0.25"/>
  <cols>
    <col min="1" max="1" width="5.7109375" style="9" customWidth="1"/>
    <col min="2" max="4" width="13.7109375" style="9" customWidth="1"/>
    <col min="5" max="13" width="13.7109375" style="6" customWidth="1"/>
    <col min="14" max="15" width="13.7109375" style="17" customWidth="1"/>
    <col min="16" max="27" width="13.7109375" style="6" customWidth="1"/>
    <col min="28" max="245" width="9.140625" style="6"/>
    <col min="246" max="246" width="14.85546875" style="6" customWidth="1"/>
    <col min="247" max="247" width="15.85546875" style="6" customWidth="1"/>
    <col min="248" max="248" width="9.85546875" style="6" customWidth="1"/>
    <col min="249" max="249" width="6.85546875" style="6" customWidth="1"/>
    <col min="250" max="251" width="10.85546875" style="6" customWidth="1"/>
    <col min="252" max="252" width="5.7109375" style="6" customWidth="1"/>
    <col min="253" max="253" width="11.5703125" style="6" customWidth="1"/>
    <col min="254" max="254" width="9.140625" style="6"/>
    <col min="255" max="255" width="9.7109375" style="6" customWidth="1"/>
    <col min="256" max="256" width="8.5703125" style="6" customWidth="1"/>
    <col min="257" max="258" width="0" style="6" hidden="1" customWidth="1"/>
    <col min="259" max="259" width="8.28515625" style="6" customWidth="1"/>
    <col min="260" max="260" width="11.85546875" style="6" customWidth="1"/>
    <col min="261" max="261" width="11.42578125" style="6" customWidth="1"/>
    <col min="262" max="262" width="9.140625" style="6"/>
    <col min="263" max="263" width="7.85546875" style="6" customWidth="1"/>
    <col min="264" max="501" width="9.140625" style="6"/>
    <col min="502" max="502" width="14.85546875" style="6" customWidth="1"/>
    <col min="503" max="503" width="15.85546875" style="6" customWidth="1"/>
    <col min="504" max="504" width="9.85546875" style="6" customWidth="1"/>
    <col min="505" max="505" width="6.85546875" style="6" customWidth="1"/>
    <col min="506" max="507" width="10.85546875" style="6" customWidth="1"/>
    <col min="508" max="508" width="5.7109375" style="6" customWidth="1"/>
    <col min="509" max="509" width="11.5703125" style="6" customWidth="1"/>
    <col min="510" max="510" width="9.140625" style="6"/>
    <col min="511" max="511" width="9.7109375" style="6" customWidth="1"/>
    <col min="512" max="512" width="8.5703125" style="6" customWidth="1"/>
    <col min="513" max="514" width="0" style="6" hidden="1" customWidth="1"/>
    <col min="515" max="515" width="8.28515625" style="6" customWidth="1"/>
    <col min="516" max="516" width="11.85546875" style="6" customWidth="1"/>
    <col min="517" max="517" width="11.42578125" style="6" customWidth="1"/>
    <col min="518" max="518" width="9.140625" style="6"/>
    <col min="519" max="519" width="7.85546875" style="6" customWidth="1"/>
    <col min="520" max="757" width="9.140625" style="6"/>
    <col min="758" max="758" width="14.85546875" style="6" customWidth="1"/>
    <col min="759" max="759" width="15.85546875" style="6" customWidth="1"/>
    <col min="760" max="760" width="9.85546875" style="6" customWidth="1"/>
    <col min="761" max="761" width="6.85546875" style="6" customWidth="1"/>
    <col min="762" max="763" width="10.85546875" style="6" customWidth="1"/>
    <col min="764" max="764" width="5.7109375" style="6" customWidth="1"/>
    <col min="765" max="765" width="11.5703125" style="6" customWidth="1"/>
    <col min="766" max="766" width="9.140625" style="6"/>
    <col min="767" max="767" width="9.7109375" style="6" customWidth="1"/>
    <col min="768" max="768" width="8.5703125" style="6" customWidth="1"/>
    <col min="769" max="770" width="0" style="6" hidden="1" customWidth="1"/>
    <col min="771" max="771" width="8.28515625" style="6" customWidth="1"/>
    <col min="772" max="772" width="11.85546875" style="6" customWidth="1"/>
    <col min="773" max="773" width="11.42578125" style="6" customWidth="1"/>
    <col min="774" max="774" width="9.140625" style="6"/>
    <col min="775" max="775" width="7.85546875" style="6" customWidth="1"/>
    <col min="776" max="1013" width="9.140625" style="6"/>
    <col min="1014" max="1014" width="14.85546875" style="6" customWidth="1"/>
    <col min="1015" max="1015" width="15.85546875" style="6" customWidth="1"/>
    <col min="1016" max="1016" width="9.85546875" style="6" customWidth="1"/>
    <col min="1017" max="1017" width="6.85546875" style="6" customWidth="1"/>
    <col min="1018" max="1019" width="10.85546875" style="6" customWidth="1"/>
    <col min="1020" max="1020" width="5.7109375" style="6" customWidth="1"/>
    <col min="1021" max="1021" width="11.5703125" style="6" customWidth="1"/>
    <col min="1022" max="1022" width="9.140625" style="6"/>
    <col min="1023" max="1023" width="9.7109375" style="6" customWidth="1"/>
    <col min="1024" max="1024" width="8.5703125" style="6" customWidth="1"/>
    <col min="1025" max="1026" width="0" style="6" hidden="1" customWidth="1"/>
    <col min="1027" max="1027" width="8.28515625" style="6" customWidth="1"/>
    <col min="1028" max="1028" width="11.85546875" style="6" customWidth="1"/>
    <col min="1029" max="1029" width="11.42578125" style="6" customWidth="1"/>
    <col min="1030" max="1030" width="9.140625" style="6"/>
    <col min="1031" max="1031" width="7.85546875" style="6" customWidth="1"/>
    <col min="1032" max="1269" width="9.140625" style="6"/>
    <col min="1270" max="1270" width="14.85546875" style="6" customWidth="1"/>
    <col min="1271" max="1271" width="15.85546875" style="6" customWidth="1"/>
    <col min="1272" max="1272" width="9.85546875" style="6" customWidth="1"/>
    <col min="1273" max="1273" width="6.85546875" style="6" customWidth="1"/>
    <col min="1274" max="1275" width="10.85546875" style="6" customWidth="1"/>
    <col min="1276" max="1276" width="5.7109375" style="6" customWidth="1"/>
    <col min="1277" max="1277" width="11.5703125" style="6" customWidth="1"/>
    <col min="1278" max="1278" width="9.140625" style="6"/>
    <col min="1279" max="1279" width="9.7109375" style="6" customWidth="1"/>
    <col min="1280" max="1280" width="8.5703125" style="6" customWidth="1"/>
    <col min="1281" max="1282" width="0" style="6" hidden="1" customWidth="1"/>
    <col min="1283" max="1283" width="8.28515625" style="6" customWidth="1"/>
    <col min="1284" max="1284" width="11.85546875" style="6" customWidth="1"/>
    <col min="1285" max="1285" width="11.42578125" style="6" customWidth="1"/>
    <col min="1286" max="1286" width="9.140625" style="6"/>
    <col min="1287" max="1287" width="7.85546875" style="6" customWidth="1"/>
    <col min="1288" max="1525" width="9.140625" style="6"/>
    <col min="1526" max="1526" width="14.85546875" style="6" customWidth="1"/>
    <col min="1527" max="1527" width="15.85546875" style="6" customWidth="1"/>
    <col min="1528" max="1528" width="9.85546875" style="6" customWidth="1"/>
    <col min="1529" max="1529" width="6.85546875" style="6" customWidth="1"/>
    <col min="1530" max="1531" width="10.85546875" style="6" customWidth="1"/>
    <col min="1532" max="1532" width="5.7109375" style="6" customWidth="1"/>
    <col min="1533" max="1533" width="11.5703125" style="6" customWidth="1"/>
    <col min="1534" max="1534" width="9.140625" style="6"/>
    <col min="1535" max="1535" width="9.7109375" style="6" customWidth="1"/>
    <col min="1536" max="1536" width="8.5703125" style="6" customWidth="1"/>
    <col min="1537" max="1538" width="0" style="6" hidden="1" customWidth="1"/>
    <col min="1539" max="1539" width="8.28515625" style="6" customWidth="1"/>
    <col min="1540" max="1540" width="11.85546875" style="6" customWidth="1"/>
    <col min="1541" max="1541" width="11.42578125" style="6" customWidth="1"/>
    <col min="1542" max="1542" width="9.140625" style="6"/>
    <col min="1543" max="1543" width="7.85546875" style="6" customWidth="1"/>
    <col min="1544" max="1781" width="9.140625" style="6"/>
    <col min="1782" max="1782" width="14.85546875" style="6" customWidth="1"/>
    <col min="1783" max="1783" width="15.85546875" style="6" customWidth="1"/>
    <col min="1784" max="1784" width="9.85546875" style="6" customWidth="1"/>
    <col min="1785" max="1785" width="6.85546875" style="6" customWidth="1"/>
    <col min="1786" max="1787" width="10.85546875" style="6" customWidth="1"/>
    <col min="1788" max="1788" width="5.7109375" style="6" customWidth="1"/>
    <col min="1789" max="1789" width="11.5703125" style="6" customWidth="1"/>
    <col min="1790" max="1790" width="9.140625" style="6"/>
    <col min="1791" max="1791" width="9.7109375" style="6" customWidth="1"/>
    <col min="1792" max="1792" width="8.5703125" style="6" customWidth="1"/>
    <col min="1793" max="1794" width="0" style="6" hidden="1" customWidth="1"/>
    <col min="1795" max="1795" width="8.28515625" style="6" customWidth="1"/>
    <col min="1796" max="1796" width="11.85546875" style="6" customWidth="1"/>
    <col min="1797" max="1797" width="11.42578125" style="6" customWidth="1"/>
    <col min="1798" max="1798" width="9.140625" style="6"/>
    <col min="1799" max="1799" width="7.85546875" style="6" customWidth="1"/>
    <col min="1800" max="2037" width="9.140625" style="6"/>
    <col min="2038" max="2038" width="14.85546875" style="6" customWidth="1"/>
    <col min="2039" max="2039" width="15.85546875" style="6" customWidth="1"/>
    <col min="2040" max="2040" width="9.85546875" style="6" customWidth="1"/>
    <col min="2041" max="2041" width="6.85546875" style="6" customWidth="1"/>
    <col min="2042" max="2043" width="10.85546875" style="6" customWidth="1"/>
    <col min="2044" max="2044" width="5.7109375" style="6" customWidth="1"/>
    <col min="2045" max="2045" width="11.5703125" style="6" customWidth="1"/>
    <col min="2046" max="2046" width="9.140625" style="6"/>
    <col min="2047" max="2047" width="9.7109375" style="6" customWidth="1"/>
    <col min="2048" max="2048" width="8.5703125" style="6" customWidth="1"/>
    <col min="2049" max="2050" width="0" style="6" hidden="1" customWidth="1"/>
    <col min="2051" max="2051" width="8.28515625" style="6" customWidth="1"/>
    <col min="2052" max="2052" width="11.85546875" style="6" customWidth="1"/>
    <col min="2053" max="2053" width="11.42578125" style="6" customWidth="1"/>
    <col min="2054" max="2054" width="9.140625" style="6"/>
    <col min="2055" max="2055" width="7.85546875" style="6" customWidth="1"/>
    <col min="2056" max="2293" width="9.140625" style="6"/>
    <col min="2294" max="2294" width="14.85546875" style="6" customWidth="1"/>
    <col min="2295" max="2295" width="15.85546875" style="6" customWidth="1"/>
    <col min="2296" max="2296" width="9.85546875" style="6" customWidth="1"/>
    <col min="2297" max="2297" width="6.85546875" style="6" customWidth="1"/>
    <col min="2298" max="2299" width="10.85546875" style="6" customWidth="1"/>
    <col min="2300" max="2300" width="5.7109375" style="6" customWidth="1"/>
    <col min="2301" max="2301" width="11.5703125" style="6" customWidth="1"/>
    <col min="2302" max="2302" width="9.140625" style="6"/>
    <col min="2303" max="2303" width="9.7109375" style="6" customWidth="1"/>
    <col min="2304" max="2304" width="8.5703125" style="6" customWidth="1"/>
    <col min="2305" max="2306" width="0" style="6" hidden="1" customWidth="1"/>
    <col min="2307" max="2307" width="8.28515625" style="6" customWidth="1"/>
    <col min="2308" max="2308" width="11.85546875" style="6" customWidth="1"/>
    <col min="2309" max="2309" width="11.42578125" style="6" customWidth="1"/>
    <col min="2310" max="2310" width="9.140625" style="6"/>
    <col min="2311" max="2311" width="7.85546875" style="6" customWidth="1"/>
    <col min="2312" max="2549" width="9.140625" style="6"/>
    <col min="2550" max="2550" width="14.85546875" style="6" customWidth="1"/>
    <col min="2551" max="2551" width="15.85546875" style="6" customWidth="1"/>
    <col min="2552" max="2552" width="9.85546875" style="6" customWidth="1"/>
    <col min="2553" max="2553" width="6.85546875" style="6" customWidth="1"/>
    <col min="2554" max="2555" width="10.85546875" style="6" customWidth="1"/>
    <col min="2556" max="2556" width="5.7109375" style="6" customWidth="1"/>
    <col min="2557" max="2557" width="11.5703125" style="6" customWidth="1"/>
    <col min="2558" max="2558" width="9.140625" style="6"/>
    <col min="2559" max="2559" width="9.7109375" style="6" customWidth="1"/>
    <col min="2560" max="2560" width="8.5703125" style="6" customWidth="1"/>
    <col min="2561" max="2562" width="0" style="6" hidden="1" customWidth="1"/>
    <col min="2563" max="2563" width="8.28515625" style="6" customWidth="1"/>
    <col min="2564" max="2564" width="11.85546875" style="6" customWidth="1"/>
    <col min="2565" max="2565" width="11.42578125" style="6" customWidth="1"/>
    <col min="2566" max="2566" width="9.140625" style="6"/>
    <col min="2567" max="2567" width="7.85546875" style="6" customWidth="1"/>
    <col min="2568" max="2805" width="9.140625" style="6"/>
    <col min="2806" max="2806" width="14.85546875" style="6" customWidth="1"/>
    <col min="2807" max="2807" width="15.85546875" style="6" customWidth="1"/>
    <col min="2808" max="2808" width="9.85546875" style="6" customWidth="1"/>
    <col min="2809" max="2809" width="6.85546875" style="6" customWidth="1"/>
    <col min="2810" max="2811" width="10.85546875" style="6" customWidth="1"/>
    <col min="2812" max="2812" width="5.7109375" style="6" customWidth="1"/>
    <col min="2813" max="2813" width="11.5703125" style="6" customWidth="1"/>
    <col min="2814" max="2814" width="9.140625" style="6"/>
    <col min="2815" max="2815" width="9.7109375" style="6" customWidth="1"/>
    <col min="2816" max="2816" width="8.5703125" style="6" customWidth="1"/>
    <col min="2817" max="2818" width="0" style="6" hidden="1" customWidth="1"/>
    <col min="2819" max="2819" width="8.28515625" style="6" customWidth="1"/>
    <col min="2820" max="2820" width="11.85546875" style="6" customWidth="1"/>
    <col min="2821" max="2821" width="11.42578125" style="6" customWidth="1"/>
    <col min="2822" max="2822" width="9.140625" style="6"/>
    <col min="2823" max="2823" width="7.85546875" style="6" customWidth="1"/>
    <col min="2824" max="3061" width="9.140625" style="6"/>
    <col min="3062" max="3062" width="14.85546875" style="6" customWidth="1"/>
    <col min="3063" max="3063" width="15.85546875" style="6" customWidth="1"/>
    <col min="3064" max="3064" width="9.85546875" style="6" customWidth="1"/>
    <col min="3065" max="3065" width="6.85546875" style="6" customWidth="1"/>
    <col min="3066" max="3067" width="10.85546875" style="6" customWidth="1"/>
    <col min="3068" max="3068" width="5.7109375" style="6" customWidth="1"/>
    <col min="3069" max="3069" width="11.5703125" style="6" customWidth="1"/>
    <col min="3070" max="3070" width="9.140625" style="6"/>
    <col min="3071" max="3071" width="9.7109375" style="6" customWidth="1"/>
    <col min="3072" max="3072" width="8.5703125" style="6" customWidth="1"/>
    <col min="3073" max="3074" width="0" style="6" hidden="1" customWidth="1"/>
    <col min="3075" max="3075" width="8.28515625" style="6" customWidth="1"/>
    <col min="3076" max="3076" width="11.85546875" style="6" customWidth="1"/>
    <col min="3077" max="3077" width="11.42578125" style="6" customWidth="1"/>
    <col min="3078" max="3078" width="9.140625" style="6"/>
    <col min="3079" max="3079" width="7.85546875" style="6" customWidth="1"/>
    <col min="3080" max="3317" width="9.140625" style="6"/>
    <col min="3318" max="3318" width="14.85546875" style="6" customWidth="1"/>
    <col min="3319" max="3319" width="15.85546875" style="6" customWidth="1"/>
    <col min="3320" max="3320" width="9.85546875" style="6" customWidth="1"/>
    <col min="3321" max="3321" width="6.85546875" style="6" customWidth="1"/>
    <col min="3322" max="3323" width="10.85546875" style="6" customWidth="1"/>
    <col min="3324" max="3324" width="5.7109375" style="6" customWidth="1"/>
    <col min="3325" max="3325" width="11.5703125" style="6" customWidth="1"/>
    <col min="3326" max="3326" width="9.140625" style="6"/>
    <col min="3327" max="3327" width="9.7109375" style="6" customWidth="1"/>
    <col min="3328" max="3328" width="8.5703125" style="6" customWidth="1"/>
    <col min="3329" max="3330" width="0" style="6" hidden="1" customWidth="1"/>
    <col min="3331" max="3331" width="8.28515625" style="6" customWidth="1"/>
    <col min="3332" max="3332" width="11.85546875" style="6" customWidth="1"/>
    <col min="3333" max="3333" width="11.42578125" style="6" customWidth="1"/>
    <col min="3334" max="3334" width="9.140625" style="6"/>
    <col min="3335" max="3335" width="7.85546875" style="6" customWidth="1"/>
    <col min="3336" max="3573" width="9.140625" style="6"/>
    <col min="3574" max="3574" width="14.85546875" style="6" customWidth="1"/>
    <col min="3575" max="3575" width="15.85546875" style="6" customWidth="1"/>
    <col min="3576" max="3576" width="9.85546875" style="6" customWidth="1"/>
    <col min="3577" max="3577" width="6.85546875" style="6" customWidth="1"/>
    <col min="3578" max="3579" width="10.85546875" style="6" customWidth="1"/>
    <col min="3580" max="3580" width="5.7109375" style="6" customWidth="1"/>
    <col min="3581" max="3581" width="11.5703125" style="6" customWidth="1"/>
    <col min="3582" max="3582" width="9.140625" style="6"/>
    <col min="3583" max="3583" width="9.7109375" style="6" customWidth="1"/>
    <col min="3584" max="3584" width="8.5703125" style="6" customWidth="1"/>
    <col min="3585" max="3586" width="0" style="6" hidden="1" customWidth="1"/>
    <col min="3587" max="3587" width="8.28515625" style="6" customWidth="1"/>
    <col min="3588" max="3588" width="11.85546875" style="6" customWidth="1"/>
    <col min="3589" max="3589" width="11.42578125" style="6" customWidth="1"/>
    <col min="3590" max="3590" width="9.140625" style="6"/>
    <col min="3591" max="3591" width="7.85546875" style="6" customWidth="1"/>
    <col min="3592" max="3829" width="9.140625" style="6"/>
    <col min="3830" max="3830" width="14.85546875" style="6" customWidth="1"/>
    <col min="3831" max="3831" width="15.85546875" style="6" customWidth="1"/>
    <col min="3832" max="3832" width="9.85546875" style="6" customWidth="1"/>
    <col min="3833" max="3833" width="6.85546875" style="6" customWidth="1"/>
    <col min="3834" max="3835" width="10.85546875" style="6" customWidth="1"/>
    <col min="3836" max="3836" width="5.7109375" style="6" customWidth="1"/>
    <col min="3837" max="3837" width="11.5703125" style="6" customWidth="1"/>
    <col min="3838" max="3838" width="9.140625" style="6"/>
    <col min="3839" max="3839" width="9.7109375" style="6" customWidth="1"/>
    <col min="3840" max="3840" width="8.5703125" style="6" customWidth="1"/>
    <col min="3841" max="3842" width="0" style="6" hidden="1" customWidth="1"/>
    <col min="3843" max="3843" width="8.28515625" style="6" customWidth="1"/>
    <col min="3844" max="3844" width="11.85546875" style="6" customWidth="1"/>
    <col min="3845" max="3845" width="11.42578125" style="6" customWidth="1"/>
    <col min="3846" max="3846" width="9.140625" style="6"/>
    <col min="3847" max="3847" width="7.85546875" style="6" customWidth="1"/>
    <col min="3848" max="4085" width="9.140625" style="6"/>
    <col min="4086" max="4086" width="14.85546875" style="6" customWidth="1"/>
    <col min="4087" max="4087" width="15.85546875" style="6" customWidth="1"/>
    <col min="4088" max="4088" width="9.85546875" style="6" customWidth="1"/>
    <col min="4089" max="4089" width="6.85546875" style="6" customWidth="1"/>
    <col min="4090" max="4091" width="10.85546875" style="6" customWidth="1"/>
    <col min="4092" max="4092" width="5.7109375" style="6" customWidth="1"/>
    <col min="4093" max="4093" width="11.5703125" style="6" customWidth="1"/>
    <col min="4094" max="4094" width="9.140625" style="6"/>
    <col min="4095" max="4095" width="9.7109375" style="6" customWidth="1"/>
    <col min="4096" max="4096" width="8.5703125" style="6" customWidth="1"/>
    <col min="4097" max="4098" width="0" style="6" hidden="1" customWidth="1"/>
    <col min="4099" max="4099" width="8.28515625" style="6" customWidth="1"/>
    <col min="4100" max="4100" width="11.85546875" style="6" customWidth="1"/>
    <col min="4101" max="4101" width="11.42578125" style="6" customWidth="1"/>
    <col min="4102" max="4102" width="9.140625" style="6"/>
    <col min="4103" max="4103" width="7.85546875" style="6" customWidth="1"/>
    <col min="4104" max="4341" width="9.140625" style="6"/>
    <col min="4342" max="4342" width="14.85546875" style="6" customWidth="1"/>
    <col min="4343" max="4343" width="15.85546875" style="6" customWidth="1"/>
    <col min="4344" max="4344" width="9.85546875" style="6" customWidth="1"/>
    <col min="4345" max="4345" width="6.85546875" style="6" customWidth="1"/>
    <col min="4346" max="4347" width="10.85546875" style="6" customWidth="1"/>
    <col min="4348" max="4348" width="5.7109375" style="6" customWidth="1"/>
    <col min="4349" max="4349" width="11.5703125" style="6" customWidth="1"/>
    <col min="4350" max="4350" width="9.140625" style="6"/>
    <col min="4351" max="4351" width="9.7109375" style="6" customWidth="1"/>
    <col min="4352" max="4352" width="8.5703125" style="6" customWidth="1"/>
    <col min="4353" max="4354" width="0" style="6" hidden="1" customWidth="1"/>
    <col min="4355" max="4355" width="8.28515625" style="6" customWidth="1"/>
    <col min="4356" max="4356" width="11.85546875" style="6" customWidth="1"/>
    <col min="4357" max="4357" width="11.42578125" style="6" customWidth="1"/>
    <col min="4358" max="4358" width="9.140625" style="6"/>
    <col min="4359" max="4359" width="7.85546875" style="6" customWidth="1"/>
    <col min="4360" max="4597" width="9.140625" style="6"/>
    <col min="4598" max="4598" width="14.85546875" style="6" customWidth="1"/>
    <col min="4599" max="4599" width="15.85546875" style="6" customWidth="1"/>
    <col min="4600" max="4600" width="9.85546875" style="6" customWidth="1"/>
    <col min="4601" max="4601" width="6.85546875" style="6" customWidth="1"/>
    <col min="4602" max="4603" width="10.85546875" style="6" customWidth="1"/>
    <col min="4604" max="4604" width="5.7109375" style="6" customWidth="1"/>
    <col min="4605" max="4605" width="11.5703125" style="6" customWidth="1"/>
    <col min="4606" max="4606" width="9.140625" style="6"/>
    <col min="4607" max="4607" width="9.7109375" style="6" customWidth="1"/>
    <col min="4608" max="4608" width="8.5703125" style="6" customWidth="1"/>
    <col min="4609" max="4610" width="0" style="6" hidden="1" customWidth="1"/>
    <col min="4611" max="4611" width="8.28515625" style="6" customWidth="1"/>
    <col min="4612" max="4612" width="11.85546875" style="6" customWidth="1"/>
    <col min="4613" max="4613" width="11.42578125" style="6" customWidth="1"/>
    <col min="4614" max="4614" width="9.140625" style="6"/>
    <col min="4615" max="4615" width="7.85546875" style="6" customWidth="1"/>
    <col min="4616" max="4853" width="9.140625" style="6"/>
    <col min="4854" max="4854" width="14.85546875" style="6" customWidth="1"/>
    <col min="4855" max="4855" width="15.85546875" style="6" customWidth="1"/>
    <col min="4856" max="4856" width="9.85546875" style="6" customWidth="1"/>
    <col min="4857" max="4857" width="6.85546875" style="6" customWidth="1"/>
    <col min="4858" max="4859" width="10.85546875" style="6" customWidth="1"/>
    <col min="4860" max="4860" width="5.7109375" style="6" customWidth="1"/>
    <col min="4861" max="4861" width="11.5703125" style="6" customWidth="1"/>
    <col min="4862" max="4862" width="9.140625" style="6"/>
    <col min="4863" max="4863" width="9.7109375" style="6" customWidth="1"/>
    <col min="4864" max="4864" width="8.5703125" style="6" customWidth="1"/>
    <col min="4865" max="4866" width="0" style="6" hidden="1" customWidth="1"/>
    <col min="4867" max="4867" width="8.28515625" style="6" customWidth="1"/>
    <col min="4868" max="4868" width="11.85546875" style="6" customWidth="1"/>
    <col min="4869" max="4869" width="11.42578125" style="6" customWidth="1"/>
    <col min="4870" max="4870" width="9.140625" style="6"/>
    <col min="4871" max="4871" width="7.85546875" style="6" customWidth="1"/>
    <col min="4872" max="5109" width="9.140625" style="6"/>
    <col min="5110" max="5110" width="14.85546875" style="6" customWidth="1"/>
    <col min="5111" max="5111" width="15.85546875" style="6" customWidth="1"/>
    <col min="5112" max="5112" width="9.85546875" style="6" customWidth="1"/>
    <col min="5113" max="5113" width="6.85546875" style="6" customWidth="1"/>
    <col min="5114" max="5115" width="10.85546875" style="6" customWidth="1"/>
    <col min="5116" max="5116" width="5.7109375" style="6" customWidth="1"/>
    <col min="5117" max="5117" width="11.5703125" style="6" customWidth="1"/>
    <col min="5118" max="5118" width="9.140625" style="6"/>
    <col min="5119" max="5119" width="9.7109375" style="6" customWidth="1"/>
    <col min="5120" max="5120" width="8.5703125" style="6" customWidth="1"/>
    <col min="5121" max="5122" width="0" style="6" hidden="1" customWidth="1"/>
    <col min="5123" max="5123" width="8.28515625" style="6" customWidth="1"/>
    <col min="5124" max="5124" width="11.85546875" style="6" customWidth="1"/>
    <col min="5125" max="5125" width="11.42578125" style="6" customWidth="1"/>
    <col min="5126" max="5126" width="9.140625" style="6"/>
    <col min="5127" max="5127" width="7.85546875" style="6" customWidth="1"/>
    <col min="5128" max="5365" width="9.140625" style="6"/>
    <col min="5366" max="5366" width="14.85546875" style="6" customWidth="1"/>
    <col min="5367" max="5367" width="15.85546875" style="6" customWidth="1"/>
    <col min="5368" max="5368" width="9.85546875" style="6" customWidth="1"/>
    <col min="5369" max="5369" width="6.85546875" style="6" customWidth="1"/>
    <col min="5370" max="5371" width="10.85546875" style="6" customWidth="1"/>
    <col min="5372" max="5372" width="5.7109375" style="6" customWidth="1"/>
    <col min="5373" max="5373" width="11.5703125" style="6" customWidth="1"/>
    <col min="5374" max="5374" width="9.140625" style="6"/>
    <col min="5375" max="5375" width="9.7109375" style="6" customWidth="1"/>
    <col min="5376" max="5376" width="8.5703125" style="6" customWidth="1"/>
    <col min="5377" max="5378" width="0" style="6" hidden="1" customWidth="1"/>
    <col min="5379" max="5379" width="8.28515625" style="6" customWidth="1"/>
    <col min="5380" max="5380" width="11.85546875" style="6" customWidth="1"/>
    <col min="5381" max="5381" width="11.42578125" style="6" customWidth="1"/>
    <col min="5382" max="5382" width="9.140625" style="6"/>
    <col min="5383" max="5383" width="7.85546875" style="6" customWidth="1"/>
    <col min="5384" max="5621" width="9.140625" style="6"/>
    <col min="5622" max="5622" width="14.85546875" style="6" customWidth="1"/>
    <col min="5623" max="5623" width="15.85546875" style="6" customWidth="1"/>
    <col min="5624" max="5624" width="9.85546875" style="6" customWidth="1"/>
    <col min="5625" max="5625" width="6.85546875" style="6" customWidth="1"/>
    <col min="5626" max="5627" width="10.85546875" style="6" customWidth="1"/>
    <col min="5628" max="5628" width="5.7109375" style="6" customWidth="1"/>
    <col min="5629" max="5629" width="11.5703125" style="6" customWidth="1"/>
    <col min="5630" max="5630" width="9.140625" style="6"/>
    <col min="5631" max="5631" width="9.7109375" style="6" customWidth="1"/>
    <col min="5632" max="5632" width="8.5703125" style="6" customWidth="1"/>
    <col min="5633" max="5634" width="0" style="6" hidden="1" customWidth="1"/>
    <col min="5635" max="5635" width="8.28515625" style="6" customWidth="1"/>
    <col min="5636" max="5636" width="11.85546875" style="6" customWidth="1"/>
    <col min="5637" max="5637" width="11.42578125" style="6" customWidth="1"/>
    <col min="5638" max="5638" width="9.140625" style="6"/>
    <col min="5639" max="5639" width="7.85546875" style="6" customWidth="1"/>
    <col min="5640" max="5877" width="9.140625" style="6"/>
    <col min="5878" max="5878" width="14.85546875" style="6" customWidth="1"/>
    <col min="5879" max="5879" width="15.85546875" style="6" customWidth="1"/>
    <col min="5880" max="5880" width="9.85546875" style="6" customWidth="1"/>
    <col min="5881" max="5881" width="6.85546875" style="6" customWidth="1"/>
    <col min="5882" max="5883" width="10.85546875" style="6" customWidth="1"/>
    <col min="5884" max="5884" width="5.7109375" style="6" customWidth="1"/>
    <col min="5885" max="5885" width="11.5703125" style="6" customWidth="1"/>
    <col min="5886" max="5886" width="9.140625" style="6"/>
    <col min="5887" max="5887" width="9.7109375" style="6" customWidth="1"/>
    <col min="5888" max="5888" width="8.5703125" style="6" customWidth="1"/>
    <col min="5889" max="5890" width="0" style="6" hidden="1" customWidth="1"/>
    <col min="5891" max="5891" width="8.28515625" style="6" customWidth="1"/>
    <col min="5892" max="5892" width="11.85546875" style="6" customWidth="1"/>
    <col min="5893" max="5893" width="11.42578125" style="6" customWidth="1"/>
    <col min="5894" max="5894" width="9.140625" style="6"/>
    <col min="5895" max="5895" width="7.85546875" style="6" customWidth="1"/>
    <col min="5896" max="6133" width="9.140625" style="6"/>
    <col min="6134" max="6134" width="14.85546875" style="6" customWidth="1"/>
    <col min="6135" max="6135" width="15.85546875" style="6" customWidth="1"/>
    <col min="6136" max="6136" width="9.85546875" style="6" customWidth="1"/>
    <col min="6137" max="6137" width="6.85546875" style="6" customWidth="1"/>
    <col min="6138" max="6139" width="10.85546875" style="6" customWidth="1"/>
    <col min="6140" max="6140" width="5.7109375" style="6" customWidth="1"/>
    <col min="6141" max="6141" width="11.5703125" style="6" customWidth="1"/>
    <col min="6142" max="6142" width="9.140625" style="6"/>
    <col min="6143" max="6143" width="9.7109375" style="6" customWidth="1"/>
    <col min="6144" max="6144" width="8.5703125" style="6" customWidth="1"/>
    <col min="6145" max="6146" width="0" style="6" hidden="1" customWidth="1"/>
    <col min="6147" max="6147" width="8.28515625" style="6" customWidth="1"/>
    <col min="6148" max="6148" width="11.85546875" style="6" customWidth="1"/>
    <col min="6149" max="6149" width="11.42578125" style="6" customWidth="1"/>
    <col min="6150" max="6150" width="9.140625" style="6"/>
    <col min="6151" max="6151" width="7.85546875" style="6" customWidth="1"/>
    <col min="6152" max="6389" width="9.140625" style="6"/>
    <col min="6390" max="6390" width="14.85546875" style="6" customWidth="1"/>
    <col min="6391" max="6391" width="15.85546875" style="6" customWidth="1"/>
    <col min="6392" max="6392" width="9.85546875" style="6" customWidth="1"/>
    <col min="6393" max="6393" width="6.85546875" style="6" customWidth="1"/>
    <col min="6394" max="6395" width="10.85546875" style="6" customWidth="1"/>
    <col min="6396" max="6396" width="5.7109375" style="6" customWidth="1"/>
    <col min="6397" max="6397" width="11.5703125" style="6" customWidth="1"/>
    <col min="6398" max="6398" width="9.140625" style="6"/>
    <col min="6399" max="6399" width="9.7109375" style="6" customWidth="1"/>
    <col min="6400" max="6400" width="8.5703125" style="6" customWidth="1"/>
    <col min="6401" max="6402" width="0" style="6" hidden="1" customWidth="1"/>
    <col min="6403" max="6403" width="8.28515625" style="6" customWidth="1"/>
    <col min="6404" max="6404" width="11.85546875" style="6" customWidth="1"/>
    <col min="6405" max="6405" width="11.42578125" style="6" customWidth="1"/>
    <col min="6406" max="6406" width="9.140625" style="6"/>
    <col min="6407" max="6407" width="7.85546875" style="6" customWidth="1"/>
    <col min="6408" max="6645" width="9.140625" style="6"/>
    <col min="6646" max="6646" width="14.85546875" style="6" customWidth="1"/>
    <col min="6647" max="6647" width="15.85546875" style="6" customWidth="1"/>
    <col min="6648" max="6648" width="9.85546875" style="6" customWidth="1"/>
    <col min="6649" max="6649" width="6.85546875" style="6" customWidth="1"/>
    <col min="6650" max="6651" width="10.85546875" style="6" customWidth="1"/>
    <col min="6652" max="6652" width="5.7109375" style="6" customWidth="1"/>
    <col min="6653" max="6653" width="11.5703125" style="6" customWidth="1"/>
    <col min="6654" max="6654" width="9.140625" style="6"/>
    <col min="6655" max="6655" width="9.7109375" style="6" customWidth="1"/>
    <col min="6656" max="6656" width="8.5703125" style="6" customWidth="1"/>
    <col min="6657" max="6658" width="0" style="6" hidden="1" customWidth="1"/>
    <col min="6659" max="6659" width="8.28515625" style="6" customWidth="1"/>
    <col min="6660" max="6660" width="11.85546875" style="6" customWidth="1"/>
    <col min="6661" max="6661" width="11.42578125" style="6" customWidth="1"/>
    <col min="6662" max="6662" width="9.140625" style="6"/>
    <col min="6663" max="6663" width="7.85546875" style="6" customWidth="1"/>
    <col min="6664" max="6901" width="9.140625" style="6"/>
    <col min="6902" max="6902" width="14.85546875" style="6" customWidth="1"/>
    <col min="6903" max="6903" width="15.85546875" style="6" customWidth="1"/>
    <col min="6904" max="6904" width="9.85546875" style="6" customWidth="1"/>
    <col min="6905" max="6905" width="6.85546875" style="6" customWidth="1"/>
    <col min="6906" max="6907" width="10.85546875" style="6" customWidth="1"/>
    <col min="6908" max="6908" width="5.7109375" style="6" customWidth="1"/>
    <col min="6909" max="6909" width="11.5703125" style="6" customWidth="1"/>
    <col min="6910" max="6910" width="9.140625" style="6"/>
    <col min="6911" max="6911" width="9.7109375" style="6" customWidth="1"/>
    <col min="6912" max="6912" width="8.5703125" style="6" customWidth="1"/>
    <col min="6913" max="6914" width="0" style="6" hidden="1" customWidth="1"/>
    <col min="6915" max="6915" width="8.28515625" style="6" customWidth="1"/>
    <col min="6916" max="6916" width="11.85546875" style="6" customWidth="1"/>
    <col min="6917" max="6917" width="11.42578125" style="6" customWidth="1"/>
    <col min="6918" max="6918" width="9.140625" style="6"/>
    <col min="6919" max="6919" width="7.85546875" style="6" customWidth="1"/>
    <col min="6920" max="7157" width="9.140625" style="6"/>
    <col min="7158" max="7158" width="14.85546875" style="6" customWidth="1"/>
    <col min="7159" max="7159" width="15.85546875" style="6" customWidth="1"/>
    <col min="7160" max="7160" width="9.85546875" style="6" customWidth="1"/>
    <col min="7161" max="7161" width="6.85546875" style="6" customWidth="1"/>
    <col min="7162" max="7163" width="10.85546875" style="6" customWidth="1"/>
    <col min="7164" max="7164" width="5.7109375" style="6" customWidth="1"/>
    <col min="7165" max="7165" width="11.5703125" style="6" customWidth="1"/>
    <col min="7166" max="7166" width="9.140625" style="6"/>
    <col min="7167" max="7167" width="9.7109375" style="6" customWidth="1"/>
    <col min="7168" max="7168" width="8.5703125" style="6" customWidth="1"/>
    <col min="7169" max="7170" width="0" style="6" hidden="1" customWidth="1"/>
    <col min="7171" max="7171" width="8.28515625" style="6" customWidth="1"/>
    <col min="7172" max="7172" width="11.85546875" style="6" customWidth="1"/>
    <col min="7173" max="7173" width="11.42578125" style="6" customWidth="1"/>
    <col min="7174" max="7174" width="9.140625" style="6"/>
    <col min="7175" max="7175" width="7.85546875" style="6" customWidth="1"/>
    <col min="7176" max="7413" width="9.140625" style="6"/>
    <col min="7414" max="7414" width="14.85546875" style="6" customWidth="1"/>
    <col min="7415" max="7415" width="15.85546875" style="6" customWidth="1"/>
    <col min="7416" max="7416" width="9.85546875" style="6" customWidth="1"/>
    <col min="7417" max="7417" width="6.85546875" style="6" customWidth="1"/>
    <col min="7418" max="7419" width="10.85546875" style="6" customWidth="1"/>
    <col min="7420" max="7420" width="5.7109375" style="6" customWidth="1"/>
    <col min="7421" max="7421" width="11.5703125" style="6" customWidth="1"/>
    <col min="7422" max="7422" width="9.140625" style="6"/>
    <col min="7423" max="7423" width="9.7109375" style="6" customWidth="1"/>
    <col min="7424" max="7424" width="8.5703125" style="6" customWidth="1"/>
    <col min="7425" max="7426" width="0" style="6" hidden="1" customWidth="1"/>
    <col min="7427" max="7427" width="8.28515625" style="6" customWidth="1"/>
    <col min="7428" max="7428" width="11.85546875" style="6" customWidth="1"/>
    <col min="7429" max="7429" width="11.42578125" style="6" customWidth="1"/>
    <col min="7430" max="7430" width="9.140625" style="6"/>
    <col min="7431" max="7431" width="7.85546875" style="6" customWidth="1"/>
    <col min="7432" max="7669" width="9.140625" style="6"/>
    <col min="7670" max="7670" width="14.85546875" style="6" customWidth="1"/>
    <col min="7671" max="7671" width="15.85546875" style="6" customWidth="1"/>
    <col min="7672" max="7672" width="9.85546875" style="6" customWidth="1"/>
    <col min="7673" max="7673" width="6.85546875" style="6" customWidth="1"/>
    <col min="7674" max="7675" width="10.85546875" style="6" customWidth="1"/>
    <col min="7676" max="7676" width="5.7109375" style="6" customWidth="1"/>
    <col min="7677" max="7677" width="11.5703125" style="6" customWidth="1"/>
    <col min="7678" max="7678" width="9.140625" style="6"/>
    <col min="7679" max="7679" width="9.7109375" style="6" customWidth="1"/>
    <col min="7680" max="7680" width="8.5703125" style="6" customWidth="1"/>
    <col min="7681" max="7682" width="0" style="6" hidden="1" customWidth="1"/>
    <col min="7683" max="7683" width="8.28515625" style="6" customWidth="1"/>
    <col min="7684" max="7684" width="11.85546875" style="6" customWidth="1"/>
    <col min="7685" max="7685" width="11.42578125" style="6" customWidth="1"/>
    <col min="7686" max="7686" width="9.140625" style="6"/>
    <col min="7687" max="7687" width="7.85546875" style="6" customWidth="1"/>
    <col min="7688" max="7925" width="9.140625" style="6"/>
    <col min="7926" max="7926" width="14.85546875" style="6" customWidth="1"/>
    <col min="7927" max="7927" width="15.85546875" style="6" customWidth="1"/>
    <col min="7928" max="7928" width="9.85546875" style="6" customWidth="1"/>
    <col min="7929" max="7929" width="6.85546875" style="6" customWidth="1"/>
    <col min="7930" max="7931" width="10.85546875" style="6" customWidth="1"/>
    <col min="7932" max="7932" width="5.7109375" style="6" customWidth="1"/>
    <col min="7933" max="7933" width="11.5703125" style="6" customWidth="1"/>
    <col min="7934" max="7934" width="9.140625" style="6"/>
    <col min="7935" max="7935" width="9.7109375" style="6" customWidth="1"/>
    <col min="7936" max="7936" width="8.5703125" style="6" customWidth="1"/>
    <col min="7937" max="7938" width="0" style="6" hidden="1" customWidth="1"/>
    <col min="7939" max="7939" width="8.28515625" style="6" customWidth="1"/>
    <col min="7940" max="7940" width="11.85546875" style="6" customWidth="1"/>
    <col min="7941" max="7941" width="11.42578125" style="6" customWidth="1"/>
    <col min="7942" max="7942" width="9.140625" style="6"/>
    <col min="7943" max="7943" width="7.85546875" style="6" customWidth="1"/>
    <col min="7944" max="8181" width="9.140625" style="6"/>
    <col min="8182" max="8182" width="14.85546875" style="6" customWidth="1"/>
    <col min="8183" max="8183" width="15.85546875" style="6" customWidth="1"/>
    <col min="8184" max="8184" width="9.85546875" style="6" customWidth="1"/>
    <col min="8185" max="8185" width="6.85546875" style="6" customWidth="1"/>
    <col min="8186" max="8187" width="10.85546875" style="6" customWidth="1"/>
    <col min="8188" max="8188" width="5.7109375" style="6" customWidth="1"/>
    <col min="8189" max="8189" width="11.5703125" style="6" customWidth="1"/>
    <col min="8190" max="8190" width="9.140625" style="6"/>
    <col min="8191" max="8191" width="9.7109375" style="6" customWidth="1"/>
    <col min="8192" max="8192" width="8.5703125" style="6" customWidth="1"/>
    <col min="8193" max="8194" width="0" style="6" hidden="1" customWidth="1"/>
    <col min="8195" max="8195" width="8.28515625" style="6" customWidth="1"/>
    <col min="8196" max="8196" width="11.85546875" style="6" customWidth="1"/>
    <col min="8197" max="8197" width="11.42578125" style="6" customWidth="1"/>
    <col min="8198" max="8198" width="9.140625" style="6"/>
    <col min="8199" max="8199" width="7.85546875" style="6" customWidth="1"/>
    <col min="8200" max="8437" width="9.140625" style="6"/>
    <col min="8438" max="8438" width="14.85546875" style="6" customWidth="1"/>
    <col min="8439" max="8439" width="15.85546875" style="6" customWidth="1"/>
    <col min="8440" max="8440" width="9.85546875" style="6" customWidth="1"/>
    <col min="8441" max="8441" width="6.85546875" style="6" customWidth="1"/>
    <col min="8442" max="8443" width="10.85546875" style="6" customWidth="1"/>
    <col min="8444" max="8444" width="5.7109375" style="6" customWidth="1"/>
    <col min="8445" max="8445" width="11.5703125" style="6" customWidth="1"/>
    <col min="8446" max="8446" width="9.140625" style="6"/>
    <col min="8447" max="8447" width="9.7109375" style="6" customWidth="1"/>
    <col min="8448" max="8448" width="8.5703125" style="6" customWidth="1"/>
    <col min="8449" max="8450" width="0" style="6" hidden="1" customWidth="1"/>
    <col min="8451" max="8451" width="8.28515625" style="6" customWidth="1"/>
    <col min="8452" max="8452" width="11.85546875" style="6" customWidth="1"/>
    <col min="8453" max="8453" width="11.42578125" style="6" customWidth="1"/>
    <col min="8454" max="8454" width="9.140625" style="6"/>
    <col min="8455" max="8455" width="7.85546875" style="6" customWidth="1"/>
    <col min="8456" max="8693" width="9.140625" style="6"/>
    <col min="8694" max="8694" width="14.85546875" style="6" customWidth="1"/>
    <col min="8695" max="8695" width="15.85546875" style="6" customWidth="1"/>
    <col min="8696" max="8696" width="9.85546875" style="6" customWidth="1"/>
    <col min="8697" max="8697" width="6.85546875" style="6" customWidth="1"/>
    <col min="8698" max="8699" width="10.85546875" style="6" customWidth="1"/>
    <col min="8700" max="8700" width="5.7109375" style="6" customWidth="1"/>
    <col min="8701" max="8701" width="11.5703125" style="6" customWidth="1"/>
    <col min="8702" max="8702" width="9.140625" style="6"/>
    <col min="8703" max="8703" width="9.7109375" style="6" customWidth="1"/>
    <col min="8704" max="8704" width="8.5703125" style="6" customWidth="1"/>
    <col min="8705" max="8706" width="0" style="6" hidden="1" customWidth="1"/>
    <col min="8707" max="8707" width="8.28515625" style="6" customWidth="1"/>
    <col min="8708" max="8708" width="11.85546875" style="6" customWidth="1"/>
    <col min="8709" max="8709" width="11.42578125" style="6" customWidth="1"/>
    <col min="8710" max="8710" width="9.140625" style="6"/>
    <col min="8711" max="8711" width="7.85546875" style="6" customWidth="1"/>
    <col min="8712" max="8949" width="9.140625" style="6"/>
    <col min="8950" max="8950" width="14.85546875" style="6" customWidth="1"/>
    <col min="8951" max="8951" width="15.85546875" style="6" customWidth="1"/>
    <col min="8952" max="8952" width="9.85546875" style="6" customWidth="1"/>
    <col min="8953" max="8953" width="6.85546875" style="6" customWidth="1"/>
    <col min="8954" max="8955" width="10.85546875" style="6" customWidth="1"/>
    <col min="8956" max="8956" width="5.7109375" style="6" customWidth="1"/>
    <col min="8957" max="8957" width="11.5703125" style="6" customWidth="1"/>
    <col min="8958" max="8958" width="9.140625" style="6"/>
    <col min="8959" max="8959" width="9.7109375" style="6" customWidth="1"/>
    <col min="8960" max="8960" width="8.5703125" style="6" customWidth="1"/>
    <col min="8961" max="8962" width="0" style="6" hidden="1" customWidth="1"/>
    <col min="8963" max="8963" width="8.28515625" style="6" customWidth="1"/>
    <col min="8964" max="8964" width="11.85546875" style="6" customWidth="1"/>
    <col min="8965" max="8965" width="11.42578125" style="6" customWidth="1"/>
    <col min="8966" max="8966" width="9.140625" style="6"/>
    <col min="8967" max="8967" width="7.85546875" style="6" customWidth="1"/>
    <col min="8968" max="9205" width="9.140625" style="6"/>
    <col min="9206" max="9206" width="14.85546875" style="6" customWidth="1"/>
    <col min="9207" max="9207" width="15.85546875" style="6" customWidth="1"/>
    <col min="9208" max="9208" width="9.85546875" style="6" customWidth="1"/>
    <col min="9209" max="9209" width="6.85546875" style="6" customWidth="1"/>
    <col min="9210" max="9211" width="10.85546875" style="6" customWidth="1"/>
    <col min="9212" max="9212" width="5.7109375" style="6" customWidth="1"/>
    <col min="9213" max="9213" width="11.5703125" style="6" customWidth="1"/>
    <col min="9214" max="9214" width="9.140625" style="6"/>
    <col min="9215" max="9215" width="9.7109375" style="6" customWidth="1"/>
    <col min="9216" max="9216" width="8.5703125" style="6" customWidth="1"/>
    <col min="9217" max="9218" width="0" style="6" hidden="1" customWidth="1"/>
    <col min="9219" max="9219" width="8.28515625" style="6" customWidth="1"/>
    <col min="9220" max="9220" width="11.85546875" style="6" customWidth="1"/>
    <col min="9221" max="9221" width="11.42578125" style="6" customWidth="1"/>
    <col min="9222" max="9222" width="9.140625" style="6"/>
    <col min="9223" max="9223" width="7.85546875" style="6" customWidth="1"/>
    <col min="9224" max="9461" width="9.140625" style="6"/>
    <col min="9462" max="9462" width="14.85546875" style="6" customWidth="1"/>
    <col min="9463" max="9463" width="15.85546875" style="6" customWidth="1"/>
    <col min="9464" max="9464" width="9.85546875" style="6" customWidth="1"/>
    <col min="9465" max="9465" width="6.85546875" style="6" customWidth="1"/>
    <col min="9466" max="9467" width="10.85546875" style="6" customWidth="1"/>
    <col min="9468" max="9468" width="5.7109375" style="6" customWidth="1"/>
    <col min="9469" max="9469" width="11.5703125" style="6" customWidth="1"/>
    <col min="9470" max="9470" width="9.140625" style="6"/>
    <col min="9471" max="9471" width="9.7109375" style="6" customWidth="1"/>
    <col min="9472" max="9472" width="8.5703125" style="6" customWidth="1"/>
    <col min="9473" max="9474" width="0" style="6" hidden="1" customWidth="1"/>
    <col min="9475" max="9475" width="8.28515625" style="6" customWidth="1"/>
    <col min="9476" max="9476" width="11.85546875" style="6" customWidth="1"/>
    <col min="9477" max="9477" width="11.42578125" style="6" customWidth="1"/>
    <col min="9478" max="9478" width="9.140625" style="6"/>
    <col min="9479" max="9479" width="7.85546875" style="6" customWidth="1"/>
    <col min="9480" max="9717" width="9.140625" style="6"/>
    <col min="9718" max="9718" width="14.85546875" style="6" customWidth="1"/>
    <col min="9719" max="9719" width="15.85546875" style="6" customWidth="1"/>
    <col min="9720" max="9720" width="9.85546875" style="6" customWidth="1"/>
    <col min="9721" max="9721" width="6.85546875" style="6" customWidth="1"/>
    <col min="9722" max="9723" width="10.85546875" style="6" customWidth="1"/>
    <col min="9724" max="9724" width="5.7109375" style="6" customWidth="1"/>
    <col min="9725" max="9725" width="11.5703125" style="6" customWidth="1"/>
    <col min="9726" max="9726" width="9.140625" style="6"/>
    <col min="9727" max="9727" width="9.7109375" style="6" customWidth="1"/>
    <col min="9728" max="9728" width="8.5703125" style="6" customWidth="1"/>
    <col min="9729" max="9730" width="0" style="6" hidden="1" customWidth="1"/>
    <col min="9731" max="9731" width="8.28515625" style="6" customWidth="1"/>
    <col min="9732" max="9732" width="11.85546875" style="6" customWidth="1"/>
    <col min="9733" max="9733" width="11.42578125" style="6" customWidth="1"/>
    <col min="9734" max="9734" width="9.140625" style="6"/>
    <col min="9735" max="9735" width="7.85546875" style="6" customWidth="1"/>
    <col min="9736" max="9973" width="9.140625" style="6"/>
    <col min="9974" max="9974" width="14.85546875" style="6" customWidth="1"/>
    <col min="9975" max="9975" width="15.85546875" style="6" customWidth="1"/>
    <col min="9976" max="9976" width="9.85546875" style="6" customWidth="1"/>
    <col min="9977" max="9977" width="6.85546875" style="6" customWidth="1"/>
    <col min="9978" max="9979" width="10.85546875" style="6" customWidth="1"/>
    <col min="9980" max="9980" width="5.7109375" style="6" customWidth="1"/>
    <col min="9981" max="9981" width="11.5703125" style="6" customWidth="1"/>
    <col min="9982" max="9982" width="9.140625" style="6"/>
    <col min="9983" max="9983" width="9.7109375" style="6" customWidth="1"/>
    <col min="9984" max="9984" width="8.5703125" style="6" customWidth="1"/>
    <col min="9985" max="9986" width="0" style="6" hidden="1" customWidth="1"/>
    <col min="9987" max="9987" width="8.28515625" style="6" customWidth="1"/>
    <col min="9988" max="9988" width="11.85546875" style="6" customWidth="1"/>
    <col min="9989" max="9989" width="11.42578125" style="6" customWidth="1"/>
    <col min="9990" max="9990" width="9.140625" style="6"/>
    <col min="9991" max="9991" width="7.85546875" style="6" customWidth="1"/>
    <col min="9992" max="10229" width="9.140625" style="6"/>
    <col min="10230" max="10230" width="14.85546875" style="6" customWidth="1"/>
    <col min="10231" max="10231" width="15.85546875" style="6" customWidth="1"/>
    <col min="10232" max="10232" width="9.85546875" style="6" customWidth="1"/>
    <col min="10233" max="10233" width="6.85546875" style="6" customWidth="1"/>
    <col min="10234" max="10235" width="10.85546875" style="6" customWidth="1"/>
    <col min="10236" max="10236" width="5.7109375" style="6" customWidth="1"/>
    <col min="10237" max="10237" width="11.5703125" style="6" customWidth="1"/>
    <col min="10238" max="10238" width="9.140625" style="6"/>
    <col min="10239" max="10239" width="9.7109375" style="6" customWidth="1"/>
    <col min="10240" max="10240" width="8.5703125" style="6" customWidth="1"/>
    <col min="10241" max="10242" width="0" style="6" hidden="1" customWidth="1"/>
    <col min="10243" max="10243" width="8.28515625" style="6" customWidth="1"/>
    <col min="10244" max="10244" width="11.85546875" style="6" customWidth="1"/>
    <col min="10245" max="10245" width="11.42578125" style="6" customWidth="1"/>
    <col min="10246" max="10246" width="9.140625" style="6"/>
    <col min="10247" max="10247" width="7.85546875" style="6" customWidth="1"/>
    <col min="10248" max="10485" width="9.140625" style="6"/>
    <col min="10486" max="10486" width="14.85546875" style="6" customWidth="1"/>
    <col min="10487" max="10487" width="15.85546875" style="6" customWidth="1"/>
    <col min="10488" max="10488" width="9.85546875" style="6" customWidth="1"/>
    <col min="10489" max="10489" width="6.85546875" style="6" customWidth="1"/>
    <col min="10490" max="10491" width="10.85546875" style="6" customWidth="1"/>
    <col min="10492" max="10492" width="5.7109375" style="6" customWidth="1"/>
    <col min="10493" max="10493" width="11.5703125" style="6" customWidth="1"/>
    <col min="10494" max="10494" width="9.140625" style="6"/>
    <col min="10495" max="10495" width="9.7109375" style="6" customWidth="1"/>
    <col min="10496" max="10496" width="8.5703125" style="6" customWidth="1"/>
    <col min="10497" max="10498" width="0" style="6" hidden="1" customWidth="1"/>
    <col min="10499" max="10499" width="8.28515625" style="6" customWidth="1"/>
    <col min="10500" max="10500" width="11.85546875" style="6" customWidth="1"/>
    <col min="10501" max="10501" width="11.42578125" style="6" customWidth="1"/>
    <col min="10502" max="10502" width="9.140625" style="6"/>
    <col min="10503" max="10503" width="7.85546875" style="6" customWidth="1"/>
    <col min="10504" max="10741" width="9.140625" style="6"/>
    <col min="10742" max="10742" width="14.85546875" style="6" customWidth="1"/>
    <col min="10743" max="10743" width="15.85546875" style="6" customWidth="1"/>
    <col min="10744" max="10744" width="9.85546875" style="6" customWidth="1"/>
    <col min="10745" max="10745" width="6.85546875" style="6" customWidth="1"/>
    <col min="10746" max="10747" width="10.85546875" style="6" customWidth="1"/>
    <col min="10748" max="10748" width="5.7109375" style="6" customWidth="1"/>
    <col min="10749" max="10749" width="11.5703125" style="6" customWidth="1"/>
    <col min="10750" max="10750" width="9.140625" style="6"/>
    <col min="10751" max="10751" width="9.7109375" style="6" customWidth="1"/>
    <col min="10752" max="10752" width="8.5703125" style="6" customWidth="1"/>
    <col min="10753" max="10754" width="0" style="6" hidden="1" customWidth="1"/>
    <col min="10755" max="10755" width="8.28515625" style="6" customWidth="1"/>
    <col min="10756" max="10756" width="11.85546875" style="6" customWidth="1"/>
    <col min="10757" max="10757" width="11.42578125" style="6" customWidth="1"/>
    <col min="10758" max="10758" width="9.140625" style="6"/>
    <col min="10759" max="10759" width="7.85546875" style="6" customWidth="1"/>
    <col min="10760" max="10997" width="9.140625" style="6"/>
    <col min="10998" max="10998" width="14.85546875" style="6" customWidth="1"/>
    <col min="10999" max="10999" width="15.85546875" style="6" customWidth="1"/>
    <col min="11000" max="11000" width="9.85546875" style="6" customWidth="1"/>
    <col min="11001" max="11001" width="6.85546875" style="6" customWidth="1"/>
    <col min="11002" max="11003" width="10.85546875" style="6" customWidth="1"/>
    <col min="11004" max="11004" width="5.7109375" style="6" customWidth="1"/>
    <col min="11005" max="11005" width="11.5703125" style="6" customWidth="1"/>
    <col min="11006" max="11006" width="9.140625" style="6"/>
    <col min="11007" max="11007" width="9.7109375" style="6" customWidth="1"/>
    <col min="11008" max="11008" width="8.5703125" style="6" customWidth="1"/>
    <col min="11009" max="11010" width="0" style="6" hidden="1" customWidth="1"/>
    <col min="11011" max="11011" width="8.28515625" style="6" customWidth="1"/>
    <col min="11012" max="11012" width="11.85546875" style="6" customWidth="1"/>
    <col min="11013" max="11013" width="11.42578125" style="6" customWidth="1"/>
    <col min="11014" max="11014" width="9.140625" style="6"/>
    <col min="11015" max="11015" width="7.85546875" style="6" customWidth="1"/>
    <col min="11016" max="11253" width="9.140625" style="6"/>
    <col min="11254" max="11254" width="14.85546875" style="6" customWidth="1"/>
    <col min="11255" max="11255" width="15.85546875" style="6" customWidth="1"/>
    <col min="11256" max="11256" width="9.85546875" style="6" customWidth="1"/>
    <col min="11257" max="11257" width="6.85546875" style="6" customWidth="1"/>
    <col min="11258" max="11259" width="10.85546875" style="6" customWidth="1"/>
    <col min="11260" max="11260" width="5.7109375" style="6" customWidth="1"/>
    <col min="11261" max="11261" width="11.5703125" style="6" customWidth="1"/>
    <col min="11262" max="11262" width="9.140625" style="6"/>
    <col min="11263" max="11263" width="9.7109375" style="6" customWidth="1"/>
    <col min="11264" max="11264" width="8.5703125" style="6" customWidth="1"/>
    <col min="11265" max="11266" width="0" style="6" hidden="1" customWidth="1"/>
    <col min="11267" max="11267" width="8.28515625" style="6" customWidth="1"/>
    <col min="11268" max="11268" width="11.85546875" style="6" customWidth="1"/>
    <col min="11269" max="11269" width="11.42578125" style="6" customWidth="1"/>
    <col min="11270" max="11270" width="9.140625" style="6"/>
    <col min="11271" max="11271" width="7.85546875" style="6" customWidth="1"/>
    <col min="11272" max="11509" width="9.140625" style="6"/>
    <col min="11510" max="11510" width="14.85546875" style="6" customWidth="1"/>
    <col min="11511" max="11511" width="15.85546875" style="6" customWidth="1"/>
    <col min="11512" max="11512" width="9.85546875" style="6" customWidth="1"/>
    <col min="11513" max="11513" width="6.85546875" style="6" customWidth="1"/>
    <col min="11514" max="11515" width="10.85546875" style="6" customWidth="1"/>
    <col min="11516" max="11516" width="5.7109375" style="6" customWidth="1"/>
    <col min="11517" max="11517" width="11.5703125" style="6" customWidth="1"/>
    <col min="11518" max="11518" width="9.140625" style="6"/>
    <col min="11519" max="11519" width="9.7109375" style="6" customWidth="1"/>
    <col min="11520" max="11520" width="8.5703125" style="6" customWidth="1"/>
    <col min="11521" max="11522" width="0" style="6" hidden="1" customWidth="1"/>
    <col min="11523" max="11523" width="8.28515625" style="6" customWidth="1"/>
    <col min="11524" max="11524" width="11.85546875" style="6" customWidth="1"/>
    <col min="11525" max="11525" width="11.42578125" style="6" customWidth="1"/>
    <col min="11526" max="11526" width="9.140625" style="6"/>
    <col min="11527" max="11527" width="7.85546875" style="6" customWidth="1"/>
    <col min="11528" max="11765" width="9.140625" style="6"/>
    <col min="11766" max="11766" width="14.85546875" style="6" customWidth="1"/>
    <col min="11767" max="11767" width="15.85546875" style="6" customWidth="1"/>
    <col min="11768" max="11768" width="9.85546875" style="6" customWidth="1"/>
    <col min="11769" max="11769" width="6.85546875" style="6" customWidth="1"/>
    <col min="11770" max="11771" width="10.85546875" style="6" customWidth="1"/>
    <col min="11772" max="11772" width="5.7109375" style="6" customWidth="1"/>
    <col min="11773" max="11773" width="11.5703125" style="6" customWidth="1"/>
    <col min="11774" max="11774" width="9.140625" style="6"/>
    <col min="11775" max="11775" width="9.7109375" style="6" customWidth="1"/>
    <col min="11776" max="11776" width="8.5703125" style="6" customWidth="1"/>
    <col min="11777" max="11778" width="0" style="6" hidden="1" customWidth="1"/>
    <col min="11779" max="11779" width="8.28515625" style="6" customWidth="1"/>
    <col min="11780" max="11780" width="11.85546875" style="6" customWidth="1"/>
    <col min="11781" max="11781" width="11.42578125" style="6" customWidth="1"/>
    <col min="11782" max="11782" width="9.140625" style="6"/>
    <col min="11783" max="11783" width="7.85546875" style="6" customWidth="1"/>
    <col min="11784" max="12021" width="9.140625" style="6"/>
    <col min="12022" max="12022" width="14.85546875" style="6" customWidth="1"/>
    <col min="12023" max="12023" width="15.85546875" style="6" customWidth="1"/>
    <col min="12024" max="12024" width="9.85546875" style="6" customWidth="1"/>
    <col min="12025" max="12025" width="6.85546875" style="6" customWidth="1"/>
    <col min="12026" max="12027" width="10.85546875" style="6" customWidth="1"/>
    <col min="12028" max="12028" width="5.7109375" style="6" customWidth="1"/>
    <col min="12029" max="12029" width="11.5703125" style="6" customWidth="1"/>
    <col min="12030" max="12030" width="9.140625" style="6"/>
    <col min="12031" max="12031" width="9.7109375" style="6" customWidth="1"/>
    <col min="12032" max="12032" width="8.5703125" style="6" customWidth="1"/>
    <col min="12033" max="12034" width="0" style="6" hidden="1" customWidth="1"/>
    <col min="12035" max="12035" width="8.28515625" style="6" customWidth="1"/>
    <col min="12036" max="12036" width="11.85546875" style="6" customWidth="1"/>
    <col min="12037" max="12037" width="11.42578125" style="6" customWidth="1"/>
    <col min="12038" max="12038" width="9.140625" style="6"/>
    <col min="12039" max="12039" width="7.85546875" style="6" customWidth="1"/>
    <col min="12040" max="12277" width="9.140625" style="6"/>
    <col min="12278" max="12278" width="14.85546875" style="6" customWidth="1"/>
    <col min="12279" max="12279" width="15.85546875" style="6" customWidth="1"/>
    <col min="12280" max="12280" width="9.85546875" style="6" customWidth="1"/>
    <col min="12281" max="12281" width="6.85546875" style="6" customWidth="1"/>
    <col min="12282" max="12283" width="10.85546875" style="6" customWidth="1"/>
    <col min="12284" max="12284" width="5.7109375" style="6" customWidth="1"/>
    <col min="12285" max="12285" width="11.5703125" style="6" customWidth="1"/>
    <col min="12286" max="12286" width="9.140625" style="6"/>
    <col min="12287" max="12287" width="9.7109375" style="6" customWidth="1"/>
    <col min="12288" max="12288" width="8.5703125" style="6" customWidth="1"/>
    <col min="12289" max="12290" width="0" style="6" hidden="1" customWidth="1"/>
    <col min="12291" max="12291" width="8.28515625" style="6" customWidth="1"/>
    <col min="12292" max="12292" width="11.85546875" style="6" customWidth="1"/>
    <col min="12293" max="12293" width="11.42578125" style="6" customWidth="1"/>
    <col min="12294" max="12294" width="9.140625" style="6"/>
    <col min="12295" max="12295" width="7.85546875" style="6" customWidth="1"/>
    <col min="12296" max="12533" width="9.140625" style="6"/>
    <col min="12534" max="12534" width="14.85546875" style="6" customWidth="1"/>
    <col min="12535" max="12535" width="15.85546875" style="6" customWidth="1"/>
    <col min="12536" max="12536" width="9.85546875" style="6" customWidth="1"/>
    <col min="12537" max="12537" width="6.85546875" style="6" customWidth="1"/>
    <col min="12538" max="12539" width="10.85546875" style="6" customWidth="1"/>
    <col min="12540" max="12540" width="5.7109375" style="6" customWidth="1"/>
    <col min="12541" max="12541" width="11.5703125" style="6" customWidth="1"/>
    <col min="12542" max="12542" width="9.140625" style="6"/>
    <col min="12543" max="12543" width="9.7109375" style="6" customWidth="1"/>
    <col min="12544" max="12544" width="8.5703125" style="6" customWidth="1"/>
    <col min="12545" max="12546" width="0" style="6" hidden="1" customWidth="1"/>
    <col min="12547" max="12547" width="8.28515625" style="6" customWidth="1"/>
    <col min="12548" max="12548" width="11.85546875" style="6" customWidth="1"/>
    <col min="12549" max="12549" width="11.42578125" style="6" customWidth="1"/>
    <col min="12550" max="12550" width="9.140625" style="6"/>
    <col min="12551" max="12551" width="7.85546875" style="6" customWidth="1"/>
    <col min="12552" max="12789" width="9.140625" style="6"/>
    <col min="12790" max="12790" width="14.85546875" style="6" customWidth="1"/>
    <col min="12791" max="12791" width="15.85546875" style="6" customWidth="1"/>
    <col min="12792" max="12792" width="9.85546875" style="6" customWidth="1"/>
    <col min="12793" max="12793" width="6.85546875" style="6" customWidth="1"/>
    <col min="12794" max="12795" width="10.85546875" style="6" customWidth="1"/>
    <col min="12796" max="12796" width="5.7109375" style="6" customWidth="1"/>
    <col min="12797" max="12797" width="11.5703125" style="6" customWidth="1"/>
    <col min="12798" max="12798" width="9.140625" style="6"/>
    <col min="12799" max="12799" width="9.7109375" style="6" customWidth="1"/>
    <col min="12800" max="12800" width="8.5703125" style="6" customWidth="1"/>
    <col min="12801" max="12802" width="0" style="6" hidden="1" customWidth="1"/>
    <col min="12803" max="12803" width="8.28515625" style="6" customWidth="1"/>
    <col min="12804" max="12804" width="11.85546875" style="6" customWidth="1"/>
    <col min="12805" max="12805" width="11.42578125" style="6" customWidth="1"/>
    <col min="12806" max="12806" width="9.140625" style="6"/>
    <col min="12807" max="12807" width="7.85546875" style="6" customWidth="1"/>
    <col min="12808" max="13045" width="9.140625" style="6"/>
    <col min="13046" max="13046" width="14.85546875" style="6" customWidth="1"/>
    <col min="13047" max="13047" width="15.85546875" style="6" customWidth="1"/>
    <col min="13048" max="13048" width="9.85546875" style="6" customWidth="1"/>
    <col min="13049" max="13049" width="6.85546875" style="6" customWidth="1"/>
    <col min="13050" max="13051" width="10.85546875" style="6" customWidth="1"/>
    <col min="13052" max="13052" width="5.7109375" style="6" customWidth="1"/>
    <col min="13053" max="13053" width="11.5703125" style="6" customWidth="1"/>
    <col min="13054" max="13054" width="9.140625" style="6"/>
    <col min="13055" max="13055" width="9.7109375" style="6" customWidth="1"/>
    <col min="13056" max="13056" width="8.5703125" style="6" customWidth="1"/>
    <col min="13057" max="13058" width="0" style="6" hidden="1" customWidth="1"/>
    <col min="13059" max="13059" width="8.28515625" style="6" customWidth="1"/>
    <col min="13060" max="13060" width="11.85546875" style="6" customWidth="1"/>
    <col min="13061" max="13061" width="11.42578125" style="6" customWidth="1"/>
    <col min="13062" max="13062" width="9.140625" style="6"/>
    <col min="13063" max="13063" width="7.85546875" style="6" customWidth="1"/>
    <col min="13064" max="13301" width="9.140625" style="6"/>
    <col min="13302" max="13302" width="14.85546875" style="6" customWidth="1"/>
    <col min="13303" max="13303" width="15.85546875" style="6" customWidth="1"/>
    <col min="13304" max="13304" width="9.85546875" style="6" customWidth="1"/>
    <col min="13305" max="13305" width="6.85546875" style="6" customWidth="1"/>
    <col min="13306" max="13307" width="10.85546875" style="6" customWidth="1"/>
    <col min="13308" max="13308" width="5.7109375" style="6" customWidth="1"/>
    <col min="13309" max="13309" width="11.5703125" style="6" customWidth="1"/>
    <col min="13310" max="13310" width="9.140625" style="6"/>
    <col min="13311" max="13311" width="9.7109375" style="6" customWidth="1"/>
    <col min="13312" max="13312" width="8.5703125" style="6" customWidth="1"/>
    <col min="13313" max="13314" width="0" style="6" hidden="1" customWidth="1"/>
    <col min="13315" max="13315" width="8.28515625" style="6" customWidth="1"/>
    <col min="13316" max="13316" width="11.85546875" style="6" customWidth="1"/>
    <col min="13317" max="13317" width="11.42578125" style="6" customWidth="1"/>
    <col min="13318" max="13318" width="9.140625" style="6"/>
    <col min="13319" max="13319" width="7.85546875" style="6" customWidth="1"/>
    <col min="13320" max="13557" width="9.140625" style="6"/>
    <col min="13558" max="13558" width="14.85546875" style="6" customWidth="1"/>
    <col min="13559" max="13559" width="15.85546875" style="6" customWidth="1"/>
    <col min="13560" max="13560" width="9.85546875" style="6" customWidth="1"/>
    <col min="13561" max="13561" width="6.85546875" style="6" customWidth="1"/>
    <col min="13562" max="13563" width="10.85546875" style="6" customWidth="1"/>
    <col min="13564" max="13564" width="5.7109375" style="6" customWidth="1"/>
    <col min="13565" max="13565" width="11.5703125" style="6" customWidth="1"/>
    <col min="13566" max="13566" width="9.140625" style="6"/>
    <col min="13567" max="13567" width="9.7109375" style="6" customWidth="1"/>
    <col min="13568" max="13568" width="8.5703125" style="6" customWidth="1"/>
    <col min="13569" max="13570" width="0" style="6" hidden="1" customWidth="1"/>
    <col min="13571" max="13571" width="8.28515625" style="6" customWidth="1"/>
    <col min="13572" max="13572" width="11.85546875" style="6" customWidth="1"/>
    <col min="13573" max="13573" width="11.42578125" style="6" customWidth="1"/>
    <col min="13574" max="13574" width="9.140625" style="6"/>
    <col min="13575" max="13575" width="7.85546875" style="6" customWidth="1"/>
    <col min="13576" max="13813" width="9.140625" style="6"/>
    <col min="13814" max="13814" width="14.85546875" style="6" customWidth="1"/>
    <col min="13815" max="13815" width="15.85546875" style="6" customWidth="1"/>
    <col min="13816" max="13816" width="9.85546875" style="6" customWidth="1"/>
    <col min="13817" max="13817" width="6.85546875" style="6" customWidth="1"/>
    <col min="13818" max="13819" width="10.85546875" style="6" customWidth="1"/>
    <col min="13820" max="13820" width="5.7109375" style="6" customWidth="1"/>
    <col min="13821" max="13821" width="11.5703125" style="6" customWidth="1"/>
    <col min="13822" max="13822" width="9.140625" style="6"/>
    <col min="13823" max="13823" width="9.7109375" style="6" customWidth="1"/>
    <col min="13824" max="13824" width="8.5703125" style="6" customWidth="1"/>
    <col min="13825" max="13826" width="0" style="6" hidden="1" customWidth="1"/>
    <col min="13827" max="13827" width="8.28515625" style="6" customWidth="1"/>
    <col min="13828" max="13828" width="11.85546875" style="6" customWidth="1"/>
    <col min="13829" max="13829" width="11.42578125" style="6" customWidth="1"/>
    <col min="13830" max="13830" width="9.140625" style="6"/>
    <col min="13831" max="13831" width="7.85546875" style="6" customWidth="1"/>
    <col min="13832" max="14069" width="9.140625" style="6"/>
    <col min="14070" max="14070" width="14.85546875" style="6" customWidth="1"/>
    <col min="14071" max="14071" width="15.85546875" style="6" customWidth="1"/>
    <col min="14072" max="14072" width="9.85546875" style="6" customWidth="1"/>
    <col min="14073" max="14073" width="6.85546875" style="6" customWidth="1"/>
    <col min="14074" max="14075" width="10.85546875" style="6" customWidth="1"/>
    <col min="14076" max="14076" width="5.7109375" style="6" customWidth="1"/>
    <col min="14077" max="14077" width="11.5703125" style="6" customWidth="1"/>
    <col min="14078" max="14078" width="9.140625" style="6"/>
    <col min="14079" max="14079" width="9.7109375" style="6" customWidth="1"/>
    <col min="14080" max="14080" width="8.5703125" style="6" customWidth="1"/>
    <col min="14081" max="14082" width="0" style="6" hidden="1" customWidth="1"/>
    <col min="14083" max="14083" width="8.28515625" style="6" customWidth="1"/>
    <col min="14084" max="14084" width="11.85546875" style="6" customWidth="1"/>
    <col min="14085" max="14085" width="11.42578125" style="6" customWidth="1"/>
    <col min="14086" max="14086" width="9.140625" style="6"/>
    <col min="14087" max="14087" width="7.85546875" style="6" customWidth="1"/>
    <col min="14088" max="14325" width="9.140625" style="6"/>
    <col min="14326" max="14326" width="14.85546875" style="6" customWidth="1"/>
    <col min="14327" max="14327" width="15.85546875" style="6" customWidth="1"/>
    <col min="14328" max="14328" width="9.85546875" style="6" customWidth="1"/>
    <col min="14329" max="14329" width="6.85546875" style="6" customWidth="1"/>
    <col min="14330" max="14331" width="10.85546875" style="6" customWidth="1"/>
    <col min="14332" max="14332" width="5.7109375" style="6" customWidth="1"/>
    <col min="14333" max="14333" width="11.5703125" style="6" customWidth="1"/>
    <col min="14334" max="14334" width="9.140625" style="6"/>
    <col min="14335" max="14335" width="9.7109375" style="6" customWidth="1"/>
    <col min="14336" max="14336" width="8.5703125" style="6" customWidth="1"/>
    <col min="14337" max="14338" width="0" style="6" hidden="1" customWidth="1"/>
    <col min="14339" max="14339" width="8.28515625" style="6" customWidth="1"/>
    <col min="14340" max="14340" width="11.85546875" style="6" customWidth="1"/>
    <col min="14341" max="14341" width="11.42578125" style="6" customWidth="1"/>
    <col min="14342" max="14342" width="9.140625" style="6"/>
    <col min="14343" max="14343" width="7.85546875" style="6" customWidth="1"/>
    <col min="14344" max="14581" width="9.140625" style="6"/>
    <col min="14582" max="14582" width="14.85546875" style="6" customWidth="1"/>
    <col min="14583" max="14583" width="15.85546875" style="6" customWidth="1"/>
    <col min="14584" max="14584" width="9.85546875" style="6" customWidth="1"/>
    <col min="14585" max="14585" width="6.85546875" style="6" customWidth="1"/>
    <col min="14586" max="14587" width="10.85546875" style="6" customWidth="1"/>
    <col min="14588" max="14588" width="5.7109375" style="6" customWidth="1"/>
    <col min="14589" max="14589" width="11.5703125" style="6" customWidth="1"/>
    <col min="14590" max="14590" width="9.140625" style="6"/>
    <col min="14591" max="14591" width="9.7109375" style="6" customWidth="1"/>
    <col min="14592" max="14592" width="8.5703125" style="6" customWidth="1"/>
    <col min="14593" max="14594" width="0" style="6" hidden="1" customWidth="1"/>
    <col min="14595" max="14595" width="8.28515625" style="6" customWidth="1"/>
    <col min="14596" max="14596" width="11.85546875" style="6" customWidth="1"/>
    <col min="14597" max="14597" width="11.42578125" style="6" customWidth="1"/>
    <col min="14598" max="14598" width="9.140625" style="6"/>
    <col min="14599" max="14599" width="7.85546875" style="6" customWidth="1"/>
    <col min="14600" max="14837" width="9.140625" style="6"/>
    <col min="14838" max="14838" width="14.85546875" style="6" customWidth="1"/>
    <col min="14839" max="14839" width="15.85546875" style="6" customWidth="1"/>
    <col min="14840" max="14840" width="9.85546875" style="6" customWidth="1"/>
    <col min="14841" max="14841" width="6.85546875" style="6" customWidth="1"/>
    <col min="14842" max="14843" width="10.85546875" style="6" customWidth="1"/>
    <col min="14844" max="14844" width="5.7109375" style="6" customWidth="1"/>
    <col min="14845" max="14845" width="11.5703125" style="6" customWidth="1"/>
    <col min="14846" max="14846" width="9.140625" style="6"/>
    <col min="14847" max="14847" width="9.7109375" style="6" customWidth="1"/>
    <col min="14848" max="14848" width="8.5703125" style="6" customWidth="1"/>
    <col min="14849" max="14850" width="0" style="6" hidden="1" customWidth="1"/>
    <col min="14851" max="14851" width="8.28515625" style="6" customWidth="1"/>
    <col min="14852" max="14852" width="11.85546875" style="6" customWidth="1"/>
    <col min="14853" max="14853" width="11.42578125" style="6" customWidth="1"/>
    <col min="14854" max="14854" width="9.140625" style="6"/>
    <col min="14855" max="14855" width="7.85546875" style="6" customWidth="1"/>
    <col min="14856" max="15093" width="9.140625" style="6"/>
    <col min="15094" max="15094" width="14.85546875" style="6" customWidth="1"/>
    <col min="15095" max="15095" width="15.85546875" style="6" customWidth="1"/>
    <col min="15096" max="15096" width="9.85546875" style="6" customWidth="1"/>
    <col min="15097" max="15097" width="6.85546875" style="6" customWidth="1"/>
    <col min="15098" max="15099" width="10.85546875" style="6" customWidth="1"/>
    <col min="15100" max="15100" width="5.7109375" style="6" customWidth="1"/>
    <col min="15101" max="15101" width="11.5703125" style="6" customWidth="1"/>
    <col min="15102" max="15102" width="9.140625" style="6"/>
    <col min="15103" max="15103" width="9.7109375" style="6" customWidth="1"/>
    <col min="15104" max="15104" width="8.5703125" style="6" customWidth="1"/>
    <col min="15105" max="15106" width="0" style="6" hidden="1" customWidth="1"/>
    <col min="15107" max="15107" width="8.28515625" style="6" customWidth="1"/>
    <col min="15108" max="15108" width="11.85546875" style="6" customWidth="1"/>
    <col min="15109" max="15109" width="11.42578125" style="6" customWidth="1"/>
    <col min="15110" max="15110" width="9.140625" style="6"/>
    <col min="15111" max="15111" width="7.85546875" style="6" customWidth="1"/>
    <col min="15112" max="15349" width="9.140625" style="6"/>
    <col min="15350" max="15350" width="14.85546875" style="6" customWidth="1"/>
    <col min="15351" max="15351" width="15.85546875" style="6" customWidth="1"/>
    <col min="15352" max="15352" width="9.85546875" style="6" customWidth="1"/>
    <col min="15353" max="15353" width="6.85546875" style="6" customWidth="1"/>
    <col min="15354" max="15355" width="10.85546875" style="6" customWidth="1"/>
    <col min="15356" max="15356" width="5.7109375" style="6" customWidth="1"/>
    <col min="15357" max="15357" width="11.5703125" style="6" customWidth="1"/>
    <col min="15358" max="15358" width="9.140625" style="6"/>
    <col min="15359" max="15359" width="9.7109375" style="6" customWidth="1"/>
    <col min="15360" max="15360" width="8.5703125" style="6" customWidth="1"/>
    <col min="15361" max="15362" width="0" style="6" hidden="1" customWidth="1"/>
    <col min="15363" max="15363" width="8.28515625" style="6" customWidth="1"/>
    <col min="15364" max="15364" width="11.85546875" style="6" customWidth="1"/>
    <col min="15365" max="15365" width="11.42578125" style="6" customWidth="1"/>
    <col min="15366" max="15366" width="9.140625" style="6"/>
    <col min="15367" max="15367" width="7.85546875" style="6" customWidth="1"/>
    <col min="15368" max="15605" width="9.140625" style="6"/>
    <col min="15606" max="15606" width="14.85546875" style="6" customWidth="1"/>
    <col min="15607" max="15607" width="15.85546875" style="6" customWidth="1"/>
    <col min="15608" max="15608" width="9.85546875" style="6" customWidth="1"/>
    <col min="15609" max="15609" width="6.85546875" style="6" customWidth="1"/>
    <col min="15610" max="15611" width="10.85546875" style="6" customWidth="1"/>
    <col min="15612" max="15612" width="5.7109375" style="6" customWidth="1"/>
    <col min="15613" max="15613" width="11.5703125" style="6" customWidth="1"/>
    <col min="15614" max="15614" width="9.140625" style="6"/>
    <col min="15615" max="15615" width="9.7109375" style="6" customWidth="1"/>
    <col min="15616" max="15616" width="8.5703125" style="6" customWidth="1"/>
    <col min="15617" max="15618" width="0" style="6" hidden="1" customWidth="1"/>
    <col min="15619" max="15619" width="8.28515625" style="6" customWidth="1"/>
    <col min="15620" max="15620" width="11.85546875" style="6" customWidth="1"/>
    <col min="15621" max="15621" width="11.42578125" style="6" customWidth="1"/>
    <col min="15622" max="15622" width="9.140625" style="6"/>
    <col min="15623" max="15623" width="7.85546875" style="6" customWidth="1"/>
    <col min="15624" max="15861" width="9.140625" style="6"/>
    <col min="15862" max="15862" width="14.85546875" style="6" customWidth="1"/>
    <col min="15863" max="15863" width="15.85546875" style="6" customWidth="1"/>
    <col min="15864" max="15864" width="9.85546875" style="6" customWidth="1"/>
    <col min="15865" max="15865" width="6.85546875" style="6" customWidth="1"/>
    <col min="15866" max="15867" width="10.85546875" style="6" customWidth="1"/>
    <col min="15868" max="15868" width="5.7109375" style="6" customWidth="1"/>
    <col min="15869" max="15869" width="11.5703125" style="6" customWidth="1"/>
    <col min="15870" max="15870" width="9.140625" style="6"/>
    <col min="15871" max="15871" width="9.7109375" style="6" customWidth="1"/>
    <col min="15872" max="15872" width="8.5703125" style="6" customWidth="1"/>
    <col min="15873" max="15874" width="0" style="6" hidden="1" customWidth="1"/>
    <col min="15875" max="15875" width="8.28515625" style="6" customWidth="1"/>
    <col min="15876" max="15876" width="11.85546875" style="6" customWidth="1"/>
    <col min="15877" max="15877" width="11.42578125" style="6" customWidth="1"/>
    <col min="15878" max="15878" width="9.140625" style="6"/>
    <col min="15879" max="15879" width="7.85546875" style="6" customWidth="1"/>
    <col min="15880" max="16117" width="9.140625" style="6"/>
    <col min="16118" max="16118" width="14.85546875" style="6" customWidth="1"/>
    <col min="16119" max="16119" width="15.85546875" style="6" customWidth="1"/>
    <col min="16120" max="16120" width="9.85546875" style="6" customWidth="1"/>
    <col min="16121" max="16121" width="6.85546875" style="6" customWidth="1"/>
    <col min="16122" max="16123" width="10.85546875" style="6" customWidth="1"/>
    <col min="16124" max="16124" width="5.7109375" style="6" customWidth="1"/>
    <col min="16125" max="16125" width="11.5703125" style="6" customWidth="1"/>
    <col min="16126" max="16126" width="9.140625" style="6"/>
    <col min="16127" max="16127" width="9.7109375" style="6" customWidth="1"/>
    <col min="16128" max="16128" width="8.5703125" style="6" customWidth="1"/>
    <col min="16129" max="16130" width="0" style="6" hidden="1" customWidth="1"/>
    <col min="16131" max="16131" width="8.28515625" style="6" customWidth="1"/>
    <col min="16132" max="16132" width="11.85546875" style="6" customWidth="1"/>
    <col min="16133" max="16133" width="11.42578125" style="6" customWidth="1"/>
    <col min="16134" max="16134" width="9.140625" style="6"/>
    <col min="16135" max="16135" width="7.85546875" style="6" customWidth="1"/>
    <col min="16136" max="16384" width="9.140625" style="6"/>
  </cols>
  <sheetData>
    <row r="1" spans="2:20" s="9" customFormat="1" x14ac:dyDescent="0.25">
      <c r="D1" s="9" t="s">
        <v>67</v>
      </c>
      <c r="E1" s="39" t="s">
        <v>68</v>
      </c>
      <c r="N1" s="18"/>
      <c r="O1" s="18"/>
      <c r="T1" s="37"/>
    </row>
    <row r="2" spans="2:20" s="9" customFormat="1" x14ac:dyDescent="0.25">
      <c r="B2" s="2" t="s">
        <v>43</v>
      </c>
      <c r="C2" s="47"/>
      <c r="D2" s="3"/>
      <c r="E2" s="3"/>
      <c r="F2" s="10"/>
      <c r="G2" s="10"/>
      <c r="H2" s="10"/>
      <c r="I2" s="10"/>
      <c r="J2" s="10"/>
      <c r="K2" s="48"/>
      <c r="L2" s="2" t="s">
        <v>9</v>
      </c>
      <c r="M2" s="15"/>
      <c r="N2" s="15"/>
      <c r="O2" s="75"/>
      <c r="T2" s="37"/>
    </row>
    <row r="3" spans="2:20" s="9" customFormat="1" x14ac:dyDescent="0.25">
      <c r="B3" s="4"/>
      <c r="C3" s="1"/>
      <c r="D3" s="1"/>
      <c r="E3" s="1"/>
      <c r="F3" s="6"/>
      <c r="G3" s="6"/>
      <c r="H3" s="6"/>
      <c r="I3" s="6"/>
      <c r="J3" s="6"/>
      <c r="K3" s="49"/>
      <c r="L3" s="4"/>
      <c r="M3" s="17"/>
      <c r="N3" s="17"/>
      <c r="O3" s="83" t="s">
        <v>69</v>
      </c>
      <c r="T3" s="37"/>
    </row>
    <row r="4" spans="2:20" s="9" customFormat="1" x14ac:dyDescent="0.25">
      <c r="B4" s="5" t="s">
        <v>6</v>
      </c>
      <c r="C4" s="6"/>
      <c r="D4" s="6"/>
      <c r="E4" s="38">
        <v>70</v>
      </c>
      <c r="F4" s="6" t="s">
        <v>51</v>
      </c>
      <c r="G4" s="6"/>
      <c r="H4" s="6"/>
      <c r="I4" s="6"/>
      <c r="J4" s="6"/>
      <c r="K4" s="49"/>
      <c r="L4" s="4"/>
      <c r="M4" s="17"/>
      <c r="N4" s="17"/>
      <c r="O4" s="83" t="s">
        <v>55</v>
      </c>
      <c r="T4" s="37"/>
    </row>
    <row r="5" spans="2:20" s="9" customFormat="1" x14ac:dyDescent="0.25">
      <c r="B5" s="5" t="s">
        <v>0</v>
      </c>
      <c r="C5" s="6"/>
      <c r="D5" s="6"/>
      <c r="E5" s="39" t="s">
        <v>33</v>
      </c>
      <c r="F5" s="6" t="s">
        <v>30</v>
      </c>
      <c r="G5" s="6"/>
      <c r="H5" s="6"/>
      <c r="I5" s="6"/>
      <c r="J5" s="6"/>
      <c r="K5" s="49"/>
      <c r="L5" s="4"/>
      <c r="M5" s="17"/>
      <c r="N5" s="17"/>
      <c r="O5" s="82">
        <v>42735</v>
      </c>
      <c r="T5" s="37"/>
    </row>
    <row r="6" spans="2:20" s="9" customFormat="1" x14ac:dyDescent="0.25">
      <c r="B6" s="5" t="s">
        <v>10</v>
      </c>
      <c r="C6" s="6"/>
      <c r="D6" s="6"/>
      <c r="E6" s="40">
        <v>40000</v>
      </c>
      <c r="F6" s="6" t="s">
        <v>50</v>
      </c>
      <c r="G6" s="6"/>
      <c r="H6" s="6"/>
      <c r="I6" s="6"/>
      <c r="J6" s="6"/>
      <c r="K6" s="49"/>
      <c r="L6" s="4" t="s">
        <v>34</v>
      </c>
      <c r="M6" s="6"/>
      <c r="N6" s="6"/>
      <c r="O6" s="43">
        <v>2500000000</v>
      </c>
      <c r="T6" s="37"/>
    </row>
    <row r="7" spans="2:20" s="9" customFormat="1" x14ac:dyDescent="0.25">
      <c r="B7" s="5" t="s">
        <v>11</v>
      </c>
      <c r="C7" s="6"/>
      <c r="D7" s="6"/>
      <c r="E7" s="40">
        <v>5000</v>
      </c>
      <c r="F7" s="6" t="s">
        <v>35</v>
      </c>
      <c r="G7" s="6"/>
      <c r="H7" s="6"/>
      <c r="I7" s="6"/>
      <c r="J7" s="6"/>
      <c r="K7" s="49"/>
      <c r="L7" s="4" t="s">
        <v>20</v>
      </c>
      <c r="M7" s="6"/>
      <c r="N7" s="6"/>
      <c r="O7" s="43">
        <v>500000000</v>
      </c>
      <c r="T7" s="37"/>
    </row>
    <row r="8" spans="2:20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49"/>
      <c r="L8" s="4" t="s">
        <v>19</v>
      </c>
      <c r="M8" s="6"/>
      <c r="N8" s="6"/>
      <c r="O8" s="43">
        <v>50000000</v>
      </c>
      <c r="T8" s="37"/>
    </row>
    <row r="9" spans="2:20" s="9" customFormat="1" x14ac:dyDescent="0.25">
      <c r="B9" s="5" t="s">
        <v>16</v>
      </c>
      <c r="C9" s="6"/>
      <c r="D9" s="6"/>
      <c r="E9" s="40">
        <v>40</v>
      </c>
      <c r="F9" s="6" t="s">
        <v>1</v>
      </c>
      <c r="G9" s="6"/>
      <c r="H9" s="6"/>
      <c r="I9" s="6"/>
      <c r="J9" s="6"/>
      <c r="K9" s="49"/>
      <c r="L9" s="4" t="s">
        <v>14</v>
      </c>
      <c r="M9" s="6"/>
      <c r="N9" s="6"/>
      <c r="O9" s="78" t="s">
        <v>36</v>
      </c>
      <c r="T9" s="37"/>
    </row>
    <row r="10" spans="2:20" s="9" customFormat="1" x14ac:dyDescent="0.25">
      <c r="B10" s="5" t="s">
        <v>7</v>
      </c>
      <c r="C10" s="6"/>
      <c r="D10" s="6"/>
      <c r="E10" s="41">
        <v>0.05</v>
      </c>
      <c r="F10" s="6" t="s">
        <v>31</v>
      </c>
      <c r="G10" s="6"/>
      <c r="H10" s="6"/>
      <c r="I10" s="6"/>
      <c r="J10" s="6"/>
      <c r="K10" s="49"/>
      <c r="L10" s="76" t="s">
        <v>39</v>
      </c>
      <c r="M10" s="8"/>
      <c r="N10" s="8"/>
      <c r="O10" s="44">
        <v>150000000</v>
      </c>
      <c r="T10" s="37"/>
    </row>
    <row r="11" spans="2:20" s="9" customFormat="1" x14ac:dyDescent="0.25">
      <c r="B11" s="5" t="s">
        <v>12</v>
      </c>
      <c r="C11" s="6"/>
      <c r="D11" s="6"/>
      <c r="E11" s="41">
        <v>0.1</v>
      </c>
      <c r="F11" s="6" t="s">
        <v>31</v>
      </c>
      <c r="G11" s="6"/>
      <c r="H11" s="6"/>
      <c r="I11" s="6"/>
      <c r="J11" s="6"/>
      <c r="K11" s="49"/>
      <c r="T11" s="37"/>
    </row>
    <row r="12" spans="2:20" s="9" customFormat="1" x14ac:dyDescent="0.25">
      <c r="B12" s="5" t="s">
        <v>13</v>
      </c>
      <c r="C12" s="6"/>
      <c r="D12" s="6"/>
      <c r="E12" s="41">
        <v>0.03</v>
      </c>
      <c r="F12" s="6" t="s">
        <v>31</v>
      </c>
      <c r="G12" s="6"/>
      <c r="H12" s="6"/>
      <c r="I12" s="6"/>
      <c r="J12" s="6"/>
      <c r="K12" s="49"/>
      <c r="L12" s="77" t="s">
        <v>46</v>
      </c>
      <c r="M12" s="10"/>
      <c r="N12" s="10"/>
      <c r="O12" s="45">
        <v>0.1</v>
      </c>
      <c r="T12" s="37"/>
    </row>
    <row r="13" spans="2:20" s="9" customFormat="1" x14ac:dyDescent="0.25">
      <c r="B13" s="5" t="s">
        <v>17</v>
      </c>
      <c r="C13" s="6"/>
      <c r="D13" s="6"/>
      <c r="E13" s="41">
        <v>0.3</v>
      </c>
      <c r="F13" s="6"/>
      <c r="G13" s="6"/>
      <c r="H13" s="6"/>
      <c r="I13" s="6"/>
      <c r="J13" s="6"/>
      <c r="K13" s="49"/>
      <c r="L13" s="76" t="s">
        <v>21</v>
      </c>
      <c r="M13" s="8"/>
      <c r="N13" s="8"/>
      <c r="O13" s="84">
        <v>0.5</v>
      </c>
      <c r="T13" s="37"/>
    </row>
    <row r="14" spans="2:20" s="9" customFormat="1" x14ac:dyDescent="0.25">
      <c r="B14" s="5" t="s">
        <v>18</v>
      </c>
      <c r="C14" s="6"/>
      <c r="D14" s="6"/>
      <c r="E14" s="41">
        <v>0</v>
      </c>
      <c r="F14" s="6"/>
      <c r="G14" s="6"/>
      <c r="H14" s="6"/>
      <c r="I14" s="6"/>
      <c r="J14" s="6"/>
      <c r="K14" s="49"/>
      <c r="N14" s="18"/>
      <c r="O14" s="98" t="s">
        <v>69</v>
      </c>
      <c r="T14" s="37"/>
    </row>
    <row r="15" spans="2:20" s="9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49"/>
      <c r="N15" s="18"/>
      <c r="O15" s="98" t="s">
        <v>55</v>
      </c>
      <c r="T15" s="37"/>
    </row>
    <row r="16" spans="2:20" s="9" customFormat="1" x14ac:dyDescent="0.25">
      <c r="B16" s="5" t="s">
        <v>5</v>
      </c>
      <c r="C16" s="6"/>
      <c r="D16" s="6"/>
      <c r="E16" s="41">
        <v>0.02</v>
      </c>
      <c r="F16" s="6" t="s">
        <v>32</v>
      </c>
      <c r="G16" s="6"/>
      <c r="H16" s="6"/>
      <c r="I16" s="6"/>
      <c r="J16" s="6"/>
      <c r="K16" s="49"/>
      <c r="N16" s="18"/>
      <c r="O16" s="99">
        <v>42735</v>
      </c>
      <c r="T16" s="37"/>
    </row>
    <row r="17" spans="1:27" s="9" customFormat="1" x14ac:dyDescent="0.25">
      <c r="B17" s="5" t="s">
        <v>52</v>
      </c>
      <c r="C17" s="6"/>
      <c r="D17" s="1"/>
      <c r="E17" s="42">
        <v>1200</v>
      </c>
      <c r="F17" s="6" t="s">
        <v>53</v>
      </c>
      <c r="G17" s="6"/>
      <c r="H17" s="6"/>
      <c r="I17" s="6"/>
      <c r="J17" s="6"/>
      <c r="K17" s="49"/>
      <c r="N17" s="9" t="s">
        <v>27</v>
      </c>
      <c r="O17" s="37">
        <f>T26</f>
        <v>459556919.56960869</v>
      </c>
      <c r="T17" s="37"/>
    </row>
    <row r="18" spans="1:27" s="9" customFormat="1" x14ac:dyDescent="0.25">
      <c r="B18" s="5" t="s">
        <v>2</v>
      </c>
      <c r="C18" s="6"/>
      <c r="D18" s="6"/>
      <c r="E18" s="41">
        <v>1</v>
      </c>
      <c r="F18" s="6" t="s">
        <v>54</v>
      </c>
      <c r="G18" s="6"/>
      <c r="H18" s="6"/>
      <c r="I18" s="6"/>
      <c r="J18" s="6"/>
      <c r="K18" s="49"/>
      <c r="N18" s="9" t="s">
        <v>28</v>
      </c>
      <c r="O18" s="33">
        <f>O6+O7+O8-O10-N26-P26-Q26</f>
        <v>-122287733.19610834</v>
      </c>
      <c r="T18" s="37"/>
    </row>
    <row r="19" spans="1:27" s="9" customFormat="1" x14ac:dyDescent="0.25">
      <c r="B19" s="5" t="s">
        <v>3</v>
      </c>
      <c r="C19" s="6"/>
      <c r="D19" s="6"/>
      <c r="E19" s="79" t="s">
        <v>49</v>
      </c>
      <c r="F19" s="6"/>
      <c r="G19" s="6"/>
      <c r="H19" s="6"/>
      <c r="I19" s="6"/>
      <c r="J19" s="6"/>
      <c r="K19" s="49"/>
      <c r="N19" s="11" t="s">
        <v>37</v>
      </c>
      <c r="O19" s="97">
        <f>SUM(O17:O18)</f>
        <v>337269186.37350035</v>
      </c>
      <c r="T19" s="37"/>
    </row>
    <row r="20" spans="1:27" s="9" customFormat="1" x14ac:dyDescent="0.25">
      <c r="B20" s="7" t="s">
        <v>8</v>
      </c>
      <c r="C20" s="8"/>
      <c r="D20" s="8"/>
      <c r="E20" s="80">
        <v>0</v>
      </c>
      <c r="F20" s="8" t="s">
        <v>31</v>
      </c>
      <c r="G20" s="8"/>
      <c r="H20" s="8"/>
      <c r="I20" s="8"/>
      <c r="J20" s="8"/>
      <c r="K20" s="50"/>
    </row>
    <row r="21" spans="1:27" s="9" customFormat="1" x14ac:dyDescent="0.25">
      <c r="B21" s="6"/>
      <c r="C21" s="6"/>
      <c r="D21" s="6"/>
      <c r="E21" s="21"/>
      <c r="N21" s="18"/>
      <c r="O21" s="18"/>
      <c r="U21" s="37"/>
      <c r="W21" s="37"/>
    </row>
    <row r="22" spans="1:27" s="9" customFormat="1" x14ac:dyDescent="0.25"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5"/>
      <c r="O22" s="15"/>
      <c r="P22" s="10"/>
      <c r="Q22" s="10"/>
      <c r="R22" s="10"/>
      <c r="S22" s="10"/>
      <c r="T22" s="48"/>
    </row>
    <row r="23" spans="1:27" s="9" customFormat="1" ht="16.5" x14ac:dyDescent="0.25">
      <c r="B23" s="16" t="s">
        <v>4</v>
      </c>
      <c r="C23" s="22"/>
      <c r="D23" s="22"/>
      <c r="E23" s="22"/>
      <c r="F23" s="22"/>
      <c r="G23" s="22"/>
      <c r="H23" s="22"/>
      <c r="I23" s="22"/>
      <c r="J23" s="22"/>
      <c r="K23" s="6"/>
      <c r="L23" s="6"/>
      <c r="M23" s="6"/>
      <c r="N23" s="17"/>
      <c r="O23" s="17"/>
      <c r="P23" s="6"/>
      <c r="Q23" s="6"/>
      <c r="R23" s="6"/>
      <c r="S23" s="6"/>
      <c r="T23" s="49"/>
      <c r="V23" s="25"/>
      <c r="AA23" s="25"/>
    </row>
    <row r="24" spans="1:27" s="9" customFormat="1" x14ac:dyDescent="0.25">
      <c r="B24" s="12"/>
      <c r="C24" s="11"/>
      <c r="D24" s="100" t="s">
        <v>65</v>
      </c>
      <c r="E24" s="26" t="s">
        <v>22</v>
      </c>
      <c r="F24" s="26" t="s">
        <v>22</v>
      </c>
      <c r="G24" s="26" t="s">
        <v>22</v>
      </c>
      <c r="H24" s="26"/>
      <c r="I24" s="26"/>
      <c r="J24" s="26"/>
      <c r="K24" s="26" t="s">
        <v>22</v>
      </c>
      <c r="L24" s="26" t="s">
        <v>22</v>
      </c>
      <c r="M24" s="26" t="s">
        <v>22</v>
      </c>
      <c r="N24" s="26" t="s">
        <v>22</v>
      </c>
      <c r="O24" s="26" t="s">
        <v>22</v>
      </c>
      <c r="P24" s="26" t="s">
        <v>22</v>
      </c>
      <c r="Q24" s="56" t="s">
        <v>22</v>
      </c>
      <c r="R24" s="26" t="s">
        <v>22</v>
      </c>
      <c r="S24" s="26" t="s">
        <v>22</v>
      </c>
      <c r="T24" s="85" t="s">
        <v>22</v>
      </c>
    </row>
    <row r="25" spans="1:27" s="29" customFormat="1" ht="40.5" x14ac:dyDescent="0.25">
      <c r="A25" s="13"/>
      <c r="B25" s="23" t="s">
        <v>47</v>
      </c>
      <c r="C25" s="93" t="s">
        <v>48</v>
      </c>
      <c r="D25" s="93" t="s">
        <v>15</v>
      </c>
      <c r="E25" s="93" t="s">
        <v>56</v>
      </c>
      <c r="F25" s="93" t="s">
        <v>66</v>
      </c>
      <c r="G25" s="93" t="s">
        <v>58</v>
      </c>
      <c r="H25" s="93" t="s">
        <v>23</v>
      </c>
      <c r="I25" s="93" t="s">
        <v>57</v>
      </c>
      <c r="J25" s="93" t="s">
        <v>24</v>
      </c>
      <c r="K25" s="93" t="s">
        <v>59</v>
      </c>
      <c r="L25" s="93" t="s">
        <v>60</v>
      </c>
      <c r="M25" s="93" t="s">
        <v>25</v>
      </c>
      <c r="N25" s="93" t="s">
        <v>61</v>
      </c>
      <c r="O25" s="93" t="s">
        <v>41</v>
      </c>
      <c r="P25" s="93" t="s">
        <v>26</v>
      </c>
      <c r="Q25" s="103" t="s">
        <v>38</v>
      </c>
      <c r="R25" s="93" t="s">
        <v>62</v>
      </c>
      <c r="S25" s="93" t="s">
        <v>63</v>
      </c>
      <c r="T25" s="104" t="s">
        <v>64</v>
      </c>
    </row>
    <row r="26" spans="1:27" s="29" customFormat="1" x14ac:dyDescent="0.25">
      <c r="A26" s="13"/>
      <c r="B26" s="102">
        <v>0</v>
      </c>
      <c r="C26" s="56"/>
      <c r="D26" s="26"/>
      <c r="E26" s="26"/>
      <c r="F26" s="26"/>
      <c r="G26" s="73">
        <f>$E$7</f>
        <v>5000</v>
      </c>
      <c r="H26" s="26"/>
      <c r="I26" s="26"/>
      <c r="J26" s="26"/>
      <c r="K26" s="27"/>
      <c r="L26" s="28"/>
      <c r="M26" s="34">
        <f xml:space="preserve"> SUM( K27:M27 ) / ( 1 + $E$12 )</f>
        <v>2628076289.7357464</v>
      </c>
      <c r="N26" s="34">
        <f xml:space="preserve"> M26</f>
        <v>2628076289.7357464</v>
      </c>
      <c r="O26" s="34"/>
      <c r="P26" s="34">
        <f t="shared" ref="P26:P66" si="0" xml:space="preserve"> $O$12 * M26</f>
        <v>262807628.97357464</v>
      </c>
      <c r="Q26" s="34">
        <f t="shared" ref="Q26:Q66" si="1">+$O$13*P26</f>
        <v>131403814.48678732</v>
      </c>
      <c r="R26" s="34"/>
      <c r="S26" s="30"/>
      <c r="T26" s="86">
        <f xml:space="preserve"> SUM( S27:T27 ) / ( 1 + $E$11 )</f>
        <v>459556919.56960869</v>
      </c>
      <c r="U26" s="30"/>
      <c r="X26" s="31"/>
      <c r="Y26" s="31"/>
      <c r="Z26" s="30"/>
    </row>
    <row r="27" spans="1:27" x14ac:dyDescent="0.25">
      <c r="B27" s="24">
        <f t="shared" ref="B27" si="2">B26+1</f>
        <v>1</v>
      </c>
      <c r="C27" s="94">
        <v>2017</v>
      </c>
      <c r="D27" s="95">
        <f>E4</f>
        <v>70</v>
      </c>
      <c r="E27" s="71">
        <f xml:space="preserve"> $E$6</f>
        <v>40000</v>
      </c>
      <c r="F27" s="71">
        <f xml:space="preserve"> $E$17</f>
        <v>1200</v>
      </c>
      <c r="G27" s="35">
        <f t="shared" ref="G27:G66" si="3" xml:space="preserve"> G26 * ( 1 - J27 )</f>
        <v>4904</v>
      </c>
      <c r="H27" s="72">
        <f xml:space="preserve"> VLOOKUP( $D27, 'Mortality table'!$A$2:$B$111, 2, 0 ) * $E$18</f>
        <v>1.9199999999999998E-2</v>
      </c>
      <c r="I27" s="36">
        <f xml:space="preserve"> 1</f>
        <v>1</v>
      </c>
      <c r="J27" s="36">
        <f xml:space="preserve"> H27 * I27</f>
        <v>1.9199999999999998E-2</v>
      </c>
      <c r="K27" s="34">
        <f t="shared" ref="K27:K66" si="4" xml:space="preserve"> E27 * $G27</f>
        <v>196160000</v>
      </c>
      <c r="L27" s="34">
        <f t="shared" ref="L27:L66" si="5" xml:space="preserve"> F27 * $G27</f>
        <v>5884800</v>
      </c>
      <c r="M27" s="34">
        <f t="shared" ref="M27:M65" si="6" xml:space="preserve"> SUM( K28:M28 ) / ( 1 + $E$12 )</f>
        <v>2504873778.4278188</v>
      </c>
      <c r="N27" s="34">
        <f t="shared" ref="N27:N66" si="7" xml:space="preserve"> M27</f>
        <v>2504873778.4278188</v>
      </c>
      <c r="O27" s="34">
        <f>( - K27 - L27 - ( N27 - N26 ) ) * ( 1 - $E$13 )</f>
        <v>-55189602.08445067</v>
      </c>
      <c r="P27" s="34">
        <f t="shared" si="0"/>
        <v>250487377.8427819</v>
      </c>
      <c r="Q27" s="34">
        <f t="shared" si="1"/>
        <v>125243688.92139095</v>
      </c>
      <c r="R27" s="34">
        <f xml:space="preserve"> ( M26 + P26 + Q26 ) * $E$10 * ( 1 - $E$13 )</f>
        <v>105780070.66186379</v>
      </c>
      <c r="S27" s="34">
        <f xml:space="preserve"> O27 + R27 - ( P27 + Q27 - P26 - Q26 )</f>
        <v>69070845.273602217</v>
      </c>
      <c r="T27" s="87">
        <f xml:space="preserve"> SUM( S28:T28 ) / ( 1 + $E$11 )</f>
        <v>436441766.25296736</v>
      </c>
      <c r="U27" s="30"/>
      <c r="V27" s="32"/>
      <c r="X27" s="31"/>
      <c r="Y27" s="31"/>
      <c r="Z27" s="30"/>
      <c r="AA27" s="33"/>
    </row>
    <row r="28" spans="1:27" x14ac:dyDescent="0.25">
      <c r="B28" s="24">
        <f t="shared" ref="B28:C66" si="8">B27+1</f>
        <v>2</v>
      </c>
      <c r="C28" s="95">
        <f t="shared" si="8"/>
        <v>2018</v>
      </c>
      <c r="D28" s="95">
        <f>D27+B28-B27</f>
        <v>71</v>
      </c>
      <c r="E28" s="34">
        <f xml:space="preserve"> E27 * ( 1 + $E$16 )</f>
        <v>40800</v>
      </c>
      <c r="F28" s="34">
        <f xml:space="preserve"> F27 * ( 1 + $E$16 )</f>
        <v>1224</v>
      </c>
      <c r="G28" s="35">
        <f t="shared" si="3"/>
        <v>4801.0159999999996</v>
      </c>
      <c r="H28" s="36">
        <f xml:space="preserve"> VLOOKUP( $D28, 'Mortality table'!$A$2:$B$111, 2, 0 ) * $E$18</f>
        <v>2.1000000000000001E-2</v>
      </c>
      <c r="I28" s="36">
        <f xml:space="preserve"> I27 * ( 1 - $E$20 )</f>
        <v>1</v>
      </c>
      <c r="J28" s="36">
        <f t="shared" ref="J28:J66" si="9" xml:space="preserve"> H28 * I28</f>
        <v>2.1000000000000001E-2</v>
      </c>
      <c r="K28" s="34">
        <f t="shared" si="4"/>
        <v>195881452.79999998</v>
      </c>
      <c r="L28" s="34">
        <f t="shared" si="5"/>
        <v>5876443.5839999998</v>
      </c>
      <c r="M28" s="34">
        <f t="shared" si="6"/>
        <v>2378262095.3966537</v>
      </c>
      <c r="N28" s="34">
        <f t="shared" si="7"/>
        <v>2378262095.3966537</v>
      </c>
      <c r="O28" s="34">
        <f t="shared" ref="O28:O66" si="10">( - K28 - L28 - ( N28 - N27 ) ) * ( 1 - $E$13 )</f>
        <v>-52602349.346984394</v>
      </c>
      <c r="P28" s="34">
        <f t="shared" si="0"/>
        <v>237826209.53966537</v>
      </c>
      <c r="Q28" s="34">
        <f t="shared" si="1"/>
        <v>118913104.76983269</v>
      </c>
      <c r="R28" s="34">
        <f t="shared" ref="R28:R66" si="11" xml:space="preserve"> ( M27 + P27 + Q27 ) * $E$10 * ( 1 - $E$13 )</f>
        <v>100821169.58171971</v>
      </c>
      <c r="S28" s="34">
        <f t="shared" ref="S28:S66" si="12" xml:space="preserve"> O28 + R28 - ( P28 + Q28 - P27 - Q27 )</f>
        <v>67210572.68941009</v>
      </c>
      <c r="T28" s="87">
        <f t="shared" ref="T28:T65" si="13" xml:space="preserve"> SUM( S29:T29 ) / ( 1 + $E$11 )</f>
        <v>412875370.18885404</v>
      </c>
      <c r="U28" s="30"/>
      <c r="V28" s="32"/>
      <c r="X28" s="31"/>
      <c r="Y28" s="31"/>
      <c r="Z28" s="30"/>
      <c r="AA28" s="33"/>
    </row>
    <row r="29" spans="1:27" x14ac:dyDescent="0.25">
      <c r="B29" s="24">
        <f t="shared" si="8"/>
        <v>3</v>
      </c>
      <c r="C29" s="95">
        <f t="shared" si="8"/>
        <v>2019</v>
      </c>
      <c r="D29" s="95">
        <f t="shared" ref="D29:D66" si="14">D28+B29-B28</f>
        <v>72</v>
      </c>
      <c r="E29" s="34">
        <f t="shared" ref="E29:F44" si="15" xml:space="preserve"> E28 * ( 1 + $E$16 )</f>
        <v>41616</v>
      </c>
      <c r="F29" s="34">
        <f t="shared" si="15"/>
        <v>1248.48</v>
      </c>
      <c r="G29" s="35">
        <f t="shared" si="3"/>
        <v>4689.6324287999996</v>
      </c>
      <c r="H29" s="36">
        <f xml:space="preserve"> VLOOKUP( $D29, 'Mortality table'!$A$2:$B$111, 2, 0 ) * $E$18</f>
        <v>2.3199999999999998E-2</v>
      </c>
      <c r="I29" s="36">
        <f t="shared" ref="I29:I66" si="16" xml:space="preserve"> I28 * ( 1 - $E$20 )</f>
        <v>1</v>
      </c>
      <c r="J29" s="36">
        <f t="shared" si="9"/>
        <v>2.3199999999999998E-2</v>
      </c>
      <c r="K29" s="34">
        <f t="shared" si="4"/>
        <v>195163743.15694079</v>
      </c>
      <c r="L29" s="34">
        <f t="shared" si="5"/>
        <v>5854912.294708224</v>
      </c>
      <c r="M29" s="34">
        <f t="shared" si="6"/>
        <v>2248591302.8069043</v>
      </c>
      <c r="N29" s="34">
        <f t="shared" si="7"/>
        <v>2248591302.8069043</v>
      </c>
      <c r="O29" s="34">
        <f t="shared" si="10"/>
        <v>-49943504.003329769</v>
      </c>
      <c r="P29" s="34">
        <f t="shared" si="0"/>
        <v>224859130.28069043</v>
      </c>
      <c r="Q29" s="34">
        <f t="shared" si="1"/>
        <v>112429565.14034522</v>
      </c>
      <c r="R29" s="34">
        <f t="shared" si="11"/>
        <v>95725049.339715302</v>
      </c>
      <c r="S29" s="34">
        <f t="shared" si="12"/>
        <v>65232164.224847943</v>
      </c>
      <c r="T29" s="87">
        <f t="shared" si="13"/>
        <v>388930742.9828915</v>
      </c>
      <c r="U29" s="30"/>
      <c r="V29" s="32"/>
      <c r="X29" s="31"/>
      <c r="Y29" s="31"/>
      <c r="Z29" s="30"/>
      <c r="AA29" s="33"/>
    </row>
    <row r="30" spans="1:27" x14ac:dyDescent="0.25">
      <c r="B30" s="24">
        <f t="shared" si="8"/>
        <v>4</v>
      </c>
      <c r="C30" s="95">
        <f t="shared" si="8"/>
        <v>2020</v>
      </c>
      <c r="D30" s="95">
        <f t="shared" si="14"/>
        <v>73</v>
      </c>
      <c r="E30" s="34">
        <f t="shared" si="15"/>
        <v>42448.32</v>
      </c>
      <c r="F30" s="34">
        <f t="shared" si="15"/>
        <v>1273.4496000000001</v>
      </c>
      <c r="G30" s="35">
        <f t="shared" si="3"/>
        <v>4567.608193002623</v>
      </c>
      <c r="H30" s="36">
        <f xml:space="preserve"> VLOOKUP( $D30, 'Mortality table'!$A$2:$B$111, 2, 0 ) * $E$18</f>
        <v>2.6020000000000001E-2</v>
      </c>
      <c r="I30" s="36">
        <f t="shared" si="16"/>
        <v>1</v>
      </c>
      <c r="J30" s="36">
        <f t="shared" si="9"/>
        <v>2.6020000000000001E-2</v>
      </c>
      <c r="K30" s="34">
        <f t="shared" si="4"/>
        <v>193887294.21119711</v>
      </c>
      <c r="L30" s="34">
        <f t="shared" si="5"/>
        <v>5816618.8263359135</v>
      </c>
      <c r="M30" s="34">
        <f t="shared" si="6"/>
        <v>2116345128.8535783</v>
      </c>
      <c r="N30" s="34">
        <f t="shared" si="7"/>
        <v>2116345128.8535783</v>
      </c>
      <c r="O30" s="34">
        <f t="shared" si="10"/>
        <v>-47220417.358944915</v>
      </c>
      <c r="P30" s="34">
        <f t="shared" si="0"/>
        <v>211634512.88535786</v>
      </c>
      <c r="Q30" s="34">
        <f t="shared" si="1"/>
        <v>105817256.44267893</v>
      </c>
      <c r="R30" s="34">
        <f t="shared" si="11"/>
        <v>90505799.937977895</v>
      </c>
      <c r="S30" s="34">
        <f t="shared" si="12"/>
        <v>63122308.672031842</v>
      </c>
      <c r="T30" s="87">
        <f t="shared" si="13"/>
        <v>364701508.60914886</v>
      </c>
      <c r="U30" s="30"/>
      <c r="V30" s="32"/>
      <c r="X30" s="31"/>
      <c r="Y30" s="31"/>
      <c r="Z30" s="30"/>
      <c r="AA30" s="33"/>
    </row>
    <row r="31" spans="1:27" x14ac:dyDescent="0.25">
      <c r="B31" s="24">
        <f t="shared" si="8"/>
        <v>5</v>
      </c>
      <c r="C31" s="95">
        <f t="shared" si="8"/>
        <v>2021</v>
      </c>
      <c r="D31" s="95">
        <f t="shared" si="14"/>
        <v>74</v>
      </c>
      <c r="E31" s="34">
        <f t="shared" si="15"/>
        <v>43297.286399999997</v>
      </c>
      <c r="F31" s="34">
        <f t="shared" si="15"/>
        <v>1298.9185920000002</v>
      </c>
      <c r="G31" s="35">
        <f t="shared" si="3"/>
        <v>4433.4118642922058</v>
      </c>
      <c r="H31" s="36">
        <f xml:space="preserve"> VLOOKUP( $D31, 'Mortality table'!$A$2:$B$111, 2, 0 ) * $E$18</f>
        <v>2.938E-2</v>
      </c>
      <c r="I31" s="36">
        <f t="shared" si="16"/>
        <v>1</v>
      </c>
      <c r="J31" s="36">
        <f t="shared" si="9"/>
        <v>2.938E-2</v>
      </c>
      <c r="K31" s="34">
        <f t="shared" si="4"/>
        <v>191954703.21741757</v>
      </c>
      <c r="L31" s="34">
        <f t="shared" si="5"/>
        <v>5758641.0965225277</v>
      </c>
      <c r="M31" s="34">
        <f t="shared" si="6"/>
        <v>1982122138.4052458</v>
      </c>
      <c r="N31" s="34">
        <f t="shared" si="7"/>
        <v>1982122138.4052458</v>
      </c>
      <c r="O31" s="34">
        <f t="shared" si="10"/>
        <v>-44443247.705925286</v>
      </c>
      <c r="P31" s="34">
        <f t="shared" si="0"/>
        <v>198212213.84052458</v>
      </c>
      <c r="Q31" s="34">
        <f t="shared" si="1"/>
        <v>99106106.920262292</v>
      </c>
      <c r="R31" s="34">
        <f t="shared" si="11"/>
        <v>85182891.43635653</v>
      </c>
      <c r="S31" s="34">
        <f t="shared" si="12"/>
        <v>60873092.297681138</v>
      </c>
      <c r="T31" s="87">
        <f t="shared" si="13"/>
        <v>340298567.17238265</v>
      </c>
      <c r="U31" s="30"/>
      <c r="V31" s="32"/>
      <c r="X31" s="31"/>
      <c r="Y31" s="31"/>
      <c r="Z31" s="30"/>
      <c r="AA31" s="33"/>
    </row>
    <row r="32" spans="1:27" x14ac:dyDescent="0.25">
      <c r="B32" s="24">
        <f t="shared" si="8"/>
        <v>6</v>
      </c>
      <c r="C32" s="95">
        <f t="shared" si="8"/>
        <v>2022</v>
      </c>
      <c r="D32" s="95">
        <f t="shared" si="14"/>
        <v>75</v>
      </c>
      <c r="E32" s="34">
        <f t="shared" si="15"/>
        <v>44163.232127999996</v>
      </c>
      <c r="F32" s="34">
        <f t="shared" si="15"/>
        <v>1324.8969638400004</v>
      </c>
      <c r="G32" s="35">
        <f t="shared" si="3"/>
        <v>4286.5772633468478</v>
      </c>
      <c r="H32" s="36">
        <f xml:space="preserve"> VLOOKUP( $D32, 'Mortality table'!$A$2:$B$111, 2, 0 ) * $E$18</f>
        <v>3.3119999999999997E-2</v>
      </c>
      <c r="I32" s="36">
        <f t="shared" si="16"/>
        <v>1</v>
      </c>
      <c r="J32" s="36">
        <f t="shared" si="9"/>
        <v>3.3119999999999997E-2</v>
      </c>
      <c r="K32" s="34">
        <f t="shared" si="4"/>
        <v>189309106.71579382</v>
      </c>
      <c r="L32" s="34">
        <f t="shared" si="5"/>
        <v>5679273.2014738163</v>
      </c>
      <c r="M32" s="34">
        <f t="shared" si="6"/>
        <v>1846597422.6401358</v>
      </c>
      <c r="N32" s="34">
        <f t="shared" si="7"/>
        <v>1846597422.6401358</v>
      </c>
      <c r="O32" s="34">
        <f t="shared" si="10"/>
        <v>-41624564.906510323</v>
      </c>
      <c r="P32" s="34">
        <f t="shared" si="0"/>
        <v>184659742.26401359</v>
      </c>
      <c r="Q32" s="34">
        <f t="shared" si="1"/>
        <v>92329871.132006794</v>
      </c>
      <c r="R32" s="34">
        <f t="shared" si="11"/>
        <v>79780416.070811152</v>
      </c>
      <c r="S32" s="34">
        <f t="shared" si="12"/>
        <v>58484558.529067293</v>
      </c>
      <c r="T32" s="87">
        <f t="shared" si="13"/>
        <v>315843865.36055368</v>
      </c>
      <c r="U32" s="30"/>
      <c r="V32" s="32"/>
      <c r="X32" s="31"/>
      <c r="Y32" s="31"/>
      <c r="Z32" s="30"/>
      <c r="AA32" s="33"/>
    </row>
    <row r="33" spans="2:27" x14ac:dyDescent="0.25">
      <c r="B33" s="24">
        <f t="shared" si="8"/>
        <v>7</v>
      </c>
      <c r="C33" s="95">
        <f t="shared" si="8"/>
        <v>2023</v>
      </c>
      <c r="D33" s="95">
        <f t="shared" si="14"/>
        <v>76</v>
      </c>
      <c r="E33" s="34">
        <f t="shared" si="15"/>
        <v>45046.496770559999</v>
      </c>
      <c r="F33" s="34">
        <f t="shared" si="15"/>
        <v>1351.3949031168004</v>
      </c>
      <c r="G33" s="35">
        <f t="shared" si="3"/>
        <v>4127.2880522408786</v>
      </c>
      <c r="H33" s="36">
        <f xml:space="preserve"> VLOOKUP( $D33, 'Mortality table'!$A$2:$B$111, 2, 0 ) * $E$18</f>
        <v>3.7159999999999999E-2</v>
      </c>
      <c r="I33" s="36">
        <f t="shared" si="16"/>
        <v>1</v>
      </c>
      <c r="J33" s="36">
        <f t="shared" si="9"/>
        <v>3.7159999999999999E-2</v>
      </c>
      <c r="K33" s="34">
        <f t="shared" si="4"/>
        <v>185919867.91643962</v>
      </c>
      <c r="L33" s="34">
        <f t="shared" si="5"/>
        <v>5577596.0374931898</v>
      </c>
      <c r="M33" s="34">
        <f t="shared" si="6"/>
        <v>1710497881.3654072</v>
      </c>
      <c r="N33" s="34">
        <f t="shared" si="7"/>
        <v>1710497881.3654072</v>
      </c>
      <c r="O33" s="34">
        <f t="shared" si="10"/>
        <v>-38778545.875442997</v>
      </c>
      <c r="P33" s="34">
        <f t="shared" si="0"/>
        <v>171049788.13654074</v>
      </c>
      <c r="Q33" s="34">
        <f t="shared" si="1"/>
        <v>85524894.06827037</v>
      </c>
      <c r="R33" s="34">
        <f t="shared" si="11"/>
        <v>74325546.261265472</v>
      </c>
      <c r="S33" s="34">
        <f t="shared" si="12"/>
        <v>55961931.577031761</v>
      </c>
      <c r="T33" s="87">
        <f t="shared" si="13"/>
        <v>291466320.31957734</v>
      </c>
      <c r="U33" s="30"/>
      <c r="V33" s="32"/>
      <c r="X33" s="31"/>
      <c r="Y33" s="31"/>
      <c r="Z33" s="30"/>
      <c r="AA33" s="33"/>
    </row>
    <row r="34" spans="2:27" x14ac:dyDescent="0.25">
      <c r="B34" s="24">
        <f t="shared" si="8"/>
        <v>8</v>
      </c>
      <c r="C34" s="95">
        <f t="shared" si="8"/>
        <v>2024</v>
      </c>
      <c r="D34" s="95">
        <f t="shared" si="14"/>
        <v>77</v>
      </c>
      <c r="E34" s="34">
        <f t="shared" si="15"/>
        <v>45947.4267059712</v>
      </c>
      <c r="F34" s="34">
        <f t="shared" si="15"/>
        <v>1378.4228011791365</v>
      </c>
      <c r="G34" s="35">
        <f t="shared" si="3"/>
        <v>3955.881779431315</v>
      </c>
      <c r="H34" s="36">
        <f xml:space="preserve"> VLOOKUP( $D34, 'Mortality table'!$A$2:$B$111, 2, 0 ) * $E$18</f>
        <v>4.1529999999999997E-2</v>
      </c>
      <c r="I34" s="36">
        <f t="shared" si="16"/>
        <v>1</v>
      </c>
      <c r="J34" s="36">
        <f t="shared" si="9"/>
        <v>4.1529999999999997E-2</v>
      </c>
      <c r="K34" s="34">
        <f t="shared" si="4"/>
        <v>181762588.11790729</v>
      </c>
      <c r="L34" s="34">
        <f t="shared" si="5"/>
        <v>5452877.6435372205</v>
      </c>
      <c r="M34" s="34">
        <f t="shared" si="6"/>
        <v>1574597352.044925</v>
      </c>
      <c r="N34" s="34">
        <f t="shared" si="7"/>
        <v>1574597352.044925</v>
      </c>
      <c r="O34" s="34">
        <f t="shared" si="10"/>
        <v>-35920455.508673579</v>
      </c>
      <c r="P34" s="34">
        <f t="shared" si="0"/>
        <v>157459735.20449251</v>
      </c>
      <c r="Q34" s="34">
        <f t="shared" si="1"/>
        <v>78729867.602246255</v>
      </c>
      <c r="R34" s="34">
        <f t="shared" si="11"/>
        <v>68847539.724957645</v>
      </c>
      <c r="S34" s="34">
        <f t="shared" si="12"/>
        <v>53312163.614356413</v>
      </c>
      <c r="T34" s="87">
        <f t="shared" si="13"/>
        <v>267300788.73717865</v>
      </c>
      <c r="U34" s="30"/>
      <c r="V34" s="32"/>
      <c r="X34" s="31"/>
      <c r="Y34" s="31"/>
      <c r="Z34" s="30"/>
      <c r="AA34" s="33"/>
    </row>
    <row r="35" spans="2:27" x14ac:dyDescent="0.25">
      <c r="B35" s="24">
        <f t="shared" si="8"/>
        <v>9</v>
      </c>
      <c r="C35" s="95">
        <f t="shared" si="8"/>
        <v>2025</v>
      </c>
      <c r="D35" s="95">
        <f t="shared" si="14"/>
        <v>78</v>
      </c>
      <c r="E35" s="34">
        <f t="shared" si="15"/>
        <v>46866.375240090623</v>
      </c>
      <c r="F35" s="34">
        <f t="shared" si="15"/>
        <v>1405.9912572027192</v>
      </c>
      <c r="G35" s="35">
        <f t="shared" si="3"/>
        <v>3772.5662177724676</v>
      </c>
      <c r="H35" s="36">
        <f xml:space="preserve"> VLOOKUP( $D35, 'Mortality table'!$A$2:$B$111, 2, 0 ) * $E$18</f>
        <v>4.6339999999999999E-2</v>
      </c>
      <c r="I35" s="36">
        <f t="shared" si="16"/>
        <v>1</v>
      </c>
      <c r="J35" s="36">
        <f t="shared" si="9"/>
        <v>4.6339999999999999E-2</v>
      </c>
      <c r="K35" s="34">
        <f t="shared" si="4"/>
        <v>176806503.98021391</v>
      </c>
      <c r="L35" s="34">
        <f t="shared" si="5"/>
        <v>5304195.1194064189</v>
      </c>
      <c r="M35" s="34">
        <f t="shared" si="6"/>
        <v>1439724573.5066524</v>
      </c>
      <c r="N35" s="34">
        <f t="shared" si="7"/>
        <v>1439724573.5066524</v>
      </c>
      <c r="O35" s="34">
        <f t="shared" si="10"/>
        <v>-33066544.392943405</v>
      </c>
      <c r="P35" s="34">
        <f t="shared" si="0"/>
        <v>143972457.35066524</v>
      </c>
      <c r="Q35" s="34">
        <f t="shared" si="1"/>
        <v>71986228.675332621</v>
      </c>
      <c r="R35" s="34">
        <f t="shared" si="11"/>
        <v>63377543.419808239</v>
      </c>
      <c r="S35" s="34">
        <f t="shared" si="12"/>
        <v>50541915.807605721</v>
      </c>
      <c r="T35" s="87">
        <f t="shared" si="13"/>
        <v>243488951.80329081</v>
      </c>
      <c r="U35" s="30"/>
      <c r="V35" s="32"/>
      <c r="X35" s="31"/>
      <c r="Y35" s="31"/>
      <c r="Z35" s="30"/>
      <c r="AA35" s="33"/>
    </row>
    <row r="36" spans="2:27" x14ac:dyDescent="0.25">
      <c r="B36" s="24">
        <f t="shared" si="8"/>
        <v>10</v>
      </c>
      <c r="C36" s="95">
        <f t="shared" si="8"/>
        <v>2026</v>
      </c>
      <c r="D36" s="95">
        <f t="shared" si="14"/>
        <v>79</v>
      </c>
      <c r="E36" s="34">
        <f t="shared" si="15"/>
        <v>47803.702744892435</v>
      </c>
      <c r="F36" s="34">
        <f t="shared" si="15"/>
        <v>1434.1110823467736</v>
      </c>
      <c r="G36" s="35">
        <f t="shared" si="3"/>
        <v>3577.6377213001642</v>
      </c>
      <c r="H36" s="36">
        <f xml:space="preserve"> VLOOKUP( $D36, 'Mortality table'!$A$2:$B$111, 2, 0 ) * $E$18</f>
        <v>5.1670000000000001E-2</v>
      </c>
      <c r="I36" s="36">
        <f t="shared" si="16"/>
        <v>1</v>
      </c>
      <c r="J36" s="36">
        <f t="shared" si="9"/>
        <v>5.1670000000000001E-2</v>
      </c>
      <c r="K36" s="34">
        <f t="shared" si="4"/>
        <v>171024330.15794736</v>
      </c>
      <c r="L36" s="34">
        <f t="shared" si="5"/>
        <v>5130729.9047384234</v>
      </c>
      <c r="M36" s="34">
        <f t="shared" si="6"/>
        <v>1306761250.6491663</v>
      </c>
      <c r="N36" s="34">
        <f t="shared" si="7"/>
        <v>1306761250.6491663</v>
      </c>
      <c r="O36" s="34">
        <f t="shared" si="10"/>
        <v>-30234216.043639842</v>
      </c>
      <c r="P36" s="34">
        <f t="shared" si="0"/>
        <v>130676125.06491664</v>
      </c>
      <c r="Q36" s="34">
        <f t="shared" si="1"/>
        <v>65338062.53245832</v>
      </c>
      <c r="R36" s="34">
        <f t="shared" si="11"/>
        <v>57948914.083642758</v>
      </c>
      <c r="S36" s="34">
        <f t="shared" si="12"/>
        <v>47659196.468625799</v>
      </c>
      <c r="T36" s="87">
        <f t="shared" si="13"/>
        <v>220178650.51499414</v>
      </c>
      <c r="U36" s="30"/>
      <c r="V36" s="32"/>
      <c r="X36" s="31"/>
      <c r="Y36" s="31"/>
      <c r="Z36" s="30"/>
      <c r="AA36" s="33"/>
    </row>
    <row r="37" spans="2:27" x14ac:dyDescent="0.25">
      <c r="B37" s="24">
        <f t="shared" si="8"/>
        <v>11</v>
      </c>
      <c r="C37" s="95">
        <f t="shared" si="8"/>
        <v>2027</v>
      </c>
      <c r="D37" s="95">
        <f t="shared" si="14"/>
        <v>80</v>
      </c>
      <c r="E37" s="34">
        <f t="shared" si="15"/>
        <v>48759.776799790285</v>
      </c>
      <c r="F37" s="34">
        <f t="shared" si="15"/>
        <v>1462.7933039937091</v>
      </c>
      <c r="G37" s="35">
        <f t="shared" si="3"/>
        <v>3371.5657885532746</v>
      </c>
      <c r="H37" s="36">
        <f xml:space="preserve"> VLOOKUP( $D37, 'Mortality table'!$A$2:$B$111, 2, 0 ) * $E$18</f>
        <v>5.7599999999999998E-2</v>
      </c>
      <c r="I37" s="36">
        <f t="shared" si="16"/>
        <v>1</v>
      </c>
      <c r="J37" s="36">
        <f t="shared" si="9"/>
        <v>5.7599999999999998E-2</v>
      </c>
      <c r="K37" s="34">
        <f t="shared" si="4"/>
        <v>164396795.31566659</v>
      </c>
      <c r="L37" s="34">
        <f t="shared" si="5"/>
        <v>4931903.8594699996</v>
      </c>
      <c r="M37" s="34">
        <f t="shared" si="6"/>
        <v>1176635388.9935048</v>
      </c>
      <c r="N37" s="34">
        <f t="shared" si="7"/>
        <v>1176635388.9935048</v>
      </c>
      <c r="O37" s="34">
        <f t="shared" si="10"/>
        <v>-27441986.263632506</v>
      </c>
      <c r="P37" s="34">
        <f t="shared" si="0"/>
        <v>117663538.89935048</v>
      </c>
      <c r="Q37" s="34">
        <f t="shared" si="1"/>
        <v>58831769.44967524</v>
      </c>
      <c r="R37" s="34">
        <f t="shared" si="11"/>
        <v>52597140.33862894</v>
      </c>
      <c r="S37" s="34">
        <f t="shared" si="12"/>
        <v>44674033.323345669</v>
      </c>
      <c r="T37" s="87">
        <f t="shared" si="13"/>
        <v>197522482.24314791</v>
      </c>
      <c r="U37" s="30"/>
      <c r="V37" s="32"/>
      <c r="X37" s="31"/>
      <c r="Y37" s="31"/>
      <c r="Z37" s="30"/>
      <c r="AA37" s="33"/>
    </row>
    <row r="38" spans="2:27" x14ac:dyDescent="0.25">
      <c r="B38" s="24">
        <f t="shared" si="8"/>
        <v>12</v>
      </c>
      <c r="C38" s="95">
        <f t="shared" si="8"/>
        <v>2028</v>
      </c>
      <c r="D38" s="95">
        <f t="shared" si="14"/>
        <v>81</v>
      </c>
      <c r="E38" s="34">
        <f t="shared" si="15"/>
        <v>49734.972335786093</v>
      </c>
      <c r="F38" s="34">
        <f t="shared" si="15"/>
        <v>1492.0491700735834</v>
      </c>
      <c r="G38" s="35">
        <f t="shared" si="3"/>
        <v>3155.0438336123834</v>
      </c>
      <c r="H38" s="36">
        <f xml:space="preserve"> VLOOKUP( $D38, 'Mortality table'!$A$2:$B$111, 2, 0 ) * $E$18</f>
        <v>6.4219999999999999E-2</v>
      </c>
      <c r="I38" s="36">
        <f t="shared" si="16"/>
        <v>1</v>
      </c>
      <c r="J38" s="36">
        <f t="shared" si="9"/>
        <v>6.4219999999999999E-2</v>
      </c>
      <c r="K38" s="34">
        <f t="shared" si="4"/>
        <v>156916017.78290439</v>
      </c>
      <c r="L38" s="34">
        <f t="shared" si="5"/>
        <v>4707480.5334871337</v>
      </c>
      <c r="M38" s="34">
        <f t="shared" si="6"/>
        <v>1050310952.3469186</v>
      </c>
      <c r="N38" s="34">
        <f t="shared" si="7"/>
        <v>1050310952.3469186</v>
      </c>
      <c r="O38" s="34">
        <f t="shared" si="10"/>
        <v>-24709343.168863744</v>
      </c>
      <c r="P38" s="34">
        <f t="shared" si="0"/>
        <v>105031095.23469186</v>
      </c>
      <c r="Q38" s="34">
        <f t="shared" si="1"/>
        <v>52515547.617345929</v>
      </c>
      <c r="R38" s="34">
        <f t="shared" si="11"/>
        <v>47359574.406988561</v>
      </c>
      <c r="S38" s="34">
        <f t="shared" si="12"/>
        <v>41598896.735112749</v>
      </c>
      <c r="T38" s="87">
        <f t="shared" si="13"/>
        <v>175675833.73234996</v>
      </c>
      <c r="U38" s="30"/>
      <c r="V38" s="32"/>
      <c r="X38" s="31"/>
      <c r="Y38" s="31"/>
      <c r="Z38" s="30"/>
      <c r="AA38" s="33"/>
    </row>
    <row r="39" spans="2:27" x14ac:dyDescent="0.25">
      <c r="B39" s="24">
        <f t="shared" si="8"/>
        <v>13</v>
      </c>
      <c r="C39" s="95">
        <f t="shared" si="8"/>
        <v>2029</v>
      </c>
      <c r="D39" s="95">
        <f t="shared" si="14"/>
        <v>82</v>
      </c>
      <c r="E39" s="34">
        <f t="shared" si="15"/>
        <v>50729.671782501813</v>
      </c>
      <c r="F39" s="34">
        <f t="shared" si="15"/>
        <v>1521.8901534750551</v>
      </c>
      <c r="G39" s="35">
        <f t="shared" si="3"/>
        <v>2929.1426951257367</v>
      </c>
      <c r="H39" s="36">
        <f xml:space="preserve"> VLOOKUP( $D39, 'Mortality table'!$A$2:$B$111, 2, 0 ) * $E$18</f>
        <v>7.1599999999999997E-2</v>
      </c>
      <c r="I39" s="36">
        <f t="shared" si="16"/>
        <v>1</v>
      </c>
      <c r="J39" s="36">
        <f t="shared" si="9"/>
        <v>7.1599999999999997E-2</v>
      </c>
      <c r="K39" s="34">
        <f t="shared" si="4"/>
        <v>148594447.52784139</v>
      </c>
      <c r="L39" s="34">
        <f t="shared" si="5"/>
        <v>4457833.4258352434</v>
      </c>
      <c r="M39" s="34">
        <f t="shared" si="6"/>
        <v>928767999.96364951</v>
      </c>
      <c r="N39" s="34">
        <f t="shared" si="7"/>
        <v>928767999.96364951</v>
      </c>
      <c r="O39" s="34">
        <f t="shared" si="10"/>
        <v>-22056529.999285296</v>
      </c>
      <c r="P39" s="34">
        <f t="shared" si="0"/>
        <v>92876799.996364951</v>
      </c>
      <c r="Q39" s="34">
        <f t="shared" si="1"/>
        <v>46438399.998182476</v>
      </c>
      <c r="R39" s="34">
        <f t="shared" si="11"/>
        <v>42275015.83196348</v>
      </c>
      <c r="S39" s="34">
        <f t="shared" si="12"/>
        <v>38449928.690168545</v>
      </c>
      <c r="T39" s="87">
        <f t="shared" si="13"/>
        <v>154793488.41541642</v>
      </c>
      <c r="U39" s="30"/>
      <c r="V39" s="32"/>
      <c r="X39" s="31"/>
      <c r="Y39" s="31"/>
      <c r="Z39" s="30"/>
      <c r="AA39" s="33"/>
    </row>
    <row r="40" spans="2:27" x14ac:dyDescent="0.25">
      <c r="B40" s="24">
        <f t="shared" si="8"/>
        <v>14</v>
      </c>
      <c r="C40" s="95">
        <f t="shared" si="8"/>
        <v>2030</v>
      </c>
      <c r="D40" s="95">
        <f t="shared" si="14"/>
        <v>83</v>
      </c>
      <c r="E40" s="34">
        <f t="shared" si="15"/>
        <v>51744.26521815185</v>
      </c>
      <c r="F40" s="34">
        <f t="shared" si="15"/>
        <v>1552.3279565445562</v>
      </c>
      <c r="G40" s="35">
        <f t="shared" si="3"/>
        <v>2695.3092337738494</v>
      </c>
      <c r="H40" s="36">
        <f xml:space="preserve"> VLOOKUP( $D40, 'Mortality table'!$A$2:$B$111, 2, 0 ) * $E$18</f>
        <v>7.9829999999999998E-2</v>
      </c>
      <c r="I40" s="36">
        <f t="shared" si="16"/>
        <v>1</v>
      </c>
      <c r="J40" s="36">
        <f t="shared" si="9"/>
        <v>7.9829999999999998E-2</v>
      </c>
      <c r="K40" s="34">
        <f t="shared" si="4"/>
        <v>139466795.83732772</v>
      </c>
      <c r="L40" s="34">
        <f t="shared" si="5"/>
        <v>4184003.8751198333</v>
      </c>
      <c r="M40" s="34">
        <f t="shared" si="6"/>
        <v>812980240.25011146</v>
      </c>
      <c r="N40" s="34">
        <f t="shared" si="7"/>
        <v>812980240.25011146</v>
      </c>
      <c r="O40" s="34">
        <f t="shared" si="10"/>
        <v>-19504127.999236651</v>
      </c>
      <c r="P40" s="34">
        <f t="shared" si="0"/>
        <v>81298024.025011152</v>
      </c>
      <c r="Q40" s="34">
        <f t="shared" si="1"/>
        <v>40649012.012505576</v>
      </c>
      <c r="R40" s="34">
        <f t="shared" si="11"/>
        <v>37382911.998536885</v>
      </c>
      <c r="S40" s="34">
        <f t="shared" si="12"/>
        <v>35246947.956330933</v>
      </c>
      <c r="T40" s="87">
        <f t="shared" si="13"/>
        <v>135025889.30062714</v>
      </c>
      <c r="U40" s="30"/>
      <c r="V40" s="32"/>
      <c r="X40" s="31"/>
      <c r="Y40" s="31"/>
      <c r="Z40" s="30"/>
      <c r="AA40" s="33"/>
    </row>
    <row r="41" spans="2:27" x14ac:dyDescent="0.25">
      <c r="B41" s="24">
        <f t="shared" si="8"/>
        <v>15</v>
      </c>
      <c r="C41" s="95">
        <f t="shared" si="8"/>
        <v>2031</v>
      </c>
      <c r="D41" s="95">
        <f t="shared" si="14"/>
        <v>84</v>
      </c>
      <c r="E41" s="34">
        <f t="shared" si="15"/>
        <v>52779.150522514887</v>
      </c>
      <c r="F41" s="34">
        <f t="shared" si="15"/>
        <v>1583.3745156754474</v>
      </c>
      <c r="G41" s="35">
        <f t="shared" si="3"/>
        <v>2455.5345243373276</v>
      </c>
      <c r="H41" s="36">
        <f xml:space="preserve"> VLOOKUP( $D41, 'Mortality table'!$A$2:$B$111, 2, 0 ) * $E$18</f>
        <v>8.8959999999999997E-2</v>
      </c>
      <c r="I41" s="36">
        <f t="shared" si="16"/>
        <v>1</v>
      </c>
      <c r="J41" s="36">
        <f t="shared" si="9"/>
        <v>8.8959999999999997E-2</v>
      </c>
      <c r="K41" s="34">
        <f t="shared" si="4"/>
        <v>129601026.2732318</v>
      </c>
      <c r="L41" s="34">
        <f t="shared" si="5"/>
        <v>3888030.7881969563</v>
      </c>
      <c r="M41" s="34">
        <f t="shared" si="6"/>
        <v>703880590.39618599</v>
      </c>
      <c r="N41" s="34">
        <f t="shared" si="7"/>
        <v>703880590.39618599</v>
      </c>
      <c r="O41" s="34">
        <f t="shared" si="10"/>
        <v>-17072585.045252301</v>
      </c>
      <c r="P41" s="34">
        <f t="shared" si="0"/>
        <v>70388059.039618596</v>
      </c>
      <c r="Q41" s="34">
        <f t="shared" si="1"/>
        <v>35194029.519809298</v>
      </c>
      <c r="R41" s="34">
        <f t="shared" si="11"/>
        <v>32722454.670066986</v>
      </c>
      <c r="S41" s="34">
        <f t="shared" si="12"/>
        <v>32014817.102903526</v>
      </c>
      <c r="T41" s="87">
        <f t="shared" si="13"/>
        <v>116513661.12778635</v>
      </c>
      <c r="U41" s="30"/>
      <c r="V41" s="32"/>
      <c r="X41" s="31"/>
      <c r="Y41" s="31"/>
      <c r="Z41" s="30"/>
      <c r="AA41" s="33"/>
    </row>
    <row r="42" spans="2:27" x14ac:dyDescent="0.25">
      <c r="B42" s="24">
        <f t="shared" si="8"/>
        <v>16</v>
      </c>
      <c r="C42" s="95">
        <f t="shared" si="8"/>
        <v>2032</v>
      </c>
      <c r="D42" s="95">
        <f t="shared" si="14"/>
        <v>85</v>
      </c>
      <c r="E42" s="34">
        <f t="shared" si="15"/>
        <v>53834.733532965183</v>
      </c>
      <c r="F42" s="34">
        <f t="shared" si="15"/>
        <v>1615.0420059889564</v>
      </c>
      <c r="G42" s="35">
        <f t="shared" si="3"/>
        <v>2212.2647190112284</v>
      </c>
      <c r="H42" s="36">
        <f xml:space="preserve"> VLOOKUP( $D42, 'Mortality table'!$A$2:$B$111, 2, 0 ) * $E$18</f>
        <v>9.9070000000000005E-2</v>
      </c>
      <c r="I42" s="36">
        <f t="shared" si="16"/>
        <v>1</v>
      </c>
      <c r="J42" s="36">
        <f t="shared" si="9"/>
        <v>9.9070000000000005E-2</v>
      </c>
      <c r="K42" s="34">
        <f t="shared" si="4"/>
        <v>119096681.65234958</v>
      </c>
      <c r="L42" s="34">
        <f t="shared" si="5"/>
        <v>3572900.4495704891</v>
      </c>
      <c r="M42" s="34">
        <f t="shared" si="6"/>
        <v>602327426.00615156</v>
      </c>
      <c r="N42" s="34">
        <f t="shared" si="7"/>
        <v>602327426.00615156</v>
      </c>
      <c r="O42" s="34">
        <f t="shared" si="10"/>
        <v>-14781492.398319941</v>
      </c>
      <c r="P42" s="34">
        <f t="shared" si="0"/>
        <v>60232742.600615159</v>
      </c>
      <c r="Q42" s="34">
        <f t="shared" si="1"/>
        <v>30116371.300307579</v>
      </c>
      <c r="R42" s="34">
        <f t="shared" si="11"/>
        <v>28331193.763446487</v>
      </c>
      <c r="S42" s="34">
        <f t="shared" si="12"/>
        <v>28782676.023631696</v>
      </c>
      <c r="T42" s="87">
        <f t="shared" si="13"/>
        <v>99382351.21693331</v>
      </c>
      <c r="U42" s="30"/>
      <c r="V42" s="32"/>
      <c r="X42" s="31"/>
      <c r="Y42" s="31"/>
      <c r="Z42" s="30"/>
      <c r="AA42" s="33"/>
    </row>
    <row r="43" spans="2:27" x14ac:dyDescent="0.25">
      <c r="B43" s="24">
        <f t="shared" si="8"/>
        <v>17</v>
      </c>
      <c r="C43" s="95">
        <f t="shared" si="8"/>
        <v>2033</v>
      </c>
      <c r="D43" s="95">
        <f t="shared" si="14"/>
        <v>86</v>
      </c>
      <c r="E43" s="34">
        <f t="shared" si="15"/>
        <v>54911.428203624491</v>
      </c>
      <c r="F43" s="34">
        <f t="shared" si="15"/>
        <v>1647.3428461087356</v>
      </c>
      <c r="G43" s="35">
        <f t="shared" si="3"/>
        <v>1968.4731469761912</v>
      </c>
      <c r="H43" s="36">
        <f xml:space="preserve"> VLOOKUP( $D43, 'Mortality table'!$A$2:$B$111, 2, 0 ) * $E$18</f>
        <v>0.11020000000000001</v>
      </c>
      <c r="I43" s="36">
        <f t="shared" si="16"/>
        <v>1</v>
      </c>
      <c r="J43" s="36">
        <f t="shared" si="9"/>
        <v>0.11020000000000001</v>
      </c>
      <c r="K43" s="34">
        <f t="shared" si="4"/>
        <v>108091671.88094588</v>
      </c>
      <c r="L43" s="34">
        <f t="shared" si="5"/>
        <v>3242750.1564283781</v>
      </c>
      <c r="M43" s="34">
        <f t="shared" si="6"/>
        <v>509062826.74896181</v>
      </c>
      <c r="N43" s="34">
        <f t="shared" si="7"/>
        <v>509062826.74896181</v>
      </c>
      <c r="O43" s="34">
        <f t="shared" si="10"/>
        <v>-12648875.946129154</v>
      </c>
      <c r="P43" s="34">
        <f t="shared" si="0"/>
        <v>50906282.674896181</v>
      </c>
      <c r="Q43" s="34">
        <f t="shared" si="1"/>
        <v>25453141.33744809</v>
      </c>
      <c r="R43" s="34">
        <f t="shared" si="11"/>
        <v>24243678.896747604</v>
      </c>
      <c r="S43" s="34">
        <f t="shared" si="12"/>
        <v>25584492.839196917</v>
      </c>
      <c r="T43" s="87">
        <f t="shared" si="13"/>
        <v>83736093.499429733</v>
      </c>
      <c r="U43" s="30"/>
      <c r="V43" s="32"/>
      <c r="X43" s="31"/>
      <c r="Y43" s="31"/>
      <c r="Z43" s="30"/>
      <c r="AA43" s="33"/>
    </row>
    <row r="44" spans="2:27" x14ac:dyDescent="0.25">
      <c r="B44" s="24">
        <f t="shared" si="8"/>
        <v>18</v>
      </c>
      <c r="C44" s="95">
        <f t="shared" si="8"/>
        <v>2034</v>
      </c>
      <c r="D44" s="95">
        <f t="shared" si="14"/>
        <v>87</v>
      </c>
      <c r="E44" s="34">
        <f t="shared" si="15"/>
        <v>56009.656767696979</v>
      </c>
      <c r="F44" s="34">
        <f t="shared" si="15"/>
        <v>1680.2897030309102</v>
      </c>
      <c r="G44" s="35">
        <f t="shared" si="3"/>
        <v>1727.6107727121844</v>
      </c>
      <c r="H44" s="36">
        <f xml:space="preserve"> VLOOKUP( $D44, 'Mortality table'!$A$2:$B$111, 2, 0 ) * $E$18</f>
        <v>0.12236</v>
      </c>
      <c r="I44" s="36">
        <f t="shared" si="16"/>
        <v>1</v>
      </c>
      <c r="J44" s="36">
        <f t="shared" si="9"/>
        <v>0.12236</v>
      </c>
      <c r="K44" s="34">
        <f t="shared" si="4"/>
        <v>96762886.407785207</v>
      </c>
      <c r="L44" s="34">
        <f t="shared" si="5"/>
        <v>2902886.5922335577</v>
      </c>
      <c r="M44" s="34">
        <f t="shared" si="6"/>
        <v>424668938.55141193</v>
      </c>
      <c r="N44" s="34">
        <f t="shared" si="7"/>
        <v>424668938.55141193</v>
      </c>
      <c r="O44" s="34">
        <f t="shared" si="10"/>
        <v>-10690319.361728216</v>
      </c>
      <c r="P44" s="34">
        <f t="shared" si="0"/>
        <v>42466893.855141193</v>
      </c>
      <c r="Q44" s="34">
        <f t="shared" si="1"/>
        <v>21233446.927570596</v>
      </c>
      <c r="R44" s="34">
        <f t="shared" si="11"/>
        <v>20489778.776645713</v>
      </c>
      <c r="S44" s="34">
        <f t="shared" si="12"/>
        <v>22458542.644549981</v>
      </c>
      <c r="T44" s="87">
        <f t="shared" si="13"/>
        <v>69651160.204822734</v>
      </c>
      <c r="U44" s="30"/>
      <c r="V44" s="32"/>
      <c r="X44" s="31"/>
      <c r="Y44" s="31"/>
      <c r="Z44" s="30"/>
      <c r="AA44" s="33"/>
    </row>
    <row r="45" spans="2:27" x14ac:dyDescent="0.25">
      <c r="B45" s="24">
        <f t="shared" si="8"/>
        <v>19</v>
      </c>
      <c r="C45" s="95">
        <f t="shared" si="8"/>
        <v>2035</v>
      </c>
      <c r="D45" s="95">
        <f t="shared" si="14"/>
        <v>88</v>
      </c>
      <c r="E45" s="34">
        <f t="shared" ref="E45:F60" si="17" xml:space="preserve"> E44 * ( 1 + $E$16 )</f>
        <v>57129.849903050919</v>
      </c>
      <c r="F45" s="34">
        <f t="shared" si="17"/>
        <v>1713.8954970915286</v>
      </c>
      <c r="G45" s="35">
        <f t="shared" si="3"/>
        <v>1493.7959307333174</v>
      </c>
      <c r="H45" s="36">
        <f xml:space="preserve"> VLOOKUP( $D45, 'Mortality table'!$A$2:$B$111, 2, 0 ) * $E$18</f>
        <v>0.13533999999999999</v>
      </c>
      <c r="I45" s="36">
        <f t="shared" si="16"/>
        <v>1</v>
      </c>
      <c r="J45" s="36">
        <f t="shared" si="9"/>
        <v>0.13533999999999999</v>
      </c>
      <c r="K45" s="34">
        <f t="shared" si="4"/>
        <v>85340337.308582664</v>
      </c>
      <c r="L45" s="34">
        <f t="shared" si="5"/>
        <v>2560210.1192574818</v>
      </c>
      <c r="M45" s="34">
        <f t="shared" si="6"/>
        <v>349508459.28011411</v>
      </c>
      <c r="N45" s="34">
        <f t="shared" si="7"/>
        <v>349508459.28011411</v>
      </c>
      <c r="O45" s="34">
        <f t="shared" si="10"/>
        <v>-8918047.7095796317</v>
      </c>
      <c r="P45" s="34">
        <f t="shared" si="0"/>
        <v>34950845.92801141</v>
      </c>
      <c r="Q45" s="34">
        <f t="shared" si="1"/>
        <v>17475422.964005705</v>
      </c>
      <c r="R45" s="34">
        <f t="shared" si="11"/>
        <v>17092924.776694331</v>
      </c>
      <c r="S45" s="34">
        <f t="shared" si="12"/>
        <v>19448948.957809377</v>
      </c>
      <c r="T45" s="87">
        <f t="shared" si="13"/>
        <v>57167327.267495625</v>
      </c>
      <c r="U45" s="30"/>
      <c r="V45" s="32"/>
      <c r="X45" s="31"/>
      <c r="Y45" s="31"/>
      <c r="Z45" s="30"/>
      <c r="AA45" s="33"/>
    </row>
    <row r="46" spans="2:27" x14ac:dyDescent="0.25">
      <c r="B46" s="24">
        <f t="shared" si="8"/>
        <v>20</v>
      </c>
      <c r="C46" s="95">
        <f t="shared" si="8"/>
        <v>2036</v>
      </c>
      <c r="D46" s="95">
        <f t="shared" si="14"/>
        <v>89</v>
      </c>
      <c r="E46" s="34">
        <f t="shared" si="17"/>
        <v>58272.446901111936</v>
      </c>
      <c r="F46" s="34">
        <f t="shared" si="17"/>
        <v>1748.1734070333591</v>
      </c>
      <c r="G46" s="35">
        <f t="shared" si="3"/>
        <v>1271.3398407285119</v>
      </c>
      <c r="H46" s="36">
        <f xml:space="preserve"> VLOOKUP( $D46, 'Mortality table'!$A$2:$B$111, 2, 0 ) * $E$18</f>
        <v>0.14892</v>
      </c>
      <c r="I46" s="36">
        <f t="shared" si="16"/>
        <v>1</v>
      </c>
      <c r="J46" s="36">
        <f t="shared" si="9"/>
        <v>0.14892</v>
      </c>
      <c r="K46" s="34">
        <f t="shared" si="4"/>
        <v>74084083.362120315</v>
      </c>
      <c r="L46" s="34">
        <f t="shared" si="5"/>
        <v>2222522.5008636108</v>
      </c>
      <c r="M46" s="34">
        <f t="shared" si="6"/>
        <v>283687107.19553363</v>
      </c>
      <c r="N46" s="34">
        <f t="shared" si="7"/>
        <v>283687107.19553363</v>
      </c>
      <c r="O46" s="34">
        <f t="shared" si="10"/>
        <v>-7339677.6448824117</v>
      </c>
      <c r="P46" s="34">
        <f t="shared" si="0"/>
        <v>28368710.719553366</v>
      </c>
      <c r="Q46" s="34">
        <f t="shared" si="1"/>
        <v>14184355.359776683</v>
      </c>
      <c r="R46" s="34">
        <f t="shared" si="11"/>
        <v>14067715.486024594</v>
      </c>
      <c r="S46" s="34">
        <f t="shared" si="12"/>
        <v>16601240.653829247</v>
      </c>
      <c r="T46" s="87">
        <f t="shared" si="13"/>
        <v>46282819.340415947</v>
      </c>
      <c r="U46" s="30"/>
      <c r="V46" s="32"/>
      <c r="X46" s="31"/>
      <c r="Y46" s="31"/>
      <c r="Z46" s="30"/>
      <c r="AA46" s="33"/>
    </row>
    <row r="47" spans="2:27" x14ac:dyDescent="0.25">
      <c r="B47" s="24">
        <f t="shared" si="8"/>
        <v>21</v>
      </c>
      <c r="C47" s="95">
        <f t="shared" si="8"/>
        <v>2037</v>
      </c>
      <c r="D47" s="95">
        <f t="shared" si="14"/>
        <v>90</v>
      </c>
      <c r="E47" s="34">
        <f t="shared" si="17"/>
        <v>59437.895839134173</v>
      </c>
      <c r="F47" s="34">
        <f t="shared" si="17"/>
        <v>1783.1368751740263</v>
      </c>
      <c r="G47" s="35">
        <f t="shared" si="3"/>
        <v>1064.2894342674665</v>
      </c>
      <c r="H47" s="36">
        <f xml:space="preserve"> VLOOKUP( $D47, 'Mortality table'!$A$2:$B$111, 2, 0 ) * $E$18</f>
        <v>0.16286</v>
      </c>
      <c r="I47" s="36">
        <f t="shared" si="16"/>
        <v>1</v>
      </c>
      <c r="J47" s="36">
        <f t="shared" si="9"/>
        <v>0.16286</v>
      </c>
      <c r="K47" s="34">
        <f t="shared" si="4"/>
        <v>63259124.536680713</v>
      </c>
      <c r="L47" s="34">
        <f t="shared" si="5"/>
        <v>1897773.7361004225</v>
      </c>
      <c r="M47" s="34">
        <f t="shared" si="6"/>
        <v>227040822.13861853</v>
      </c>
      <c r="N47" s="34">
        <f t="shared" si="7"/>
        <v>227040822.13861853</v>
      </c>
      <c r="O47" s="34">
        <f t="shared" si="10"/>
        <v>-5957429.2511062203</v>
      </c>
      <c r="P47" s="34">
        <f t="shared" si="0"/>
        <v>22704082.213861853</v>
      </c>
      <c r="Q47" s="34">
        <f t="shared" si="1"/>
        <v>11352041.106930926</v>
      </c>
      <c r="R47" s="34">
        <f t="shared" si="11"/>
        <v>11418406.064620227</v>
      </c>
      <c r="S47" s="34">
        <f t="shared" si="12"/>
        <v>13957919.572051276</v>
      </c>
      <c r="T47" s="87">
        <f t="shared" si="13"/>
        <v>36953181.702406272</v>
      </c>
      <c r="U47" s="30"/>
      <c r="V47" s="32"/>
      <c r="X47" s="31"/>
      <c r="Y47" s="31"/>
      <c r="Z47" s="30"/>
      <c r="AA47" s="33"/>
    </row>
    <row r="48" spans="2:27" x14ac:dyDescent="0.25">
      <c r="B48" s="24">
        <f t="shared" si="8"/>
        <v>22</v>
      </c>
      <c r="C48" s="95">
        <f t="shared" si="8"/>
        <v>2038</v>
      </c>
      <c r="D48" s="95">
        <f t="shared" si="14"/>
        <v>91</v>
      </c>
      <c r="E48" s="34">
        <f t="shared" si="17"/>
        <v>60626.653755916857</v>
      </c>
      <c r="F48" s="34">
        <f t="shared" si="17"/>
        <v>1818.7996126775067</v>
      </c>
      <c r="G48" s="35">
        <f t="shared" si="3"/>
        <v>875.95277597949564</v>
      </c>
      <c r="H48" s="36">
        <f xml:space="preserve"> VLOOKUP( $D48, 'Mortality table'!$A$2:$B$111, 2, 0 ) * $E$18</f>
        <v>0.17696000000000001</v>
      </c>
      <c r="I48" s="36">
        <f t="shared" si="16"/>
        <v>1</v>
      </c>
      <c r="J48" s="36">
        <f t="shared" si="9"/>
        <v>0.17696000000000001</v>
      </c>
      <c r="K48" s="34">
        <f t="shared" si="4"/>
        <v>53106085.655843087</v>
      </c>
      <c r="L48" s="34">
        <f t="shared" si="5"/>
        <v>1593182.5696752935</v>
      </c>
      <c r="M48" s="34">
        <f t="shared" si="6"/>
        <v>179152778.57725871</v>
      </c>
      <c r="N48" s="34">
        <f t="shared" si="7"/>
        <v>179152778.57725871</v>
      </c>
      <c r="O48" s="34">
        <f t="shared" si="10"/>
        <v>-4767857.2649109922</v>
      </c>
      <c r="P48" s="34">
        <f t="shared" si="0"/>
        <v>17915277.85772587</v>
      </c>
      <c r="Q48" s="34">
        <f t="shared" si="1"/>
        <v>8957638.9288629349</v>
      </c>
      <c r="R48" s="34">
        <f t="shared" si="11"/>
        <v>9138393.0910793953</v>
      </c>
      <c r="S48" s="34">
        <f t="shared" si="12"/>
        <v>11553742.360372379</v>
      </c>
      <c r="T48" s="87">
        <f t="shared" si="13"/>
        <v>29094757.512274526</v>
      </c>
      <c r="U48" s="30"/>
      <c r="V48" s="32"/>
      <c r="X48" s="31"/>
      <c r="Y48" s="31"/>
      <c r="Z48" s="30"/>
      <c r="AA48" s="33"/>
    </row>
    <row r="49" spans="2:27" x14ac:dyDescent="0.25">
      <c r="B49" s="24">
        <f t="shared" si="8"/>
        <v>23</v>
      </c>
      <c r="C49" s="95">
        <f t="shared" si="8"/>
        <v>2039</v>
      </c>
      <c r="D49" s="95">
        <f t="shared" si="14"/>
        <v>92</v>
      </c>
      <c r="E49" s="34">
        <f t="shared" si="17"/>
        <v>61839.186831035193</v>
      </c>
      <c r="F49" s="34">
        <f t="shared" si="17"/>
        <v>1855.1756049310568</v>
      </c>
      <c r="G49" s="35">
        <f t="shared" si="3"/>
        <v>708.62827671189245</v>
      </c>
      <c r="H49" s="36">
        <f xml:space="preserve"> VLOOKUP( $D49, 'Mortality table'!$A$2:$B$111, 2, 0 ) * $E$18</f>
        <v>0.19102</v>
      </c>
      <c r="I49" s="36">
        <f t="shared" si="16"/>
        <v>1</v>
      </c>
      <c r="J49" s="36">
        <f t="shared" si="9"/>
        <v>0.19102</v>
      </c>
      <c r="K49" s="34">
        <f t="shared" si="4"/>
        <v>43820996.397341222</v>
      </c>
      <c r="L49" s="34">
        <f t="shared" si="5"/>
        <v>1314629.8919202373</v>
      </c>
      <c r="M49" s="34">
        <f t="shared" si="6"/>
        <v>139391735.64531502</v>
      </c>
      <c r="N49" s="34">
        <f t="shared" si="7"/>
        <v>139391735.64531502</v>
      </c>
      <c r="O49" s="34">
        <f t="shared" si="10"/>
        <v>-3762208.3501224425</v>
      </c>
      <c r="P49" s="34">
        <f t="shared" si="0"/>
        <v>13939173.564531503</v>
      </c>
      <c r="Q49" s="34">
        <f t="shared" si="1"/>
        <v>6969586.7822657516</v>
      </c>
      <c r="R49" s="34">
        <f t="shared" si="11"/>
        <v>7210899.337734662</v>
      </c>
      <c r="S49" s="34">
        <f t="shared" si="12"/>
        <v>9412847.4274037704</v>
      </c>
      <c r="T49" s="87">
        <f t="shared" si="13"/>
        <v>22591385.836098209</v>
      </c>
      <c r="U49" s="30"/>
      <c r="V49" s="32"/>
      <c r="X49" s="31"/>
      <c r="Y49" s="31"/>
      <c r="Z49" s="30"/>
      <c r="AA49" s="33"/>
    </row>
    <row r="50" spans="2:27" x14ac:dyDescent="0.25">
      <c r="B50" s="24">
        <f t="shared" si="8"/>
        <v>24</v>
      </c>
      <c r="C50" s="95">
        <f t="shared" si="8"/>
        <v>2040</v>
      </c>
      <c r="D50" s="95">
        <f t="shared" si="14"/>
        <v>93</v>
      </c>
      <c r="E50" s="34">
        <f t="shared" si="17"/>
        <v>63075.970567655895</v>
      </c>
      <c r="F50" s="34">
        <f t="shared" si="17"/>
        <v>1892.279117029678</v>
      </c>
      <c r="G50" s="35">
        <f t="shared" si="3"/>
        <v>563.47286051022843</v>
      </c>
      <c r="H50" s="36">
        <f xml:space="preserve"> VLOOKUP( $D50, 'Mortality table'!$A$2:$B$111, 2, 0 ) * $E$18</f>
        <v>0.20483999999999999</v>
      </c>
      <c r="I50" s="36">
        <f t="shared" si="16"/>
        <v>1</v>
      </c>
      <c r="J50" s="36">
        <f t="shared" si="9"/>
        <v>0.20483999999999999</v>
      </c>
      <c r="K50" s="34">
        <f t="shared" si="4"/>
        <v>35541597.565216042</v>
      </c>
      <c r="L50" s="34">
        <f t="shared" si="5"/>
        <v>1066247.926956482</v>
      </c>
      <c r="M50" s="34">
        <f t="shared" si="6"/>
        <v>106965642.22250195</v>
      </c>
      <c r="N50" s="34">
        <f t="shared" si="7"/>
        <v>106965642.22250195</v>
      </c>
      <c r="O50" s="34">
        <f t="shared" si="10"/>
        <v>-2927226.4485516157</v>
      </c>
      <c r="P50" s="34">
        <f t="shared" si="0"/>
        <v>10696564.222250195</v>
      </c>
      <c r="Q50" s="34">
        <f t="shared" si="1"/>
        <v>5348282.1111250976</v>
      </c>
      <c r="R50" s="34">
        <f t="shared" si="11"/>
        <v>5610517.3597239302</v>
      </c>
      <c r="S50" s="34">
        <f t="shared" si="12"/>
        <v>7547204.9245942757</v>
      </c>
      <c r="T50" s="87">
        <f t="shared" si="13"/>
        <v>17303319.495113757</v>
      </c>
      <c r="U50" s="30"/>
      <c r="V50" s="32"/>
      <c r="X50" s="31"/>
      <c r="Y50" s="31"/>
      <c r="Z50" s="30"/>
      <c r="AA50" s="33"/>
    </row>
    <row r="51" spans="2:27" x14ac:dyDescent="0.25">
      <c r="B51" s="24">
        <f t="shared" si="8"/>
        <v>25</v>
      </c>
      <c r="C51" s="95">
        <f t="shared" si="8"/>
        <v>2041</v>
      </c>
      <c r="D51" s="95">
        <f t="shared" si="14"/>
        <v>94</v>
      </c>
      <c r="E51" s="34">
        <f t="shared" si="17"/>
        <v>64337.489979009013</v>
      </c>
      <c r="F51" s="34">
        <f t="shared" si="17"/>
        <v>1930.1246993702716</v>
      </c>
      <c r="G51" s="35">
        <f t="shared" si="3"/>
        <v>440.50054343247621</v>
      </c>
      <c r="H51" s="36">
        <f xml:space="preserve"> VLOOKUP( $D51, 'Mortality table'!$A$2:$B$111, 2, 0 ) * $E$18</f>
        <v>0.21823999999999999</v>
      </c>
      <c r="I51" s="36">
        <f t="shared" si="16"/>
        <v>1</v>
      </c>
      <c r="J51" s="36">
        <f t="shared" si="9"/>
        <v>0.21823999999999999</v>
      </c>
      <c r="K51" s="34">
        <f t="shared" si="4"/>
        <v>28340699.298834961</v>
      </c>
      <c r="L51" s="34">
        <f t="shared" si="5"/>
        <v>850220.97896504938</v>
      </c>
      <c r="M51" s="34">
        <f t="shared" si="6"/>
        <v>80983691.211376995</v>
      </c>
      <c r="N51" s="34">
        <f t="shared" si="7"/>
        <v>80983691.211376995</v>
      </c>
      <c r="O51" s="34">
        <f t="shared" si="10"/>
        <v>-2246278.4866725383</v>
      </c>
      <c r="P51" s="34">
        <f t="shared" si="0"/>
        <v>8098369.1211377</v>
      </c>
      <c r="Q51" s="34">
        <f t="shared" si="1"/>
        <v>4049184.56056885</v>
      </c>
      <c r="R51" s="34">
        <f t="shared" si="11"/>
        <v>4305367.099455703</v>
      </c>
      <c r="S51" s="34">
        <f t="shared" si="12"/>
        <v>5956381.2644519079</v>
      </c>
      <c r="T51" s="87">
        <f t="shared" si="13"/>
        <v>13077270.180173226</v>
      </c>
      <c r="U51" s="30"/>
      <c r="V51" s="32"/>
      <c r="X51" s="31"/>
      <c r="Y51" s="31"/>
      <c r="Z51" s="30"/>
      <c r="AA51" s="33"/>
    </row>
    <row r="52" spans="2:27" x14ac:dyDescent="0.25">
      <c r="B52" s="24">
        <f t="shared" si="8"/>
        <v>26</v>
      </c>
      <c r="C52" s="95">
        <f t="shared" si="8"/>
        <v>2042</v>
      </c>
      <c r="D52" s="95">
        <f t="shared" si="14"/>
        <v>95</v>
      </c>
      <c r="E52" s="34">
        <f t="shared" si="17"/>
        <v>65624.239778589195</v>
      </c>
      <c r="F52" s="34">
        <f t="shared" si="17"/>
        <v>1968.7271933576772</v>
      </c>
      <c r="G52" s="35">
        <f t="shared" si="3"/>
        <v>338.71848786696825</v>
      </c>
      <c r="H52" s="36">
        <f xml:space="preserve"> VLOOKUP( $D52, 'Mortality table'!$A$2:$B$111, 2, 0 ) * $E$18</f>
        <v>0.23105999999999999</v>
      </c>
      <c r="I52" s="36">
        <f t="shared" si="16"/>
        <v>1</v>
      </c>
      <c r="J52" s="36">
        <f t="shared" si="9"/>
        <v>0.23105999999999999</v>
      </c>
      <c r="K52" s="34">
        <f t="shared" si="4"/>
        <v>22228143.265223078</v>
      </c>
      <c r="L52" s="34">
        <f t="shared" si="5"/>
        <v>666844.29795669287</v>
      </c>
      <c r="M52" s="34">
        <f t="shared" si="6"/>
        <v>60518214.384538539</v>
      </c>
      <c r="N52" s="34">
        <f t="shared" si="7"/>
        <v>60518214.384538539</v>
      </c>
      <c r="O52" s="34">
        <f t="shared" si="10"/>
        <v>-1700657.5154389213</v>
      </c>
      <c r="P52" s="34">
        <f t="shared" si="0"/>
        <v>6051821.4384538541</v>
      </c>
      <c r="Q52" s="34">
        <f t="shared" si="1"/>
        <v>3025910.719226927</v>
      </c>
      <c r="R52" s="34">
        <f t="shared" si="11"/>
        <v>3259593.5712579242</v>
      </c>
      <c r="S52" s="34">
        <f t="shared" si="12"/>
        <v>4628757.579844771</v>
      </c>
      <c r="T52" s="87">
        <f t="shared" si="13"/>
        <v>9756239.6183457784</v>
      </c>
      <c r="U52" s="30"/>
      <c r="V52" s="32"/>
      <c r="X52" s="31"/>
      <c r="Y52" s="31"/>
      <c r="Z52" s="30"/>
      <c r="AA52" s="33"/>
    </row>
    <row r="53" spans="2:27" x14ac:dyDescent="0.25">
      <c r="B53" s="24">
        <f t="shared" si="8"/>
        <v>27</v>
      </c>
      <c r="C53" s="95">
        <f t="shared" si="8"/>
        <v>2043</v>
      </c>
      <c r="D53" s="95">
        <f t="shared" si="14"/>
        <v>96</v>
      </c>
      <c r="E53" s="34">
        <f t="shared" si="17"/>
        <v>66936.72457416098</v>
      </c>
      <c r="F53" s="34">
        <f t="shared" si="17"/>
        <v>2008.1017372248307</v>
      </c>
      <c r="G53" s="35">
        <f t="shared" si="3"/>
        <v>256.35908754211493</v>
      </c>
      <c r="H53" s="36">
        <f xml:space="preserve"> VLOOKUP( $D53, 'Mortality table'!$A$2:$B$111, 2, 0 ) * $E$18</f>
        <v>0.24315000000000001</v>
      </c>
      <c r="I53" s="36">
        <f t="shared" si="16"/>
        <v>1</v>
      </c>
      <c r="J53" s="36">
        <f t="shared" si="9"/>
        <v>0.24315000000000001</v>
      </c>
      <c r="K53" s="34">
        <f t="shared" si="4"/>
        <v>17159837.63488977</v>
      </c>
      <c r="L53" s="34">
        <f t="shared" si="5"/>
        <v>514795.12904669344</v>
      </c>
      <c r="M53" s="34">
        <f t="shared" si="6"/>
        <v>44659128.052138232</v>
      </c>
      <c r="N53" s="34">
        <f t="shared" si="7"/>
        <v>44659128.052138232</v>
      </c>
      <c r="O53" s="34">
        <f t="shared" si="10"/>
        <v>-1270882.5020753096</v>
      </c>
      <c r="P53" s="34">
        <f t="shared" si="0"/>
        <v>4465912.805213823</v>
      </c>
      <c r="Q53" s="34">
        <f t="shared" si="1"/>
        <v>2232956.4026069115</v>
      </c>
      <c r="R53" s="34">
        <f t="shared" si="11"/>
        <v>2435858.1289776764</v>
      </c>
      <c r="S53" s="34">
        <f t="shared" si="12"/>
        <v>3543838.5767624136</v>
      </c>
      <c r="T53" s="87">
        <f t="shared" si="13"/>
        <v>7188025.0034179436</v>
      </c>
      <c r="U53" s="30"/>
      <c r="V53" s="32"/>
      <c r="X53" s="31"/>
      <c r="Y53" s="31"/>
      <c r="Z53" s="30"/>
      <c r="AA53" s="33"/>
    </row>
    <row r="54" spans="2:27" x14ac:dyDescent="0.25">
      <c r="B54" s="24">
        <f t="shared" si="8"/>
        <v>28</v>
      </c>
      <c r="C54" s="95">
        <f t="shared" si="8"/>
        <v>2044</v>
      </c>
      <c r="D54" s="95">
        <f t="shared" si="14"/>
        <v>97</v>
      </c>
      <c r="E54" s="34">
        <f t="shared" si="17"/>
        <v>68275.459065644201</v>
      </c>
      <c r="F54" s="34">
        <f t="shared" si="17"/>
        <v>2048.2637719693275</v>
      </c>
      <c r="G54" s="35">
        <f t="shared" si="3"/>
        <v>191.14902644402716</v>
      </c>
      <c r="H54" s="36">
        <f xml:space="preserve"> VLOOKUP( $D54, 'Mortality table'!$A$2:$B$111, 2, 0 ) * $E$18</f>
        <v>0.25436999999999999</v>
      </c>
      <c r="I54" s="36">
        <f t="shared" si="16"/>
        <v>1</v>
      </c>
      <c r="J54" s="36">
        <f t="shared" si="9"/>
        <v>0.25436999999999999</v>
      </c>
      <c r="K54" s="34">
        <f t="shared" si="4"/>
        <v>13050787.530416917</v>
      </c>
      <c r="L54" s="34">
        <f t="shared" si="5"/>
        <v>391523.62591250782</v>
      </c>
      <c r="M54" s="34">
        <f t="shared" si="6"/>
        <v>32556590.737372957</v>
      </c>
      <c r="N54" s="34">
        <f t="shared" si="7"/>
        <v>32556590.737372957</v>
      </c>
      <c r="O54" s="34">
        <f t="shared" si="10"/>
        <v>-937841.68909490528</v>
      </c>
      <c r="P54" s="34">
        <f t="shared" si="0"/>
        <v>3255659.0737372958</v>
      </c>
      <c r="Q54" s="34">
        <f t="shared" si="1"/>
        <v>1627829.5368686479</v>
      </c>
      <c r="R54" s="34">
        <f t="shared" si="11"/>
        <v>1797529.9040985641</v>
      </c>
      <c r="S54" s="34">
        <f t="shared" si="12"/>
        <v>2675068.8122184491</v>
      </c>
      <c r="T54" s="87">
        <f t="shared" si="13"/>
        <v>5231758.6915412899</v>
      </c>
      <c r="U54" s="30"/>
      <c r="V54" s="32"/>
      <c r="X54" s="31"/>
      <c r="Y54" s="31"/>
      <c r="Z54" s="30"/>
      <c r="AA54" s="33"/>
    </row>
    <row r="55" spans="2:27" x14ac:dyDescent="0.25">
      <c r="B55" s="24">
        <f t="shared" si="8"/>
        <v>29</v>
      </c>
      <c r="C55" s="95">
        <f t="shared" si="8"/>
        <v>2045</v>
      </c>
      <c r="D55" s="95">
        <f t="shared" si="14"/>
        <v>98</v>
      </c>
      <c r="E55" s="34">
        <f t="shared" si="17"/>
        <v>69640.968246957083</v>
      </c>
      <c r="F55" s="34">
        <f t="shared" si="17"/>
        <v>2089.229047408714</v>
      </c>
      <c r="G55" s="35">
        <f t="shared" si="3"/>
        <v>140.57481702746645</v>
      </c>
      <c r="H55" s="36">
        <f xml:space="preserve"> VLOOKUP( $D55, 'Mortality table'!$A$2:$B$111, 2, 0 ) * $E$18</f>
        <v>0.26457999999999998</v>
      </c>
      <c r="I55" s="36">
        <f t="shared" si="16"/>
        <v>1</v>
      </c>
      <c r="J55" s="36">
        <f t="shared" si="9"/>
        <v>0.26457999999999998</v>
      </c>
      <c r="K55" s="34">
        <f t="shared" si="4"/>
        <v>9789766.3689315934</v>
      </c>
      <c r="L55" s="34">
        <f t="shared" si="5"/>
        <v>293692.99106794799</v>
      </c>
      <c r="M55" s="34">
        <f t="shared" si="6"/>
        <v>23449829.099494606</v>
      </c>
      <c r="N55" s="34">
        <f t="shared" si="7"/>
        <v>23449829.099494606</v>
      </c>
      <c r="O55" s="34">
        <f t="shared" si="10"/>
        <v>-683688.40548483317</v>
      </c>
      <c r="P55" s="34">
        <f t="shared" si="0"/>
        <v>2344982.9099494605</v>
      </c>
      <c r="Q55" s="34">
        <f t="shared" si="1"/>
        <v>1172491.4549747303</v>
      </c>
      <c r="R55" s="34">
        <f t="shared" si="11"/>
        <v>1310402.7771792614</v>
      </c>
      <c r="S55" s="34">
        <f t="shared" si="12"/>
        <v>1992728.6173761813</v>
      </c>
      <c r="T55" s="87">
        <f t="shared" si="13"/>
        <v>3762205.9433192373</v>
      </c>
      <c r="U55" s="30"/>
      <c r="V55" s="32"/>
      <c r="X55" s="31"/>
      <c r="Y55" s="31"/>
      <c r="Z55" s="30"/>
      <c r="AA55" s="33"/>
    </row>
    <row r="56" spans="2:27" x14ac:dyDescent="0.25">
      <c r="B56" s="24">
        <f t="shared" si="8"/>
        <v>30</v>
      </c>
      <c r="C56" s="95">
        <f t="shared" si="8"/>
        <v>2046</v>
      </c>
      <c r="D56" s="95">
        <f t="shared" si="14"/>
        <v>99</v>
      </c>
      <c r="E56" s="34">
        <f t="shared" si="17"/>
        <v>71033.78761189623</v>
      </c>
      <c r="F56" s="34">
        <f t="shared" si="17"/>
        <v>2131.0136283568881</v>
      </c>
      <c r="G56" s="35">
        <f t="shared" si="3"/>
        <v>102.10511259972998</v>
      </c>
      <c r="H56" s="36">
        <f xml:space="preserve"> VLOOKUP( $D56, 'Mortality table'!$A$2:$B$111, 2, 0 ) * $E$18</f>
        <v>0.27366000000000001</v>
      </c>
      <c r="I56" s="36">
        <f t="shared" si="16"/>
        <v>1</v>
      </c>
      <c r="J56" s="36">
        <f t="shared" si="9"/>
        <v>0.27366000000000001</v>
      </c>
      <c r="K56" s="34">
        <f t="shared" si="4"/>
        <v>7252912.8824979691</v>
      </c>
      <c r="L56" s="34">
        <f t="shared" si="5"/>
        <v>217587.38647493921</v>
      </c>
      <c r="M56" s="34">
        <f t="shared" si="6"/>
        <v>16682823.703506535</v>
      </c>
      <c r="N56" s="34">
        <f t="shared" si="7"/>
        <v>16682823.703506535</v>
      </c>
      <c r="O56" s="34">
        <f t="shared" si="10"/>
        <v>-492446.41108938574</v>
      </c>
      <c r="P56" s="34">
        <f t="shared" si="0"/>
        <v>1668282.3703506535</v>
      </c>
      <c r="Q56" s="34">
        <f t="shared" si="1"/>
        <v>834141.18517532677</v>
      </c>
      <c r="R56" s="34">
        <f t="shared" si="11"/>
        <v>943855.62125465786</v>
      </c>
      <c r="S56" s="34">
        <f t="shared" si="12"/>
        <v>1466460.0195634826</v>
      </c>
      <c r="T56" s="87">
        <f t="shared" si="13"/>
        <v>2671966.5180876786</v>
      </c>
      <c r="U56" s="30"/>
      <c r="V56" s="32"/>
      <c r="X56" s="31"/>
      <c r="Y56" s="31"/>
      <c r="Z56" s="30"/>
      <c r="AA56" s="33"/>
    </row>
    <row r="57" spans="2:27" x14ac:dyDescent="0.25">
      <c r="B57" s="24">
        <f t="shared" si="8"/>
        <v>31</v>
      </c>
      <c r="C57" s="95">
        <f t="shared" si="8"/>
        <v>2047</v>
      </c>
      <c r="D57" s="95">
        <f t="shared" si="14"/>
        <v>100</v>
      </c>
      <c r="E57" s="34">
        <f t="shared" si="17"/>
        <v>72454.46336413415</v>
      </c>
      <c r="F57" s="34">
        <f t="shared" si="17"/>
        <v>2173.633900924026</v>
      </c>
      <c r="G57" s="35">
        <f t="shared" si="3"/>
        <v>73.306365590976142</v>
      </c>
      <c r="H57" s="36">
        <f xml:space="preserve"> VLOOKUP( $D57, 'Mortality table'!$A$2:$B$111, 2, 0 ) * $E$18</f>
        <v>0.28205000000000002</v>
      </c>
      <c r="I57" s="36">
        <f t="shared" si="16"/>
        <v>1</v>
      </c>
      <c r="J57" s="36">
        <f t="shared" si="9"/>
        <v>0.28205000000000002</v>
      </c>
      <c r="K57" s="34">
        <f t="shared" si="4"/>
        <v>5311373.3800692055</v>
      </c>
      <c r="L57" s="34">
        <f t="shared" si="5"/>
        <v>159341.20140207626</v>
      </c>
      <c r="M57" s="34">
        <f t="shared" si="6"/>
        <v>11712593.833140448</v>
      </c>
      <c r="N57" s="34">
        <f t="shared" si="7"/>
        <v>11712593.833140448</v>
      </c>
      <c r="O57" s="34">
        <f t="shared" si="10"/>
        <v>-350339.29777363641</v>
      </c>
      <c r="P57" s="34">
        <f t="shared" si="0"/>
        <v>1171259.3833140449</v>
      </c>
      <c r="Q57" s="34">
        <f t="shared" si="1"/>
        <v>585629.69165702246</v>
      </c>
      <c r="R57" s="34">
        <f t="shared" si="11"/>
        <v>671483.65406613797</v>
      </c>
      <c r="S57" s="34">
        <f t="shared" si="12"/>
        <v>1066678.8368474147</v>
      </c>
      <c r="T57" s="87">
        <f t="shared" si="13"/>
        <v>1872484.3330490319</v>
      </c>
      <c r="U57" s="30"/>
      <c r="V57" s="32"/>
      <c r="X57" s="31"/>
      <c r="Y57" s="31"/>
      <c r="Z57" s="30"/>
      <c r="AA57" s="33"/>
    </row>
    <row r="58" spans="2:27" x14ac:dyDescent="0.25">
      <c r="B58" s="24">
        <f t="shared" si="8"/>
        <v>32</v>
      </c>
      <c r="C58" s="95">
        <f t="shared" si="8"/>
        <v>2048</v>
      </c>
      <c r="D58" s="95">
        <f t="shared" si="14"/>
        <v>101</v>
      </c>
      <c r="E58" s="34">
        <f t="shared" si="17"/>
        <v>73903.552631416838</v>
      </c>
      <c r="F58" s="34">
        <f t="shared" si="17"/>
        <v>2217.1065789425065</v>
      </c>
      <c r="G58" s="35">
        <f t="shared" si="3"/>
        <v>51.919233429808855</v>
      </c>
      <c r="H58" s="36">
        <f xml:space="preserve"> VLOOKUP( $D58, 'Mortality table'!$A$2:$B$111, 2, 0 ) * $E$18</f>
        <v>0.29175000000000001</v>
      </c>
      <c r="I58" s="36">
        <f t="shared" si="16"/>
        <v>1</v>
      </c>
      <c r="J58" s="36">
        <f t="shared" si="9"/>
        <v>0.29175000000000001</v>
      </c>
      <c r="K58" s="34">
        <f t="shared" si="4"/>
        <v>3837015.8003626955</v>
      </c>
      <c r="L58" s="34">
        <f t="shared" si="5"/>
        <v>115110.47401088093</v>
      </c>
      <c r="M58" s="34">
        <f t="shared" si="6"/>
        <v>8111845.3737610849</v>
      </c>
      <c r="N58" s="34">
        <f t="shared" si="7"/>
        <v>8111845.3737610849</v>
      </c>
      <c r="O58" s="34">
        <f t="shared" si="10"/>
        <v>-245964.47049594953</v>
      </c>
      <c r="P58" s="34">
        <f t="shared" si="0"/>
        <v>811184.53737610858</v>
      </c>
      <c r="Q58" s="34">
        <f t="shared" si="1"/>
        <v>405592.26868805429</v>
      </c>
      <c r="R58" s="34">
        <f t="shared" si="11"/>
        <v>471431.90178390301</v>
      </c>
      <c r="S58" s="34">
        <f t="shared" si="12"/>
        <v>765579.70019485801</v>
      </c>
      <c r="T58" s="87">
        <f t="shared" si="13"/>
        <v>1294153.0661590772</v>
      </c>
      <c r="U58" s="30"/>
      <c r="V58" s="32"/>
      <c r="X58" s="31"/>
      <c r="Y58" s="31"/>
      <c r="Z58" s="30"/>
      <c r="AA58" s="33"/>
    </row>
    <row r="59" spans="2:27" x14ac:dyDescent="0.25">
      <c r="B59" s="24">
        <f t="shared" si="8"/>
        <v>33</v>
      </c>
      <c r="C59" s="95">
        <f t="shared" si="8"/>
        <v>2049</v>
      </c>
      <c r="D59" s="95">
        <f t="shared" si="14"/>
        <v>102</v>
      </c>
      <c r="E59" s="34">
        <f t="shared" si="17"/>
        <v>75381.623684045175</v>
      </c>
      <c r="F59" s="34">
        <f t="shared" si="17"/>
        <v>2261.4487105213566</v>
      </c>
      <c r="G59" s="35">
        <f t="shared" si="3"/>
        <v>36.333079554180237</v>
      </c>
      <c r="H59" s="36">
        <f xml:space="preserve"> VLOOKUP( $D59, 'Mortality table'!$A$2:$B$111, 2, 0 ) * $E$18</f>
        <v>0.30020000000000002</v>
      </c>
      <c r="I59" s="36">
        <f t="shared" si="16"/>
        <v>1</v>
      </c>
      <c r="J59" s="36">
        <f t="shared" si="9"/>
        <v>0.30020000000000002</v>
      </c>
      <c r="K59" s="34">
        <f t="shared" si="4"/>
        <v>2738846.5302356905</v>
      </c>
      <c r="L59" s="34">
        <f t="shared" si="5"/>
        <v>82165.395907070764</v>
      </c>
      <c r="M59" s="34">
        <f t="shared" si="6"/>
        <v>5534188.8088311562</v>
      </c>
      <c r="N59" s="34">
        <f t="shared" si="7"/>
        <v>5534188.8088311562</v>
      </c>
      <c r="O59" s="34">
        <f t="shared" si="10"/>
        <v>-170348.75284898299</v>
      </c>
      <c r="P59" s="34">
        <f t="shared" si="0"/>
        <v>553418.88088311569</v>
      </c>
      <c r="Q59" s="34">
        <f t="shared" si="1"/>
        <v>276709.44044155785</v>
      </c>
      <c r="R59" s="34">
        <f t="shared" si="11"/>
        <v>326501.77629388368</v>
      </c>
      <c r="S59" s="34">
        <f t="shared" si="12"/>
        <v>542801.50818439014</v>
      </c>
      <c r="T59" s="87">
        <f t="shared" si="13"/>
        <v>880766.86459059501</v>
      </c>
      <c r="U59" s="30"/>
      <c r="V59" s="32"/>
      <c r="X59" s="31"/>
      <c r="Y59" s="31"/>
      <c r="Z59" s="30"/>
      <c r="AA59" s="33"/>
    </row>
    <row r="60" spans="2:27" x14ac:dyDescent="0.25">
      <c r="B60" s="24">
        <f t="shared" si="8"/>
        <v>34</v>
      </c>
      <c r="C60" s="95">
        <f t="shared" si="8"/>
        <v>2050</v>
      </c>
      <c r="D60" s="95">
        <f t="shared" si="14"/>
        <v>103</v>
      </c>
      <c r="E60" s="34">
        <f t="shared" si="17"/>
        <v>76889.256157726079</v>
      </c>
      <c r="F60" s="34">
        <f t="shared" si="17"/>
        <v>2306.6776847317838</v>
      </c>
      <c r="G60" s="35">
        <f t="shared" si="3"/>
        <v>25.154117636950062</v>
      </c>
      <c r="H60" s="36">
        <f xml:space="preserve"> VLOOKUP( $D60, 'Mortality table'!$A$2:$B$111, 2, 0 ) * $E$18</f>
        <v>0.30768000000000001</v>
      </c>
      <c r="I60" s="36">
        <f t="shared" si="16"/>
        <v>1</v>
      </c>
      <c r="J60" s="36">
        <f t="shared" si="9"/>
        <v>0.30768000000000001</v>
      </c>
      <c r="K60" s="34">
        <f t="shared" si="4"/>
        <v>1934081.3944090288</v>
      </c>
      <c r="L60" s="34">
        <f t="shared" si="5"/>
        <v>58022.441832270895</v>
      </c>
      <c r="M60" s="34">
        <f t="shared" si="6"/>
        <v>3708110.636854792</v>
      </c>
      <c r="N60" s="34">
        <f t="shared" si="7"/>
        <v>3708110.636854792</v>
      </c>
      <c r="O60" s="34">
        <f t="shared" si="10"/>
        <v>-116217.96498545486</v>
      </c>
      <c r="P60" s="34">
        <f t="shared" si="0"/>
        <v>370811.06368547922</v>
      </c>
      <c r="Q60" s="34">
        <f t="shared" si="1"/>
        <v>185405.53184273961</v>
      </c>
      <c r="R60" s="34">
        <f t="shared" si="11"/>
        <v>222751.09955545404</v>
      </c>
      <c r="S60" s="34">
        <f t="shared" si="12"/>
        <v>380444.86036645382</v>
      </c>
      <c r="T60" s="87">
        <f t="shared" si="13"/>
        <v>588398.69068320072</v>
      </c>
      <c r="U60" s="30"/>
      <c r="V60" s="32"/>
      <c r="X60" s="31"/>
      <c r="Y60" s="31"/>
      <c r="Z60" s="30"/>
      <c r="AA60" s="33"/>
    </row>
    <row r="61" spans="2:27" x14ac:dyDescent="0.25">
      <c r="B61" s="24">
        <f t="shared" si="8"/>
        <v>35</v>
      </c>
      <c r="C61" s="95">
        <f t="shared" si="8"/>
        <v>2051</v>
      </c>
      <c r="D61" s="95">
        <f t="shared" si="14"/>
        <v>104</v>
      </c>
      <c r="E61" s="34">
        <f t="shared" ref="E61:F66" si="18" xml:space="preserve"> E60 * ( 1 + $E$16 )</f>
        <v>78427.0412808806</v>
      </c>
      <c r="F61" s="34">
        <f t="shared" si="18"/>
        <v>2352.8112384264195</v>
      </c>
      <c r="G61" s="35">
        <f t="shared" si="3"/>
        <v>17.244908428363853</v>
      </c>
      <c r="H61" s="36">
        <f xml:space="preserve"> VLOOKUP( $D61, 'Mortality table'!$A$2:$B$111, 2, 0 ) * $E$18</f>
        <v>0.31442999999999999</v>
      </c>
      <c r="I61" s="36">
        <f t="shared" si="16"/>
        <v>1</v>
      </c>
      <c r="J61" s="36">
        <f t="shared" si="9"/>
        <v>0.31442999999999999</v>
      </c>
      <c r="K61" s="34">
        <f t="shared" si="4"/>
        <v>1352467.1451962977</v>
      </c>
      <c r="L61" s="34">
        <f t="shared" si="5"/>
        <v>40574.014355888961</v>
      </c>
      <c r="M61" s="34">
        <f t="shared" si="6"/>
        <v>2426312.7964082491</v>
      </c>
      <c r="N61" s="34">
        <f t="shared" si="7"/>
        <v>2426312.7964082491</v>
      </c>
      <c r="O61" s="34">
        <f t="shared" si="10"/>
        <v>-77870.32337395064</v>
      </c>
      <c r="P61" s="34">
        <f t="shared" si="0"/>
        <v>242631.27964082491</v>
      </c>
      <c r="Q61" s="34">
        <f t="shared" si="1"/>
        <v>121315.63982041246</v>
      </c>
      <c r="R61" s="34">
        <f t="shared" si="11"/>
        <v>149251.45313340539</v>
      </c>
      <c r="S61" s="34">
        <f t="shared" si="12"/>
        <v>263650.8058264362</v>
      </c>
      <c r="T61" s="87">
        <f t="shared" si="13"/>
        <v>383587.7539250846</v>
      </c>
      <c r="U61" s="30"/>
      <c r="V61" s="32"/>
      <c r="X61" s="31"/>
      <c r="Y61" s="31"/>
      <c r="Z61" s="30"/>
      <c r="AA61" s="33"/>
    </row>
    <row r="62" spans="2:27" x14ac:dyDescent="0.25">
      <c r="B62" s="24">
        <f t="shared" si="8"/>
        <v>36</v>
      </c>
      <c r="C62" s="95">
        <f t="shared" si="8"/>
        <v>2052</v>
      </c>
      <c r="D62" s="95">
        <f t="shared" si="14"/>
        <v>105</v>
      </c>
      <c r="E62" s="34">
        <f t="shared" si="18"/>
        <v>79995.582106498216</v>
      </c>
      <c r="F62" s="34">
        <f t="shared" si="18"/>
        <v>2399.867463194948</v>
      </c>
      <c r="G62" s="35">
        <f t="shared" si="3"/>
        <v>11.71463874447185</v>
      </c>
      <c r="H62" s="36">
        <f xml:space="preserve"> VLOOKUP( $D62, 'Mortality table'!$A$2:$B$111, 2, 0 ) * $E$18</f>
        <v>0.32068999999999998</v>
      </c>
      <c r="I62" s="36">
        <f t="shared" si="16"/>
        <v>1</v>
      </c>
      <c r="J62" s="36">
        <f t="shared" si="9"/>
        <v>0.32068999999999998</v>
      </c>
      <c r="K62" s="34">
        <f t="shared" si="4"/>
        <v>937119.34553136304</v>
      </c>
      <c r="L62" s="34">
        <f t="shared" si="5"/>
        <v>28113.58036594091</v>
      </c>
      <c r="M62" s="34">
        <f t="shared" si="6"/>
        <v>1533869.2544031923</v>
      </c>
      <c r="N62" s="34">
        <f t="shared" si="7"/>
        <v>1533869.2544031923</v>
      </c>
      <c r="O62" s="34">
        <f t="shared" si="10"/>
        <v>-50952.568724573051</v>
      </c>
      <c r="P62" s="34">
        <f t="shared" si="0"/>
        <v>153386.92544031923</v>
      </c>
      <c r="Q62" s="34">
        <f t="shared" si="1"/>
        <v>76693.462720159616</v>
      </c>
      <c r="R62" s="34">
        <f t="shared" si="11"/>
        <v>97659.090055432025</v>
      </c>
      <c r="S62" s="34">
        <f t="shared" si="12"/>
        <v>180573.05263161752</v>
      </c>
      <c r="T62" s="87">
        <f t="shared" si="13"/>
        <v>241373.47668597556</v>
      </c>
      <c r="U62" s="30"/>
      <c r="V62" s="32"/>
      <c r="X62" s="31"/>
      <c r="Y62" s="31"/>
      <c r="Z62" s="30"/>
      <c r="AA62" s="33"/>
    </row>
    <row r="63" spans="2:27" x14ac:dyDescent="0.25">
      <c r="B63" s="24">
        <f t="shared" si="8"/>
        <v>37</v>
      </c>
      <c r="C63" s="95">
        <f t="shared" si="8"/>
        <v>2053</v>
      </c>
      <c r="D63" s="95">
        <f t="shared" si="14"/>
        <v>106</v>
      </c>
      <c r="E63" s="34">
        <f t="shared" si="18"/>
        <v>81595.493748628185</v>
      </c>
      <c r="F63" s="34">
        <f t="shared" si="18"/>
        <v>2447.8648124588472</v>
      </c>
      <c r="G63" s="35">
        <f t="shared" si="3"/>
        <v>7.8944950498995796</v>
      </c>
      <c r="H63" s="36">
        <f xml:space="preserve"> VLOOKUP( $D63, 'Mortality table'!$A$2:$B$111, 2, 0 ) * $E$18</f>
        <v>0.3261</v>
      </c>
      <c r="I63" s="36">
        <f t="shared" si="16"/>
        <v>1</v>
      </c>
      <c r="J63" s="36">
        <f t="shared" si="9"/>
        <v>0.3261</v>
      </c>
      <c r="K63" s="34">
        <f t="shared" si="4"/>
        <v>644155.22149265732</v>
      </c>
      <c r="L63" s="34">
        <f t="shared" si="5"/>
        <v>19324.65664477973</v>
      </c>
      <c r="M63" s="34">
        <f t="shared" si="6"/>
        <v>916405.45389785117</v>
      </c>
      <c r="N63" s="34">
        <f t="shared" si="7"/>
        <v>916405.45389785117</v>
      </c>
      <c r="O63" s="34">
        <f t="shared" si="10"/>
        <v>-32211.254342467128</v>
      </c>
      <c r="P63" s="34">
        <f t="shared" si="0"/>
        <v>91640.545389785126</v>
      </c>
      <c r="Q63" s="34">
        <f t="shared" si="1"/>
        <v>45820.272694892563</v>
      </c>
      <c r="R63" s="34">
        <f t="shared" si="11"/>
        <v>61738.23748972849</v>
      </c>
      <c r="S63" s="34">
        <f t="shared" si="12"/>
        <v>122146.55322306252</v>
      </c>
      <c r="T63" s="87">
        <f t="shared" si="13"/>
        <v>143364.27113151061</v>
      </c>
      <c r="U63" s="30"/>
      <c r="V63" s="32"/>
      <c r="X63" s="31"/>
      <c r="Y63" s="31"/>
      <c r="Z63" s="30"/>
      <c r="AA63" s="33"/>
    </row>
    <row r="64" spans="2:27" x14ac:dyDescent="0.25">
      <c r="B64" s="24">
        <f t="shared" si="8"/>
        <v>38</v>
      </c>
      <c r="C64" s="95">
        <f t="shared" si="8"/>
        <v>2054</v>
      </c>
      <c r="D64" s="95">
        <f t="shared" si="14"/>
        <v>107</v>
      </c>
      <c r="E64" s="34">
        <f t="shared" si="18"/>
        <v>83227.403623600752</v>
      </c>
      <c r="F64" s="34">
        <f t="shared" si="18"/>
        <v>2496.8221087080242</v>
      </c>
      <c r="G64" s="35">
        <f t="shared" si="3"/>
        <v>5.2806277388778291</v>
      </c>
      <c r="H64" s="36">
        <f xml:space="preserve"> VLOOKUP( $D64, 'Mortality table'!$A$2:$B$111, 2, 0 ) * $E$18</f>
        <v>0.33110000000000001</v>
      </c>
      <c r="I64" s="36">
        <f t="shared" si="16"/>
        <v>1</v>
      </c>
      <c r="J64" s="36">
        <f t="shared" si="9"/>
        <v>0.33110000000000001</v>
      </c>
      <c r="K64" s="34">
        <f t="shared" si="4"/>
        <v>439492.9362095673</v>
      </c>
      <c r="L64" s="34">
        <f t="shared" si="5"/>
        <v>13184.788086287026</v>
      </c>
      <c r="M64" s="34">
        <f t="shared" si="6"/>
        <v>491219.8932189325</v>
      </c>
      <c r="N64" s="34">
        <f t="shared" si="7"/>
        <v>491219.8932189325</v>
      </c>
      <c r="O64" s="34">
        <f t="shared" si="10"/>
        <v>-19244.514531854962</v>
      </c>
      <c r="P64" s="34">
        <f t="shared" si="0"/>
        <v>49121.989321893256</v>
      </c>
      <c r="Q64" s="34">
        <f t="shared" si="1"/>
        <v>24560.994660946628</v>
      </c>
      <c r="R64" s="34">
        <f t="shared" si="11"/>
        <v>36885.319519388504</v>
      </c>
      <c r="S64" s="34">
        <f t="shared" si="12"/>
        <v>81418.63908937134</v>
      </c>
      <c r="T64" s="87">
        <f t="shared" si="13"/>
        <v>76282.059155290321</v>
      </c>
      <c r="U64" s="30"/>
      <c r="V64" s="32"/>
      <c r="X64" s="31"/>
      <c r="Y64" s="31"/>
      <c r="Z64" s="30"/>
      <c r="AA64" s="33"/>
    </row>
    <row r="65" spans="1:27" x14ac:dyDescent="0.25">
      <c r="B65" s="24">
        <f t="shared" si="8"/>
        <v>39</v>
      </c>
      <c r="C65" s="95">
        <f t="shared" si="8"/>
        <v>2055</v>
      </c>
      <c r="D65" s="95">
        <f t="shared" si="14"/>
        <v>108</v>
      </c>
      <c r="E65" s="34">
        <f t="shared" si="18"/>
        <v>84891.951696072763</v>
      </c>
      <c r="F65" s="34">
        <f t="shared" si="18"/>
        <v>2546.7585508821849</v>
      </c>
      <c r="G65" s="35">
        <f t="shared" si="3"/>
        <v>3.503326860803718</v>
      </c>
      <c r="H65" s="36">
        <f xml:space="preserve"> VLOOKUP( $D65, 'Mortality table'!$A$2:$B$111, 2, 0 ) * $E$18</f>
        <v>0.33656999999999998</v>
      </c>
      <c r="I65" s="36">
        <f t="shared" si="16"/>
        <v>1</v>
      </c>
      <c r="J65" s="36">
        <f t="shared" si="9"/>
        <v>0.33656999999999998</v>
      </c>
      <c r="K65" s="34">
        <f t="shared" si="4"/>
        <v>297404.25464290346</v>
      </c>
      <c r="L65" s="34">
        <f t="shared" si="5"/>
        <v>8922.1276392871114</v>
      </c>
      <c r="M65" s="34">
        <f t="shared" si="6"/>
        <v>199630.10773330997</v>
      </c>
      <c r="N65" s="34">
        <f t="shared" si="7"/>
        <v>199630.10773330997</v>
      </c>
      <c r="O65" s="34">
        <f t="shared" si="10"/>
        <v>-10315.617757597611</v>
      </c>
      <c r="P65" s="34">
        <f t="shared" si="0"/>
        <v>19963.010773331</v>
      </c>
      <c r="Q65" s="34">
        <f t="shared" si="1"/>
        <v>9981.5053866654998</v>
      </c>
      <c r="R65" s="34">
        <f t="shared" si="11"/>
        <v>19771.600702062035</v>
      </c>
      <c r="S65" s="34">
        <f t="shared" si="12"/>
        <v>53194.450767307804</v>
      </c>
      <c r="T65" s="87">
        <f t="shared" si="13"/>
        <v>30715.81430351155</v>
      </c>
      <c r="U65" s="30"/>
      <c r="V65" s="32"/>
      <c r="X65" s="31"/>
      <c r="Y65" s="31"/>
      <c r="Z65" s="30"/>
      <c r="AA65" s="33"/>
    </row>
    <row r="66" spans="1:27" x14ac:dyDescent="0.25">
      <c r="B66" s="88">
        <f t="shared" si="8"/>
        <v>40</v>
      </c>
      <c r="C66" s="96">
        <f t="shared" si="8"/>
        <v>2056</v>
      </c>
      <c r="D66" s="96">
        <f t="shared" si="14"/>
        <v>109</v>
      </c>
      <c r="E66" s="89">
        <f t="shared" si="18"/>
        <v>86589.790729994216</v>
      </c>
      <c r="F66" s="89">
        <f t="shared" si="18"/>
        <v>2597.6937218998287</v>
      </c>
      <c r="G66" s="91">
        <f t="shared" si="3"/>
        <v>2.3054693405577109</v>
      </c>
      <c r="H66" s="90">
        <f xml:space="preserve"> VLOOKUP( $D66, 'Mortality table'!$A$2:$B$111, 2, 0 ) * $E$18</f>
        <v>0.34192</v>
      </c>
      <c r="I66" s="90">
        <f t="shared" si="16"/>
        <v>1</v>
      </c>
      <c r="J66" s="90">
        <f t="shared" si="9"/>
        <v>0.34192</v>
      </c>
      <c r="K66" s="89">
        <f t="shared" si="4"/>
        <v>199630.10773330997</v>
      </c>
      <c r="L66" s="89">
        <f t="shared" si="5"/>
        <v>5988.9032319993039</v>
      </c>
      <c r="M66" s="89">
        <f xml:space="preserve"> SUM( K67:M67 ) / ( 1 + $E$12 )</f>
        <v>0</v>
      </c>
      <c r="N66" s="89">
        <f t="shared" si="7"/>
        <v>0</v>
      </c>
      <c r="O66" s="89">
        <f t="shared" si="10"/>
        <v>-4192.2322623995187</v>
      </c>
      <c r="P66" s="89">
        <f t="shared" si="0"/>
        <v>0</v>
      </c>
      <c r="Q66" s="89">
        <f t="shared" si="1"/>
        <v>0</v>
      </c>
      <c r="R66" s="89">
        <f t="shared" si="11"/>
        <v>8035.1118362657253</v>
      </c>
      <c r="S66" s="89">
        <f t="shared" si="12"/>
        <v>33787.395733862708</v>
      </c>
      <c r="T66" s="92">
        <f xml:space="preserve"> SUM( S67:T67 ) / ( 1 + $E$11 )</f>
        <v>0</v>
      </c>
      <c r="U66" s="30"/>
      <c r="V66" s="32"/>
      <c r="X66" s="31"/>
      <c r="Y66" s="31"/>
      <c r="Z66" s="30"/>
      <c r="AA66" s="33"/>
    </row>
    <row r="67" spans="1:27" x14ac:dyDescent="0.25">
      <c r="A67" s="6"/>
      <c r="B67" s="10"/>
      <c r="C67" s="6"/>
      <c r="D67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0"/>
  <sheetViews>
    <sheetView zoomScale="85" zoomScaleNormal="85" zoomScaleSheetLayoutView="90" workbookViewId="0">
      <pane xSplit="4" ySplit="25" topLeftCell="E26" activePane="bottomRight" state="frozen"/>
      <selection pane="topRight" activeCell="D1" sqref="D1"/>
      <selection pane="bottomLeft" activeCell="A27" sqref="A27"/>
      <selection pane="bottomRight" activeCell="S27" sqref="S27"/>
    </sheetView>
  </sheetViews>
  <sheetFormatPr defaultRowHeight="13.5" x14ac:dyDescent="0.25"/>
  <cols>
    <col min="1" max="1" width="5.7109375" style="9" customWidth="1"/>
    <col min="2" max="4" width="13.7109375" style="9" customWidth="1"/>
    <col min="5" max="13" width="13.7109375" style="6" customWidth="1"/>
    <col min="14" max="15" width="13.7109375" style="17" customWidth="1"/>
    <col min="16" max="27" width="13.7109375" style="6" customWidth="1"/>
    <col min="28" max="245" width="9.140625" style="6"/>
    <col min="246" max="246" width="14.85546875" style="6" customWidth="1"/>
    <col min="247" max="247" width="15.85546875" style="6" customWidth="1"/>
    <col min="248" max="248" width="9.85546875" style="6" customWidth="1"/>
    <col min="249" max="249" width="6.85546875" style="6" customWidth="1"/>
    <col min="250" max="251" width="10.85546875" style="6" customWidth="1"/>
    <col min="252" max="252" width="5.7109375" style="6" customWidth="1"/>
    <col min="253" max="253" width="11.5703125" style="6" customWidth="1"/>
    <col min="254" max="254" width="9.140625" style="6"/>
    <col min="255" max="255" width="9.7109375" style="6" customWidth="1"/>
    <col min="256" max="256" width="8.5703125" style="6" customWidth="1"/>
    <col min="257" max="258" width="0" style="6" hidden="1" customWidth="1"/>
    <col min="259" max="259" width="8.28515625" style="6" customWidth="1"/>
    <col min="260" max="260" width="11.85546875" style="6" customWidth="1"/>
    <col min="261" max="261" width="11.42578125" style="6" customWidth="1"/>
    <col min="262" max="262" width="9.140625" style="6"/>
    <col min="263" max="263" width="7.85546875" style="6" customWidth="1"/>
    <col min="264" max="501" width="9.140625" style="6"/>
    <col min="502" max="502" width="14.85546875" style="6" customWidth="1"/>
    <col min="503" max="503" width="15.85546875" style="6" customWidth="1"/>
    <col min="504" max="504" width="9.85546875" style="6" customWidth="1"/>
    <col min="505" max="505" width="6.85546875" style="6" customWidth="1"/>
    <col min="506" max="507" width="10.85546875" style="6" customWidth="1"/>
    <col min="508" max="508" width="5.7109375" style="6" customWidth="1"/>
    <col min="509" max="509" width="11.5703125" style="6" customWidth="1"/>
    <col min="510" max="510" width="9.140625" style="6"/>
    <col min="511" max="511" width="9.7109375" style="6" customWidth="1"/>
    <col min="512" max="512" width="8.5703125" style="6" customWidth="1"/>
    <col min="513" max="514" width="0" style="6" hidden="1" customWidth="1"/>
    <col min="515" max="515" width="8.28515625" style="6" customWidth="1"/>
    <col min="516" max="516" width="11.85546875" style="6" customWidth="1"/>
    <col min="517" max="517" width="11.42578125" style="6" customWidth="1"/>
    <col min="518" max="518" width="9.140625" style="6"/>
    <col min="519" max="519" width="7.85546875" style="6" customWidth="1"/>
    <col min="520" max="757" width="9.140625" style="6"/>
    <col min="758" max="758" width="14.85546875" style="6" customWidth="1"/>
    <col min="759" max="759" width="15.85546875" style="6" customWidth="1"/>
    <col min="760" max="760" width="9.85546875" style="6" customWidth="1"/>
    <col min="761" max="761" width="6.85546875" style="6" customWidth="1"/>
    <col min="762" max="763" width="10.85546875" style="6" customWidth="1"/>
    <col min="764" max="764" width="5.7109375" style="6" customWidth="1"/>
    <col min="765" max="765" width="11.5703125" style="6" customWidth="1"/>
    <col min="766" max="766" width="9.140625" style="6"/>
    <col min="767" max="767" width="9.7109375" style="6" customWidth="1"/>
    <col min="768" max="768" width="8.5703125" style="6" customWidth="1"/>
    <col min="769" max="770" width="0" style="6" hidden="1" customWidth="1"/>
    <col min="771" max="771" width="8.28515625" style="6" customWidth="1"/>
    <col min="772" max="772" width="11.85546875" style="6" customWidth="1"/>
    <col min="773" max="773" width="11.42578125" style="6" customWidth="1"/>
    <col min="774" max="774" width="9.140625" style="6"/>
    <col min="775" max="775" width="7.85546875" style="6" customWidth="1"/>
    <col min="776" max="1013" width="9.140625" style="6"/>
    <col min="1014" max="1014" width="14.85546875" style="6" customWidth="1"/>
    <col min="1015" max="1015" width="15.85546875" style="6" customWidth="1"/>
    <col min="1016" max="1016" width="9.85546875" style="6" customWidth="1"/>
    <col min="1017" max="1017" width="6.85546875" style="6" customWidth="1"/>
    <col min="1018" max="1019" width="10.85546875" style="6" customWidth="1"/>
    <col min="1020" max="1020" width="5.7109375" style="6" customWidth="1"/>
    <col min="1021" max="1021" width="11.5703125" style="6" customWidth="1"/>
    <col min="1022" max="1022" width="9.140625" style="6"/>
    <col min="1023" max="1023" width="9.7109375" style="6" customWidth="1"/>
    <col min="1024" max="1024" width="8.5703125" style="6" customWidth="1"/>
    <col min="1025" max="1026" width="0" style="6" hidden="1" customWidth="1"/>
    <col min="1027" max="1027" width="8.28515625" style="6" customWidth="1"/>
    <col min="1028" max="1028" width="11.85546875" style="6" customWidth="1"/>
    <col min="1029" max="1029" width="11.42578125" style="6" customWidth="1"/>
    <col min="1030" max="1030" width="9.140625" style="6"/>
    <col min="1031" max="1031" width="7.85546875" style="6" customWidth="1"/>
    <col min="1032" max="1269" width="9.140625" style="6"/>
    <col min="1270" max="1270" width="14.85546875" style="6" customWidth="1"/>
    <col min="1271" max="1271" width="15.85546875" style="6" customWidth="1"/>
    <col min="1272" max="1272" width="9.85546875" style="6" customWidth="1"/>
    <col min="1273" max="1273" width="6.85546875" style="6" customWidth="1"/>
    <col min="1274" max="1275" width="10.85546875" style="6" customWidth="1"/>
    <col min="1276" max="1276" width="5.7109375" style="6" customWidth="1"/>
    <col min="1277" max="1277" width="11.5703125" style="6" customWidth="1"/>
    <col min="1278" max="1278" width="9.140625" style="6"/>
    <col min="1279" max="1279" width="9.7109375" style="6" customWidth="1"/>
    <col min="1280" max="1280" width="8.5703125" style="6" customWidth="1"/>
    <col min="1281" max="1282" width="0" style="6" hidden="1" customWidth="1"/>
    <col min="1283" max="1283" width="8.28515625" style="6" customWidth="1"/>
    <col min="1284" max="1284" width="11.85546875" style="6" customWidth="1"/>
    <col min="1285" max="1285" width="11.42578125" style="6" customWidth="1"/>
    <col min="1286" max="1286" width="9.140625" style="6"/>
    <col min="1287" max="1287" width="7.85546875" style="6" customWidth="1"/>
    <col min="1288" max="1525" width="9.140625" style="6"/>
    <col min="1526" max="1526" width="14.85546875" style="6" customWidth="1"/>
    <col min="1527" max="1527" width="15.85546875" style="6" customWidth="1"/>
    <col min="1528" max="1528" width="9.85546875" style="6" customWidth="1"/>
    <col min="1529" max="1529" width="6.85546875" style="6" customWidth="1"/>
    <col min="1530" max="1531" width="10.85546875" style="6" customWidth="1"/>
    <col min="1532" max="1532" width="5.7109375" style="6" customWidth="1"/>
    <col min="1533" max="1533" width="11.5703125" style="6" customWidth="1"/>
    <col min="1534" max="1534" width="9.140625" style="6"/>
    <col min="1535" max="1535" width="9.7109375" style="6" customWidth="1"/>
    <col min="1536" max="1536" width="8.5703125" style="6" customWidth="1"/>
    <col min="1537" max="1538" width="0" style="6" hidden="1" customWidth="1"/>
    <col min="1539" max="1539" width="8.28515625" style="6" customWidth="1"/>
    <col min="1540" max="1540" width="11.85546875" style="6" customWidth="1"/>
    <col min="1541" max="1541" width="11.42578125" style="6" customWidth="1"/>
    <col min="1542" max="1542" width="9.140625" style="6"/>
    <col min="1543" max="1543" width="7.85546875" style="6" customWidth="1"/>
    <col min="1544" max="1781" width="9.140625" style="6"/>
    <col min="1782" max="1782" width="14.85546875" style="6" customWidth="1"/>
    <col min="1783" max="1783" width="15.85546875" style="6" customWidth="1"/>
    <col min="1784" max="1784" width="9.85546875" style="6" customWidth="1"/>
    <col min="1785" max="1785" width="6.85546875" style="6" customWidth="1"/>
    <col min="1786" max="1787" width="10.85546875" style="6" customWidth="1"/>
    <col min="1788" max="1788" width="5.7109375" style="6" customWidth="1"/>
    <col min="1789" max="1789" width="11.5703125" style="6" customWidth="1"/>
    <col min="1790" max="1790" width="9.140625" style="6"/>
    <col min="1791" max="1791" width="9.7109375" style="6" customWidth="1"/>
    <col min="1792" max="1792" width="8.5703125" style="6" customWidth="1"/>
    <col min="1793" max="1794" width="0" style="6" hidden="1" customWidth="1"/>
    <col min="1795" max="1795" width="8.28515625" style="6" customWidth="1"/>
    <col min="1796" max="1796" width="11.85546875" style="6" customWidth="1"/>
    <col min="1797" max="1797" width="11.42578125" style="6" customWidth="1"/>
    <col min="1798" max="1798" width="9.140625" style="6"/>
    <col min="1799" max="1799" width="7.85546875" style="6" customWidth="1"/>
    <col min="1800" max="2037" width="9.140625" style="6"/>
    <col min="2038" max="2038" width="14.85546875" style="6" customWidth="1"/>
    <col min="2039" max="2039" width="15.85546875" style="6" customWidth="1"/>
    <col min="2040" max="2040" width="9.85546875" style="6" customWidth="1"/>
    <col min="2041" max="2041" width="6.85546875" style="6" customWidth="1"/>
    <col min="2042" max="2043" width="10.85546875" style="6" customWidth="1"/>
    <col min="2044" max="2044" width="5.7109375" style="6" customWidth="1"/>
    <col min="2045" max="2045" width="11.5703125" style="6" customWidth="1"/>
    <col min="2046" max="2046" width="9.140625" style="6"/>
    <col min="2047" max="2047" width="9.7109375" style="6" customWidth="1"/>
    <col min="2048" max="2048" width="8.5703125" style="6" customWidth="1"/>
    <col min="2049" max="2050" width="0" style="6" hidden="1" customWidth="1"/>
    <col min="2051" max="2051" width="8.28515625" style="6" customWidth="1"/>
    <col min="2052" max="2052" width="11.85546875" style="6" customWidth="1"/>
    <col min="2053" max="2053" width="11.42578125" style="6" customWidth="1"/>
    <col min="2054" max="2054" width="9.140625" style="6"/>
    <col min="2055" max="2055" width="7.85546875" style="6" customWidth="1"/>
    <col min="2056" max="2293" width="9.140625" style="6"/>
    <col min="2294" max="2294" width="14.85546875" style="6" customWidth="1"/>
    <col min="2295" max="2295" width="15.85546875" style="6" customWidth="1"/>
    <col min="2296" max="2296" width="9.85546875" style="6" customWidth="1"/>
    <col min="2297" max="2297" width="6.85546875" style="6" customWidth="1"/>
    <col min="2298" max="2299" width="10.85546875" style="6" customWidth="1"/>
    <col min="2300" max="2300" width="5.7109375" style="6" customWidth="1"/>
    <col min="2301" max="2301" width="11.5703125" style="6" customWidth="1"/>
    <col min="2302" max="2302" width="9.140625" style="6"/>
    <col min="2303" max="2303" width="9.7109375" style="6" customWidth="1"/>
    <col min="2304" max="2304" width="8.5703125" style="6" customWidth="1"/>
    <col min="2305" max="2306" width="0" style="6" hidden="1" customWidth="1"/>
    <col min="2307" max="2307" width="8.28515625" style="6" customWidth="1"/>
    <col min="2308" max="2308" width="11.85546875" style="6" customWidth="1"/>
    <col min="2309" max="2309" width="11.42578125" style="6" customWidth="1"/>
    <col min="2310" max="2310" width="9.140625" style="6"/>
    <col min="2311" max="2311" width="7.85546875" style="6" customWidth="1"/>
    <col min="2312" max="2549" width="9.140625" style="6"/>
    <col min="2550" max="2550" width="14.85546875" style="6" customWidth="1"/>
    <col min="2551" max="2551" width="15.85546875" style="6" customWidth="1"/>
    <col min="2552" max="2552" width="9.85546875" style="6" customWidth="1"/>
    <col min="2553" max="2553" width="6.85546875" style="6" customWidth="1"/>
    <col min="2554" max="2555" width="10.85546875" style="6" customWidth="1"/>
    <col min="2556" max="2556" width="5.7109375" style="6" customWidth="1"/>
    <col min="2557" max="2557" width="11.5703125" style="6" customWidth="1"/>
    <col min="2558" max="2558" width="9.140625" style="6"/>
    <col min="2559" max="2559" width="9.7109375" style="6" customWidth="1"/>
    <col min="2560" max="2560" width="8.5703125" style="6" customWidth="1"/>
    <col min="2561" max="2562" width="0" style="6" hidden="1" customWidth="1"/>
    <col min="2563" max="2563" width="8.28515625" style="6" customWidth="1"/>
    <col min="2564" max="2564" width="11.85546875" style="6" customWidth="1"/>
    <col min="2565" max="2565" width="11.42578125" style="6" customWidth="1"/>
    <col min="2566" max="2566" width="9.140625" style="6"/>
    <col min="2567" max="2567" width="7.85546875" style="6" customWidth="1"/>
    <col min="2568" max="2805" width="9.140625" style="6"/>
    <col min="2806" max="2806" width="14.85546875" style="6" customWidth="1"/>
    <col min="2807" max="2807" width="15.85546875" style="6" customWidth="1"/>
    <col min="2808" max="2808" width="9.85546875" style="6" customWidth="1"/>
    <col min="2809" max="2809" width="6.85546875" style="6" customWidth="1"/>
    <col min="2810" max="2811" width="10.85546875" style="6" customWidth="1"/>
    <col min="2812" max="2812" width="5.7109375" style="6" customWidth="1"/>
    <col min="2813" max="2813" width="11.5703125" style="6" customWidth="1"/>
    <col min="2814" max="2814" width="9.140625" style="6"/>
    <col min="2815" max="2815" width="9.7109375" style="6" customWidth="1"/>
    <col min="2816" max="2816" width="8.5703125" style="6" customWidth="1"/>
    <col min="2817" max="2818" width="0" style="6" hidden="1" customWidth="1"/>
    <col min="2819" max="2819" width="8.28515625" style="6" customWidth="1"/>
    <col min="2820" max="2820" width="11.85546875" style="6" customWidth="1"/>
    <col min="2821" max="2821" width="11.42578125" style="6" customWidth="1"/>
    <col min="2822" max="2822" width="9.140625" style="6"/>
    <col min="2823" max="2823" width="7.85546875" style="6" customWidth="1"/>
    <col min="2824" max="3061" width="9.140625" style="6"/>
    <col min="3062" max="3062" width="14.85546875" style="6" customWidth="1"/>
    <col min="3063" max="3063" width="15.85546875" style="6" customWidth="1"/>
    <col min="3064" max="3064" width="9.85546875" style="6" customWidth="1"/>
    <col min="3065" max="3065" width="6.85546875" style="6" customWidth="1"/>
    <col min="3066" max="3067" width="10.85546875" style="6" customWidth="1"/>
    <col min="3068" max="3068" width="5.7109375" style="6" customWidth="1"/>
    <col min="3069" max="3069" width="11.5703125" style="6" customWidth="1"/>
    <col min="3070" max="3070" width="9.140625" style="6"/>
    <col min="3071" max="3071" width="9.7109375" style="6" customWidth="1"/>
    <col min="3072" max="3072" width="8.5703125" style="6" customWidth="1"/>
    <col min="3073" max="3074" width="0" style="6" hidden="1" customWidth="1"/>
    <col min="3075" max="3075" width="8.28515625" style="6" customWidth="1"/>
    <col min="3076" max="3076" width="11.85546875" style="6" customWidth="1"/>
    <col min="3077" max="3077" width="11.42578125" style="6" customWidth="1"/>
    <col min="3078" max="3078" width="9.140625" style="6"/>
    <col min="3079" max="3079" width="7.85546875" style="6" customWidth="1"/>
    <col min="3080" max="3317" width="9.140625" style="6"/>
    <col min="3318" max="3318" width="14.85546875" style="6" customWidth="1"/>
    <col min="3319" max="3319" width="15.85546875" style="6" customWidth="1"/>
    <col min="3320" max="3320" width="9.85546875" style="6" customWidth="1"/>
    <col min="3321" max="3321" width="6.85546875" style="6" customWidth="1"/>
    <col min="3322" max="3323" width="10.85546875" style="6" customWidth="1"/>
    <col min="3324" max="3324" width="5.7109375" style="6" customWidth="1"/>
    <col min="3325" max="3325" width="11.5703125" style="6" customWidth="1"/>
    <col min="3326" max="3326" width="9.140625" style="6"/>
    <col min="3327" max="3327" width="9.7109375" style="6" customWidth="1"/>
    <col min="3328" max="3328" width="8.5703125" style="6" customWidth="1"/>
    <col min="3329" max="3330" width="0" style="6" hidden="1" customWidth="1"/>
    <col min="3331" max="3331" width="8.28515625" style="6" customWidth="1"/>
    <col min="3332" max="3332" width="11.85546875" style="6" customWidth="1"/>
    <col min="3333" max="3333" width="11.42578125" style="6" customWidth="1"/>
    <col min="3334" max="3334" width="9.140625" style="6"/>
    <col min="3335" max="3335" width="7.85546875" style="6" customWidth="1"/>
    <col min="3336" max="3573" width="9.140625" style="6"/>
    <col min="3574" max="3574" width="14.85546875" style="6" customWidth="1"/>
    <col min="3575" max="3575" width="15.85546875" style="6" customWidth="1"/>
    <col min="3576" max="3576" width="9.85546875" style="6" customWidth="1"/>
    <col min="3577" max="3577" width="6.85546875" style="6" customWidth="1"/>
    <col min="3578" max="3579" width="10.85546875" style="6" customWidth="1"/>
    <col min="3580" max="3580" width="5.7109375" style="6" customWidth="1"/>
    <col min="3581" max="3581" width="11.5703125" style="6" customWidth="1"/>
    <col min="3582" max="3582" width="9.140625" style="6"/>
    <col min="3583" max="3583" width="9.7109375" style="6" customWidth="1"/>
    <col min="3584" max="3584" width="8.5703125" style="6" customWidth="1"/>
    <col min="3585" max="3586" width="0" style="6" hidden="1" customWidth="1"/>
    <col min="3587" max="3587" width="8.28515625" style="6" customWidth="1"/>
    <col min="3588" max="3588" width="11.85546875" style="6" customWidth="1"/>
    <col min="3589" max="3589" width="11.42578125" style="6" customWidth="1"/>
    <col min="3590" max="3590" width="9.140625" style="6"/>
    <col min="3591" max="3591" width="7.85546875" style="6" customWidth="1"/>
    <col min="3592" max="3829" width="9.140625" style="6"/>
    <col min="3830" max="3830" width="14.85546875" style="6" customWidth="1"/>
    <col min="3831" max="3831" width="15.85546875" style="6" customWidth="1"/>
    <col min="3832" max="3832" width="9.85546875" style="6" customWidth="1"/>
    <col min="3833" max="3833" width="6.85546875" style="6" customWidth="1"/>
    <col min="3834" max="3835" width="10.85546875" style="6" customWidth="1"/>
    <col min="3836" max="3836" width="5.7109375" style="6" customWidth="1"/>
    <col min="3837" max="3837" width="11.5703125" style="6" customWidth="1"/>
    <col min="3838" max="3838" width="9.140625" style="6"/>
    <col min="3839" max="3839" width="9.7109375" style="6" customWidth="1"/>
    <col min="3840" max="3840" width="8.5703125" style="6" customWidth="1"/>
    <col min="3841" max="3842" width="0" style="6" hidden="1" customWidth="1"/>
    <col min="3843" max="3843" width="8.28515625" style="6" customWidth="1"/>
    <col min="3844" max="3844" width="11.85546875" style="6" customWidth="1"/>
    <col min="3845" max="3845" width="11.42578125" style="6" customWidth="1"/>
    <col min="3846" max="3846" width="9.140625" style="6"/>
    <col min="3847" max="3847" width="7.85546875" style="6" customWidth="1"/>
    <col min="3848" max="4085" width="9.140625" style="6"/>
    <col min="4086" max="4086" width="14.85546875" style="6" customWidth="1"/>
    <col min="4087" max="4087" width="15.85546875" style="6" customWidth="1"/>
    <col min="4088" max="4088" width="9.85546875" style="6" customWidth="1"/>
    <col min="4089" max="4089" width="6.85546875" style="6" customWidth="1"/>
    <col min="4090" max="4091" width="10.85546875" style="6" customWidth="1"/>
    <col min="4092" max="4092" width="5.7109375" style="6" customWidth="1"/>
    <col min="4093" max="4093" width="11.5703125" style="6" customWidth="1"/>
    <col min="4094" max="4094" width="9.140625" style="6"/>
    <col min="4095" max="4095" width="9.7109375" style="6" customWidth="1"/>
    <col min="4096" max="4096" width="8.5703125" style="6" customWidth="1"/>
    <col min="4097" max="4098" width="0" style="6" hidden="1" customWidth="1"/>
    <col min="4099" max="4099" width="8.28515625" style="6" customWidth="1"/>
    <col min="4100" max="4100" width="11.85546875" style="6" customWidth="1"/>
    <col min="4101" max="4101" width="11.42578125" style="6" customWidth="1"/>
    <col min="4102" max="4102" width="9.140625" style="6"/>
    <col min="4103" max="4103" width="7.85546875" style="6" customWidth="1"/>
    <col min="4104" max="4341" width="9.140625" style="6"/>
    <col min="4342" max="4342" width="14.85546875" style="6" customWidth="1"/>
    <col min="4343" max="4343" width="15.85546875" style="6" customWidth="1"/>
    <col min="4344" max="4344" width="9.85546875" style="6" customWidth="1"/>
    <col min="4345" max="4345" width="6.85546875" style="6" customWidth="1"/>
    <col min="4346" max="4347" width="10.85546875" style="6" customWidth="1"/>
    <col min="4348" max="4348" width="5.7109375" style="6" customWidth="1"/>
    <col min="4349" max="4349" width="11.5703125" style="6" customWidth="1"/>
    <col min="4350" max="4350" width="9.140625" style="6"/>
    <col min="4351" max="4351" width="9.7109375" style="6" customWidth="1"/>
    <col min="4352" max="4352" width="8.5703125" style="6" customWidth="1"/>
    <col min="4353" max="4354" width="0" style="6" hidden="1" customWidth="1"/>
    <col min="4355" max="4355" width="8.28515625" style="6" customWidth="1"/>
    <col min="4356" max="4356" width="11.85546875" style="6" customWidth="1"/>
    <col min="4357" max="4357" width="11.42578125" style="6" customWidth="1"/>
    <col min="4358" max="4358" width="9.140625" style="6"/>
    <col min="4359" max="4359" width="7.85546875" style="6" customWidth="1"/>
    <col min="4360" max="4597" width="9.140625" style="6"/>
    <col min="4598" max="4598" width="14.85546875" style="6" customWidth="1"/>
    <col min="4599" max="4599" width="15.85546875" style="6" customWidth="1"/>
    <col min="4600" max="4600" width="9.85546875" style="6" customWidth="1"/>
    <col min="4601" max="4601" width="6.85546875" style="6" customWidth="1"/>
    <col min="4602" max="4603" width="10.85546875" style="6" customWidth="1"/>
    <col min="4604" max="4604" width="5.7109375" style="6" customWidth="1"/>
    <col min="4605" max="4605" width="11.5703125" style="6" customWidth="1"/>
    <col min="4606" max="4606" width="9.140625" style="6"/>
    <col min="4607" max="4607" width="9.7109375" style="6" customWidth="1"/>
    <col min="4608" max="4608" width="8.5703125" style="6" customWidth="1"/>
    <col min="4609" max="4610" width="0" style="6" hidden="1" customWidth="1"/>
    <col min="4611" max="4611" width="8.28515625" style="6" customWidth="1"/>
    <col min="4612" max="4612" width="11.85546875" style="6" customWidth="1"/>
    <col min="4613" max="4613" width="11.42578125" style="6" customWidth="1"/>
    <col min="4614" max="4614" width="9.140625" style="6"/>
    <col min="4615" max="4615" width="7.85546875" style="6" customWidth="1"/>
    <col min="4616" max="4853" width="9.140625" style="6"/>
    <col min="4854" max="4854" width="14.85546875" style="6" customWidth="1"/>
    <col min="4855" max="4855" width="15.85546875" style="6" customWidth="1"/>
    <col min="4856" max="4856" width="9.85546875" style="6" customWidth="1"/>
    <col min="4857" max="4857" width="6.85546875" style="6" customWidth="1"/>
    <col min="4858" max="4859" width="10.85546875" style="6" customWidth="1"/>
    <col min="4860" max="4860" width="5.7109375" style="6" customWidth="1"/>
    <col min="4861" max="4861" width="11.5703125" style="6" customWidth="1"/>
    <col min="4862" max="4862" width="9.140625" style="6"/>
    <col min="4863" max="4863" width="9.7109375" style="6" customWidth="1"/>
    <col min="4864" max="4864" width="8.5703125" style="6" customWidth="1"/>
    <col min="4865" max="4866" width="0" style="6" hidden="1" customWidth="1"/>
    <col min="4867" max="4867" width="8.28515625" style="6" customWidth="1"/>
    <col min="4868" max="4868" width="11.85546875" style="6" customWidth="1"/>
    <col min="4869" max="4869" width="11.42578125" style="6" customWidth="1"/>
    <col min="4870" max="4870" width="9.140625" style="6"/>
    <col min="4871" max="4871" width="7.85546875" style="6" customWidth="1"/>
    <col min="4872" max="5109" width="9.140625" style="6"/>
    <col min="5110" max="5110" width="14.85546875" style="6" customWidth="1"/>
    <col min="5111" max="5111" width="15.85546875" style="6" customWidth="1"/>
    <col min="5112" max="5112" width="9.85546875" style="6" customWidth="1"/>
    <col min="5113" max="5113" width="6.85546875" style="6" customWidth="1"/>
    <col min="5114" max="5115" width="10.85546875" style="6" customWidth="1"/>
    <col min="5116" max="5116" width="5.7109375" style="6" customWidth="1"/>
    <col min="5117" max="5117" width="11.5703125" style="6" customWidth="1"/>
    <col min="5118" max="5118" width="9.140625" style="6"/>
    <col min="5119" max="5119" width="9.7109375" style="6" customWidth="1"/>
    <col min="5120" max="5120" width="8.5703125" style="6" customWidth="1"/>
    <col min="5121" max="5122" width="0" style="6" hidden="1" customWidth="1"/>
    <col min="5123" max="5123" width="8.28515625" style="6" customWidth="1"/>
    <col min="5124" max="5124" width="11.85546875" style="6" customWidth="1"/>
    <col min="5125" max="5125" width="11.42578125" style="6" customWidth="1"/>
    <col min="5126" max="5126" width="9.140625" style="6"/>
    <col min="5127" max="5127" width="7.85546875" style="6" customWidth="1"/>
    <col min="5128" max="5365" width="9.140625" style="6"/>
    <col min="5366" max="5366" width="14.85546875" style="6" customWidth="1"/>
    <col min="5367" max="5367" width="15.85546875" style="6" customWidth="1"/>
    <col min="5368" max="5368" width="9.85546875" style="6" customWidth="1"/>
    <col min="5369" max="5369" width="6.85546875" style="6" customWidth="1"/>
    <col min="5370" max="5371" width="10.85546875" style="6" customWidth="1"/>
    <col min="5372" max="5372" width="5.7109375" style="6" customWidth="1"/>
    <col min="5373" max="5373" width="11.5703125" style="6" customWidth="1"/>
    <col min="5374" max="5374" width="9.140625" style="6"/>
    <col min="5375" max="5375" width="9.7109375" style="6" customWidth="1"/>
    <col min="5376" max="5376" width="8.5703125" style="6" customWidth="1"/>
    <col min="5377" max="5378" width="0" style="6" hidden="1" customWidth="1"/>
    <col min="5379" max="5379" width="8.28515625" style="6" customWidth="1"/>
    <col min="5380" max="5380" width="11.85546875" style="6" customWidth="1"/>
    <col min="5381" max="5381" width="11.42578125" style="6" customWidth="1"/>
    <col min="5382" max="5382" width="9.140625" style="6"/>
    <col min="5383" max="5383" width="7.85546875" style="6" customWidth="1"/>
    <col min="5384" max="5621" width="9.140625" style="6"/>
    <col min="5622" max="5622" width="14.85546875" style="6" customWidth="1"/>
    <col min="5623" max="5623" width="15.85546875" style="6" customWidth="1"/>
    <col min="5624" max="5624" width="9.85546875" style="6" customWidth="1"/>
    <col min="5625" max="5625" width="6.85546875" style="6" customWidth="1"/>
    <col min="5626" max="5627" width="10.85546875" style="6" customWidth="1"/>
    <col min="5628" max="5628" width="5.7109375" style="6" customWidth="1"/>
    <col min="5629" max="5629" width="11.5703125" style="6" customWidth="1"/>
    <col min="5630" max="5630" width="9.140625" style="6"/>
    <col min="5631" max="5631" width="9.7109375" style="6" customWidth="1"/>
    <col min="5632" max="5632" width="8.5703125" style="6" customWidth="1"/>
    <col min="5633" max="5634" width="0" style="6" hidden="1" customWidth="1"/>
    <col min="5635" max="5635" width="8.28515625" style="6" customWidth="1"/>
    <col min="5636" max="5636" width="11.85546875" style="6" customWidth="1"/>
    <col min="5637" max="5637" width="11.42578125" style="6" customWidth="1"/>
    <col min="5638" max="5638" width="9.140625" style="6"/>
    <col min="5639" max="5639" width="7.85546875" style="6" customWidth="1"/>
    <col min="5640" max="5877" width="9.140625" style="6"/>
    <col min="5878" max="5878" width="14.85546875" style="6" customWidth="1"/>
    <col min="5879" max="5879" width="15.85546875" style="6" customWidth="1"/>
    <col min="5880" max="5880" width="9.85546875" style="6" customWidth="1"/>
    <col min="5881" max="5881" width="6.85546875" style="6" customWidth="1"/>
    <col min="5882" max="5883" width="10.85546875" style="6" customWidth="1"/>
    <col min="5884" max="5884" width="5.7109375" style="6" customWidth="1"/>
    <col min="5885" max="5885" width="11.5703125" style="6" customWidth="1"/>
    <col min="5886" max="5886" width="9.140625" style="6"/>
    <col min="5887" max="5887" width="9.7109375" style="6" customWidth="1"/>
    <col min="5888" max="5888" width="8.5703125" style="6" customWidth="1"/>
    <col min="5889" max="5890" width="0" style="6" hidden="1" customWidth="1"/>
    <col min="5891" max="5891" width="8.28515625" style="6" customWidth="1"/>
    <col min="5892" max="5892" width="11.85546875" style="6" customWidth="1"/>
    <col min="5893" max="5893" width="11.42578125" style="6" customWidth="1"/>
    <col min="5894" max="5894" width="9.140625" style="6"/>
    <col min="5895" max="5895" width="7.85546875" style="6" customWidth="1"/>
    <col min="5896" max="6133" width="9.140625" style="6"/>
    <col min="6134" max="6134" width="14.85546875" style="6" customWidth="1"/>
    <col min="6135" max="6135" width="15.85546875" style="6" customWidth="1"/>
    <col min="6136" max="6136" width="9.85546875" style="6" customWidth="1"/>
    <col min="6137" max="6137" width="6.85546875" style="6" customWidth="1"/>
    <col min="6138" max="6139" width="10.85546875" style="6" customWidth="1"/>
    <col min="6140" max="6140" width="5.7109375" style="6" customWidth="1"/>
    <col min="6141" max="6141" width="11.5703125" style="6" customWidth="1"/>
    <col min="6142" max="6142" width="9.140625" style="6"/>
    <col min="6143" max="6143" width="9.7109375" style="6" customWidth="1"/>
    <col min="6144" max="6144" width="8.5703125" style="6" customWidth="1"/>
    <col min="6145" max="6146" width="0" style="6" hidden="1" customWidth="1"/>
    <col min="6147" max="6147" width="8.28515625" style="6" customWidth="1"/>
    <col min="6148" max="6148" width="11.85546875" style="6" customWidth="1"/>
    <col min="6149" max="6149" width="11.42578125" style="6" customWidth="1"/>
    <col min="6150" max="6150" width="9.140625" style="6"/>
    <col min="6151" max="6151" width="7.85546875" style="6" customWidth="1"/>
    <col min="6152" max="6389" width="9.140625" style="6"/>
    <col min="6390" max="6390" width="14.85546875" style="6" customWidth="1"/>
    <col min="6391" max="6391" width="15.85546875" style="6" customWidth="1"/>
    <col min="6392" max="6392" width="9.85546875" style="6" customWidth="1"/>
    <col min="6393" max="6393" width="6.85546875" style="6" customWidth="1"/>
    <col min="6394" max="6395" width="10.85546875" style="6" customWidth="1"/>
    <col min="6396" max="6396" width="5.7109375" style="6" customWidth="1"/>
    <col min="6397" max="6397" width="11.5703125" style="6" customWidth="1"/>
    <col min="6398" max="6398" width="9.140625" style="6"/>
    <col min="6399" max="6399" width="9.7109375" style="6" customWidth="1"/>
    <col min="6400" max="6400" width="8.5703125" style="6" customWidth="1"/>
    <col min="6401" max="6402" width="0" style="6" hidden="1" customWidth="1"/>
    <col min="6403" max="6403" width="8.28515625" style="6" customWidth="1"/>
    <col min="6404" max="6404" width="11.85546875" style="6" customWidth="1"/>
    <col min="6405" max="6405" width="11.42578125" style="6" customWidth="1"/>
    <col min="6406" max="6406" width="9.140625" style="6"/>
    <col min="6407" max="6407" width="7.85546875" style="6" customWidth="1"/>
    <col min="6408" max="6645" width="9.140625" style="6"/>
    <col min="6646" max="6646" width="14.85546875" style="6" customWidth="1"/>
    <col min="6647" max="6647" width="15.85546875" style="6" customWidth="1"/>
    <col min="6648" max="6648" width="9.85546875" style="6" customWidth="1"/>
    <col min="6649" max="6649" width="6.85546875" style="6" customWidth="1"/>
    <col min="6650" max="6651" width="10.85546875" style="6" customWidth="1"/>
    <col min="6652" max="6652" width="5.7109375" style="6" customWidth="1"/>
    <col min="6653" max="6653" width="11.5703125" style="6" customWidth="1"/>
    <col min="6654" max="6654" width="9.140625" style="6"/>
    <col min="6655" max="6655" width="9.7109375" style="6" customWidth="1"/>
    <col min="6656" max="6656" width="8.5703125" style="6" customWidth="1"/>
    <col min="6657" max="6658" width="0" style="6" hidden="1" customWidth="1"/>
    <col min="6659" max="6659" width="8.28515625" style="6" customWidth="1"/>
    <col min="6660" max="6660" width="11.85546875" style="6" customWidth="1"/>
    <col min="6661" max="6661" width="11.42578125" style="6" customWidth="1"/>
    <col min="6662" max="6662" width="9.140625" style="6"/>
    <col min="6663" max="6663" width="7.85546875" style="6" customWidth="1"/>
    <col min="6664" max="6901" width="9.140625" style="6"/>
    <col min="6902" max="6902" width="14.85546875" style="6" customWidth="1"/>
    <col min="6903" max="6903" width="15.85546875" style="6" customWidth="1"/>
    <col min="6904" max="6904" width="9.85546875" style="6" customWidth="1"/>
    <col min="6905" max="6905" width="6.85546875" style="6" customWidth="1"/>
    <col min="6906" max="6907" width="10.85546875" style="6" customWidth="1"/>
    <col min="6908" max="6908" width="5.7109375" style="6" customWidth="1"/>
    <col min="6909" max="6909" width="11.5703125" style="6" customWidth="1"/>
    <col min="6910" max="6910" width="9.140625" style="6"/>
    <col min="6911" max="6911" width="9.7109375" style="6" customWidth="1"/>
    <col min="6912" max="6912" width="8.5703125" style="6" customWidth="1"/>
    <col min="6913" max="6914" width="0" style="6" hidden="1" customWidth="1"/>
    <col min="6915" max="6915" width="8.28515625" style="6" customWidth="1"/>
    <col min="6916" max="6916" width="11.85546875" style="6" customWidth="1"/>
    <col min="6917" max="6917" width="11.42578125" style="6" customWidth="1"/>
    <col min="6918" max="6918" width="9.140625" style="6"/>
    <col min="6919" max="6919" width="7.85546875" style="6" customWidth="1"/>
    <col min="6920" max="7157" width="9.140625" style="6"/>
    <col min="7158" max="7158" width="14.85546875" style="6" customWidth="1"/>
    <col min="7159" max="7159" width="15.85546875" style="6" customWidth="1"/>
    <col min="7160" max="7160" width="9.85546875" style="6" customWidth="1"/>
    <col min="7161" max="7161" width="6.85546875" style="6" customWidth="1"/>
    <col min="7162" max="7163" width="10.85546875" style="6" customWidth="1"/>
    <col min="7164" max="7164" width="5.7109375" style="6" customWidth="1"/>
    <col min="7165" max="7165" width="11.5703125" style="6" customWidth="1"/>
    <col min="7166" max="7166" width="9.140625" style="6"/>
    <col min="7167" max="7167" width="9.7109375" style="6" customWidth="1"/>
    <col min="7168" max="7168" width="8.5703125" style="6" customWidth="1"/>
    <col min="7169" max="7170" width="0" style="6" hidden="1" customWidth="1"/>
    <col min="7171" max="7171" width="8.28515625" style="6" customWidth="1"/>
    <col min="7172" max="7172" width="11.85546875" style="6" customWidth="1"/>
    <col min="7173" max="7173" width="11.42578125" style="6" customWidth="1"/>
    <col min="7174" max="7174" width="9.140625" style="6"/>
    <col min="7175" max="7175" width="7.85546875" style="6" customWidth="1"/>
    <col min="7176" max="7413" width="9.140625" style="6"/>
    <col min="7414" max="7414" width="14.85546875" style="6" customWidth="1"/>
    <col min="7415" max="7415" width="15.85546875" style="6" customWidth="1"/>
    <col min="7416" max="7416" width="9.85546875" style="6" customWidth="1"/>
    <col min="7417" max="7417" width="6.85546875" style="6" customWidth="1"/>
    <col min="7418" max="7419" width="10.85546875" style="6" customWidth="1"/>
    <col min="7420" max="7420" width="5.7109375" style="6" customWidth="1"/>
    <col min="7421" max="7421" width="11.5703125" style="6" customWidth="1"/>
    <col min="7422" max="7422" width="9.140625" style="6"/>
    <col min="7423" max="7423" width="9.7109375" style="6" customWidth="1"/>
    <col min="7424" max="7424" width="8.5703125" style="6" customWidth="1"/>
    <col min="7425" max="7426" width="0" style="6" hidden="1" customWidth="1"/>
    <col min="7427" max="7427" width="8.28515625" style="6" customWidth="1"/>
    <col min="7428" max="7428" width="11.85546875" style="6" customWidth="1"/>
    <col min="7429" max="7429" width="11.42578125" style="6" customWidth="1"/>
    <col min="7430" max="7430" width="9.140625" style="6"/>
    <col min="7431" max="7431" width="7.85546875" style="6" customWidth="1"/>
    <col min="7432" max="7669" width="9.140625" style="6"/>
    <col min="7670" max="7670" width="14.85546875" style="6" customWidth="1"/>
    <col min="7671" max="7671" width="15.85546875" style="6" customWidth="1"/>
    <col min="7672" max="7672" width="9.85546875" style="6" customWidth="1"/>
    <col min="7673" max="7673" width="6.85546875" style="6" customWidth="1"/>
    <col min="7674" max="7675" width="10.85546875" style="6" customWidth="1"/>
    <col min="7676" max="7676" width="5.7109375" style="6" customWidth="1"/>
    <col min="7677" max="7677" width="11.5703125" style="6" customWidth="1"/>
    <col min="7678" max="7678" width="9.140625" style="6"/>
    <col min="7679" max="7679" width="9.7109375" style="6" customWidth="1"/>
    <col min="7680" max="7680" width="8.5703125" style="6" customWidth="1"/>
    <col min="7681" max="7682" width="0" style="6" hidden="1" customWidth="1"/>
    <col min="7683" max="7683" width="8.28515625" style="6" customWidth="1"/>
    <col min="7684" max="7684" width="11.85546875" style="6" customWidth="1"/>
    <col min="7685" max="7685" width="11.42578125" style="6" customWidth="1"/>
    <col min="7686" max="7686" width="9.140625" style="6"/>
    <col min="7687" max="7687" width="7.85546875" style="6" customWidth="1"/>
    <col min="7688" max="7925" width="9.140625" style="6"/>
    <col min="7926" max="7926" width="14.85546875" style="6" customWidth="1"/>
    <col min="7927" max="7927" width="15.85546875" style="6" customWidth="1"/>
    <col min="7928" max="7928" width="9.85546875" style="6" customWidth="1"/>
    <col min="7929" max="7929" width="6.85546875" style="6" customWidth="1"/>
    <col min="7930" max="7931" width="10.85546875" style="6" customWidth="1"/>
    <col min="7932" max="7932" width="5.7109375" style="6" customWidth="1"/>
    <col min="7933" max="7933" width="11.5703125" style="6" customWidth="1"/>
    <col min="7934" max="7934" width="9.140625" style="6"/>
    <col min="7935" max="7935" width="9.7109375" style="6" customWidth="1"/>
    <col min="7936" max="7936" width="8.5703125" style="6" customWidth="1"/>
    <col min="7937" max="7938" width="0" style="6" hidden="1" customWidth="1"/>
    <col min="7939" max="7939" width="8.28515625" style="6" customWidth="1"/>
    <col min="7940" max="7940" width="11.85546875" style="6" customWidth="1"/>
    <col min="7941" max="7941" width="11.42578125" style="6" customWidth="1"/>
    <col min="7942" max="7942" width="9.140625" style="6"/>
    <col min="7943" max="7943" width="7.85546875" style="6" customWidth="1"/>
    <col min="7944" max="8181" width="9.140625" style="6"/>
    <col min="8182" max="8182" width="14.85546875" style="6" customWidth="1"/>
    <col min="8183" max="8183" width="15.85546875" style="6" customWidth="1"/>
    <col min="8184" max="8184" width="9.85546875" style="6" customWidth="1"/>
    <col min="8185" max="8185" width="6.85546875" style="6" customWidth="1"/>
    <col min="8186" max="8187" width="10.85546875" style="6" customWidth="1"/>
    <col min="8188" max="8188" width="5.7109375" style="6" customWidth="1"/>
    <col min="8189" max="8189" width="11.5703125" style="6" customWidth="1"/>
    <col min="8190" max="8190" width="9.140625" style="6"/>
    <col min="8191" max="8191" width="9.7109375" style="6" customWidth="1"/>
    <col min="8192" max="8192" width="8.5703125" style="6" customWidth="1"/>
    <col min="8193" max="8194" width="0" style="6" hidden="1" customWidth="1"/>
    <col min="8195" max="8195" width="8.28515625" style="6" customWidth="1"/>
    <col min="8196" max="8196" width="11.85546875" style="6" customWidth="1"/>
    <col min="8197" max="8197" width="11.42578125" style="6" customWidth="1"/>
    <col min="8198" max="8198" width="9.140625" style="6"/>
    <col min="8199" max="8199" width="7.85546875" style="6" customWidth="1"/>
    <col min="8200" max="8437" width="9.140625" style="6"/>
    <col min="8438" max="8438" width="14.85546875" style="6" customWidth="1"/>
    <col min="8439" max="8439" width="15.85546875" style="6" customWidth="1"/>
    <col min="8440" max="8440" width="9.85546875" style="6" customWidth="1"/>
    <col min="8441" max="8441" width="6.85546875" style="6" customWidth="1"/>
    <col min="8442" max="8443" width="10.85546875" style="6" customWidth="1"/>
    <col min="8444" max="8444" width="5.7109375" style="6" customWidth="1"/>
    <col min="8445" max="8445" width="11.5703125" style="6" customWidth="1"/>
    <col min="8446" max="8446" width="9.140625" style="6"/>
    <col min="8447" max="8447" width="9.7109375" style="6" customWidth="1"/>
    <col min="8448" max="8448" width="8.5703125" style="6" customWidth="1"/>
    <col min="8449" max="8450" width="0" style="6" hidden="1" customWidth="1"/>
    <col min="8451" max="8451" width="8.28515625" style="6" customWidth="1"/>
    <col min="8452" max="8452" width="11.85546875" style="6" customWidth="1"/>
    <col min="8453" max="8453" width="11.42578125" style="6" customWidth="1"/>
    <col min="8454" max="8454" width="9.140625" style="6"/>
    <col min="8455" max="8455" width="7.85546875" style="6" customWidth="1"/>
    <col min="8456" max="8693" width="9.140625" style="6"/>
    <col min="8694" max="8694" width="14.85546875" style="6" customWidth="1"/>
    <col min="8695" max="8695" width="15.85546875" style="6" customWidth="1"/>
    <col min="8696" max="8696" width="9.85546875" style="6" customWidth="1"/>
    <col min="8697" max="8697" width="6.85546875" style="6" customWidth="1"/>
    <col min="8698" max="8699" width="10.85546875" style="6" customWidth="1"/>
    <col min="8700" max="8700" width="5.7109375" style="6" customWidth="1"/>
    <col min="8701" max="8701" width="11.5703125" style="6" customWidth="1"/>
    <col min="8702" max="8702" width="9.140625" style="6"/>
    <col min="8703" max="8703" width="9.7109375" style="6" customWidth="1"/>
    <col min="8704" max="8704" width="8.5703125" style="6" customWidth="1"/>
    <col min="8705" max="8706" width="0" style="6" hidden="1" customWidth="1"/>
    <col min="8707" max="8707" width="8.28515625" style="6" customWidth="1"/>
    <col min="8708" max="8708" width="11.85546875" style="6" customWidth="1"/>
    <col min="8709" max="8709" width="11.42578125" style="6" customWidth="1"/>
    <col min="8710" max="8710" width="9.140625" style="6"/>
    <col min="8711" max="8711" width="7.85546875" style="6" customWidth="1"/>
    <col min="8712" max="8949" width="9.140625" style="6"/>
    <col min="8950" max="8950" width="14.85546875" style="6" customWidth="1"/>
    <col min="8951" max="8951" width="15.85546875" style="6" customWidth="1"/>
    <col min="8952" max="8952" width="9.85546875" style="6" customWidth="1"/>
    <col min="8953" max="8953" width="6.85546875" style="6" customWidth="1"/>
    <col min="8954" max="8955" width="10.85546875" style="6" customWidth="1"/>
    <col min="8956" max="8956" width="5.7109375" style="6" customWidth="1"/>
    <col min="8957" max="8957" width="11.5703125" style="6" customWidth="1"/>
    <col min="8958" max="8958" width="9.140625" style="6"/>
    <col min="8959" max="8959" width="9.7109375" style="6" customWidth="1"/>
    <col min="8960" max="8960" width="8.5703125" style="6" customWidth="1"/>
    <col min="8961" max="8962" width="0" style="6" hidden="1" customWidth="1"/>
    <col min="8963" max="8963" width="8.28515625" style="6" customWidth="1"/>
    <col min="8964" max="8964" width="11.85546875" style="6" customWidth="1"/>
    <col min="8965" max="8965" width="11.42578125" style="6" customWidth="1"/>
    <col min="8966" max="8966" width="9.140625" style="6"/>
    <col min="8967" max="8967" width="7.85546875" style="6" customWidth="1"/>
    <col min="8968" max="9205" width="9.140625" style="6"/>
    <col min="9206" max="9206" width="14.85546875" style="6" customWidth="1"/>
    <col min="9207" max="9207" width="15.85546875" style="6" customWidth="1"/>
    <col min="9208" max="9208" width="9.85546875" style="6" customWidth="1"/>
    <col min="9209" max="9209" width="6.85546875" style="6" customWidth="1"/>
    <col min="9210" max="9211" width="10.85546875" style="6" customWidth="1"/>
    <col min="9212" max="9212" width="5.7109375" style="6" customWidth="1"/>
    <col min="9213" max="9213" width="11.5703125" style="6" customWidth="1"/>
    <col min="9214" max="9214" width="9.140625" style="6"/>
    <col min="9215" max="9215" width="9.7109375" style="6" customWidth="1"/>
    <col min="9216" max="9216" width="8.5703125" style="6" customWidth="1"/>
    <col min="9217" max="9218" width="0" style="6" hidden="1" customWidth="1"/>
    <col min="9219" max="9219" width="8.28515625" style="6" customWidth="1"/>
    <col min="9220" max="9220" width="11.85546875" style="6" customWidth="1"/>
    <col min="9221" max="9221" width="11.42578125" style="6" customWidth="1"/>
    <col min="9222" max="9222" width="9.140625" style="6"/>
    <col min="9223" max="9223" width="7.85546875" style="6" customWidth="1"/>
    <col min="9224" max="9461" width="9.140625" style="6"/>
    <col min="9462" max="9462" width="14.85546875" style="6" customWidth="1"/>
    <col min="9463" max="9463" width="15.85546875" style="6" customWidth="1"/>
    <col min="9464" max="9464" width="9.85546875" style="6" customWidth="1"/>
    <col min="9465" max="9465" width="6.85546875" style="6" customWidth="1"/>
    <col min="9466" max="9467" width="10.85546875" style="6" customWidth="1"/>
    <col min="9468" max="9468" width="5.7109375" style="6" customWidth="1"/>
    <col min="9469" max="9469" width="11.5703125" style="6" customWidth="1"/>
    <col min="9470" max="9470" width="9.140625" style="6"/>
    <col min="9471" max="9471" width="9.7109375" style="6" customWidth="1"/>
    <col min="9472" max="9472" width="8.5703125" style="6" customWidth="1"/>
    <col min="9473" max="9474" width="0" style="6" hidden="1" customWidth="1"/>
    <col min="9475" max="9475" width="8.28515625" style="6" customWidth="1"/>
    <col min="9476" max="9476" width="11.85546875" style="6" customWidth="1"/>
    <col min="9477" max="9477" width="11.42578125" style="6" customWidth="1"/>
    <col min="9478" max="9478" width="9.140625" style="6"/>
    <col min="9479" max="9479" width="7.85546875" style="6" customWidth="1"/>
    <col min="9480" max="9717" width="9.140625" style="6"/>
    <col min="9718" max="9718" width="14.85546875" style="6" customWidth="1"/>
    <col min="9719" max="9719" width="15.85546875" style="6" customWidth="1"/>
    <col min="9720" max="9720" width="9.85546875" style="6" customWidth="1"/>
    <col min="9721" max="9721" width="6.85546875" style="6" customWidth="1"/>
    <col min="9722" max="9723" width="10.85546875" style="6" customWidth="1"/>
    <col min="9724" max="9724" width="5.7109375" style="6" customWidth="1"/>
    <col min="9725" max="9725" width="11.5703125" style="6" customWidth="1"/>
    <col min="9726" max="9726" width="9.140625" style="6"/>
    <col min="9727" max="9727" width="9.7109375" style="6" customWidth="1"/>
    <col min="9728" max="9728" width="8.5703125" style="6" customWidth="1"/>
    <col min="9729" max="9730" width="0" style="6" hidden="1" customWidth="1"/>
    <col min="9731" max="9731" width="8.28515625" style="6" customWidth="1"/>
    <col min="9732" max="9732" width="11.85546875" style="6" customWidth="1"/>
    <col min="9733" max="9733" width="11.42578125" style="6" customWidth="1"/>
    <col min="9734" max="9734" width="9.140625" style="6"/>
    <col min="9735" max="9735" width="7.85546875" style="6" customWidth="1"/>
    <col min="9736" max="9973" width="9.140625" style="6"/>
    <col min="9974" max="9974" width="14.85546875" style="6" customWidth="1"/>
    <col min="9975" max="9975" width="15.85546875" style="6" customWidth="1"/>
    <col min="9976" max="9976" width="9.85546875" style="6" customWidth="1"/>
    <col min="9977" max="9977" width="6.85546875" style="6" customWidth="1"/>
    <col min="9978" max="9979" width="10.85546875" style="6" customWidth="1"/>
    <col min="9980" max="9980" width="5.7109375" style="6" customWidth="1"/>
    <col min="9981" max="9981" width="11.5703125" style="6" customWidth="1"/>
    <col min="9982" max="9982" width="9.140625" style="6"/>
    <col min="9983" max="9983" width="9.7109375" style="6" customWidth="1"/>
    <col min="9984" max="9984" width="8.5703125" style="6" customWidth="1"/>
    <col min="9985" max="9986" width="0" style="6" hidden="1" customWidth="1"/>
    <col min="9987" max="9987" width="8.28515625" style="6" customWidth="1"/>
    <col min="9988" max="9988" width="11.85546875" style="6" customWidth="1"/>
    <col min="9989" max="9989" width="11.42578125" style="6" customWidth="1"/>
    <col min="9990" max="9990" width="9.140625" style="6"/>
    <col min="9991" max="9991" width="7.85546875" style="6" customWidth="1"/>
    <col min="9992" max="10229" width="9.140625" style="6"/>
    <col min="10230" max="10230" width="14.85546875" style="6" customWidth="1"/>
    <col min="10231" max="10231" width="15.85546875" style="6" customWidth="1"/>
    <col min="10232" max="10232" width="9.85546875" style="6" customWidth="1"/>
    <col min="10233" max="10233" width="6.85546875" style="6" customWidth="1"/>
    <col min="10234" max="10235" width="10.85546875" style="6" customWidth="1"/>
    <col min="10236" max="10236" width="5.7109375" style="6" customWidth="1"/>
    <col min="10237" max="10237" width="11.5703125" style="6" customWidth="1"/>
    <col min="10238" max="10238" width="9.140625" style="6"/>
    <col min="10239" max="10239" width="9.7109375" style="6" customWidth="1"/>
    <col min="10240" max="10240" width="8.5703125" style="6" customWidth="1"/>
    <col min="10241" max="10242" width="0" style="6" hidden="1" customWidth="1"/>
    <col min="10243" max="10243" width="8.28515625" style="6" customWidth="1"/>
    <col min="10244" max="10244" width="11.85546875" style="6" customWidth="1"/>
    <col min="10245" max="10245" width="11.42578125" style="6" customWidth="1"/>
    <col min="10246" max="10246" width="9.140625" style="6"/>
    <col min="10247" max="10247" width="7.85546875" style="6" customWidth="1"/>
    <col min="10248" max="10485" width="9.140625" style="6"/>
    <col min="10486" max="10486" width="14.85546875" style="6" customWidth="1"/>
    <col min="10487" max="10487" width="15.85546875" style="6" customWidth="1"/>
    <col min="10488" max="10488" width="9.85546875" style="6" customWidth="1"/>
    <col min="10489" max="10489" width="6.85546875" style="6" customWidth="1"/>
    <col min="10490" max="10491" width="10.85546875" style="6" customWidth="1"/>
    <col min="10492" max="10492" width="5.7109375" style="6" customWidth="1"/>
    <col min="10493" max="10493" width="11.5703125" style="6" customWidth="1"/>
    <col min="10494" max="10494" width="9.140625" style="6"/>
    <col min="10495" max="10495" width="9.7109375" style="6" customWidth="1"/>
    <col min="10496" max="10496" width="8.5703125" style="6" customWidth="1"/>
    <col min="10497" max="10498" width="0" style="6" hidden="1" customWidth="1"/>
    <col min="10499" max="10499" width="8.28515625" style="6" customWidth="1"/>
    <col min="10500" max="10500" width="11.85546875" style="6" customWidth="1"/>
    <col min="10501" max="10501" width="11.42578125" style="6" customWidth="1"/>
    <col min="10502" max="10502" width="9.140625" style="6"/>
    <col min="10503" max="10503" width="7.85546875" style="6" customWidth="1"/>
    <col min="10504" max="10741" width="9.140625" style="6"/>
    <col min="10742" max="10742" width="14.85546875" style="6" customWidth="1"/>
    <col min="10743" max="10743" width="15.85546875" style="6" customWidth="1"/>
    <col min="10744" max="10744" width="9.85546875" style="6" customWidth="1"/>
    <col min="10745" max="10745" width="6.85546875" style="6" customWidth="1"/>
    <col min="10746" max="10747" width="10.85546875" style="6" customWidth="1"/>
    <col min="10748" max="10748" width="5.7109375" style="6" customWidth="1"/>
    <col min="10749" max="10749" width="11.5703125" style="6" customWidth="1"/>
    <col min="10750" max="10750" width="9.140625" style="6"/>
    <col min="10751" max="10751" width="9.7109375" style="6" customWidth="1"/>
    <col min="10752" max="10752" width="8.5703125" style="6" customWidth="1"/>
    <col min="10753" max="10754" width="0" style="6" hidden="1" customWidth="1"/>
    <col min="10755" max="10755" width="8.28515625" style="6" customWidth="1"/>
    <col min="10756" max="10756" width="11.85546875" style="6" customWidth="1"/>
    <col min="10757" max="10757" width="11.42578125" style="6" customWidth="1"/>
    <col min="10758" max="10758" width="9.140625" style="6"/>
    <col min="10759" max="10759" width="7.85546875" style="6" customWidth="1"/>
    <col min="10760" max="10997" width="9.140625" style="6"/>
    <col min="10998" max="10998" width="14.85546875" style="6" customWidth="1"/>
    <col min="10999" max="10999" width="15.85546875" style="6" customWidth="1"/>
    <col min="11000" max="11000" width="9.85546875" style="6" customWidth="1"/>
    <col min="11001" max="11001" width="6.85546875" style="6" customWidth="1"/>
    <col min="11002" max="11003" width="10.85546875" style="6" customWidth="1"/>
    <col min="11004" max="11004" width="5.7109375" style="6" customWidth="1"/>
    <col min="11005" max="11005" width="11.5703125" style="6" customWidth="1"/>
    <col min="11006" max="11006" width="9.140625" style="6"/>
    <col min="11007" max="11007" width="9.7109375" style="6" customWidth="1"/>
    <col min="11008" max="11008" width="8.5703125" style="6" customWidth="1"/>
    <col min="11009" max="11010" width="0" style="6" hidden="1" customWidth="1"/>
    <col min="11011" max="11011" width="8.28515625" style="6" customWidth="1"/>
    <col min="11012" max="11012" width="11.85546875" style="6" customWidth="1"/>
    <col min="11013" max="11013" width="11.42578125" style="6" customWidth="1"/>
    <col min="11014" max="11014" width="9.140625" style="6"/>
    <col min="11015" max="11015" width="7.85546875" style="6" customWidth="1"/>
    <col min="11016" max="11253" width="9.140625" style="6"/>
    <col min="11254" max="11254" width="14.85546875" style="6" customWidth="1"/>
    <col min="11255" max="11255" width="15.85546875" style="6" customWidth="1"/>
    <col min="11256" max="11256" width="9.85546875" style="6" customWidth="1"/>
    <col min="11257" max="11257" width="6.85546875" style="6" customWidth="1"/>
    <col min="11258" max="11259" width="10.85546875" style="6" customWidth="1"/>
    <col min="11260" max="11260" width="5.7109375" style="6" customWidth="1"/>
    <col min="11261" max="11261" width="11.5703125" style="6" customWidth="1"/>
    <col min="11262" max="11262" width="9.140625" style="6"/>
    <col min="11263" max="11263" width="9.7109375" style="6" customWidth="1"/>
    <col min="11264" max="11264" width="8.5703125" style="6" customWidth="1"/>
    <col min="11265" max="11266" width="0" style="6" hidden="1" customWidth="1"/>
    <col min="11267" max="11267" width="8.28515625" style="6" customWidth="1"/>
    <col min="11268" max="11268" width="11.85546875" style="6" customWidth="1"/>
    <col min="11269" max="11269" width="11.42578125" style="6" customWidth="1"/>
    <col min="11270" max="11270" width="9.140625" style="6"/>
    <col min="11271" max="11271" width="7.85546875" style="6" customWidth="1"/>
    <col min="11272" max="11509" width="9.140625" style="6"/>
    <col min="11510" max="11510" width="14.85546875" style="6" customWidth="1"/>
    <col min="11511" max="11511" width="15.85546875" style="6" customWidth="1"/>
    <col min="11512" max="11512" width="9.85546875" style="6" customWidth="1"/>
    <col min="11513" max="11513" width="6.85546875" style="6" customWidth="1"/>
    <col min="11514" max="11515" width="10.85546875" style="6" customWidth="1"/>
    <col min="11516" max="11516" width="5.7109375" style="6" customWidth="1"/>
    <col min="11517" max="11517" width="11.5703125" style="6" customWidth="1"/>
    <col min="11518" max="11518" width="9.140625" style="6"/>
    <col min="11519" max="11519" width="9.7109375" style="6" customWidth="1"/>
    <col min="11520" max="11520" width="8.5703125" style="6" customWidth="1"/>
    <col min="11521" max="11522" width="0" style="6" hidden="1" customWidth="1"/>
    <col min="11523" max="11523" width="8.28515625" style="6" customWidth="1"/>
    <col min="11524" max="11524" width="11.85546875" style="6" customWidth="1"/>
    <col min="11525" max="11525" width="11.42578125" style="6" customWidth="1"/>
    <col min="11526" max="11526" width="9.140625" style="6"/>
    <col min="11527" max="11527" width="7.85546875" style="6" customWidth="1"/>
    <col min="11528" max="11765" width="9.140625" style="6"/>
    <col min="11766" max="11766" width="14.85546875" style="6" customWidth="1"/>
    <col min="11767" max="11767" width="15.85546875" style="6" customWidth="1"/>
    <col min="11768" max="11768" width="9.85546875" style="6" customWidth="1"/>
    <col min="11769" max="11769" width="6.85546875" style="6" customWidth="1"/>
    <col min="11770" max="11771" width="10.85546875" style="6" customWidth="1"/>
    <col min="11772" max="11772" width="5.7109375" style="6" customWidth="1"/>
    <col min="11773" max="11773" width="11.5703125" style="6" customWidth="1"/>
    <col min="11774" max="11774" width="9.140625" style="6"/>
    <col min="11775" max="11775" width="9.7109375" style="6" customWidth="1"/>
    <col min="11776" max="11776" width="8.5703125" style="6" customWidth="1"/>
    <col min="11777" max="11778" width="0" style="6" hidden="1" customWidth="1"/>
    <col min="11779" max="11779" width="8.28515625" style="6" customWidth="1"/>
    <col min="11780" max="11780" width="11.85546875" style="6" customWidth="1"/>
    <col min="11781" max="11781" width="11.42578125" style="6" customWidth="1"/>
    <col min="11782" max="11782" width="9.140625" style="6"/>
    <col min="11783" max="11783" width="7.85546875" style="6" customWidth="1"/>
    <col min="11784" max="12021" width="9.140625" style="6"/>
    <col min="12022" max="12022" width="14.85546875" style="6" customWidth="1"/>
    <col min="12023" max="12023" width="15.85546875" style="6" customWidth="1"/>
    <col min="12024" max="12024" width="9.85546875" style="6" customWidth="1"/>
    <col min="12025" max="12025" width="6.85546875" style="6" customWidth="1"/>
    <col min="12026" max="12027" width="10.85546875" style="6" customWidth="1"/>
    <col min="12028" max="12028" width="5.7109375" style="6" customWidth="1"/>
    <col min="12029" max="12029" width="11.5703125" style="6" customWidth="1"/>
    <col min="12030" max="12030" width="9.140625" style="6"/>
    <col min="12031" max="12031" width="9.7109375" style="6" customWidth="1"/>
    <col min="12032" max="12032" width="8.5703125" style="6" customWidth="1"/>
    <col min="12033" max="12034" width="0" style="6" hidden="1" customWidth="1"/>
    <col min="12035" max="12035" width="8.28515625" style="6" customWidth="1"/>
    <col min="12036" max="12036" width="11.85546875" style="6" customWidth="1"/>
    <col min="12037" max="12037" width="11.42578125" style="6" customWidth="1"/>
    <col min="12038" max="12038" width="9.140625" style="6"/>
    <col min="12039" max="12039" width="7.85546875" style="6" customWidth="1"/>
    <col min="12040" max="12277" width="9.140625" style="6"/>
    <col min="12278" max="12278" width="14.85546875" style="6" customWidth="1"/>
    <col min="12279" max="12279" width="15.85546875" style="6" customWidth="1"/>
    <col min="12280" max="12280" width="9.85546875" style="6" customWidth="1"/>
    <col min="12281" max="12281" width="6.85546875" style="6" customWidth="1"/>
    <col min="12282" max="12283" width="10.85546875" style="6" customWidth="1"/>
    <col min="12284" max="12284" width="5.7109375" style="6" customWidth="1"/>
    <col min="12285" max="12285" width="11.5703125" style="6" customWidth="1"/>
    <col min="12286" max="12286" width="9.140625" style="6"/>
    <col min="12287" max="12287" width="9.7109375" style="6" customWidth="1"/>
    <col min="12288" max="12288" width="8.5703125" style="6" customWidth="1"/>
    <col min="12289" max="12290" width="0" style="6" hidden="1" customWidth="1"/>
    <col min="12291" max="12291" width="8.28515625" style="6" customWidth="1"/>
    <col min="12292" max="12292" width="11.85546875" style="6" customWidth="1"/>
    <col min="12293" max="12293" width="11.42578125" style="6" customWidth="1"/>
    <col min="12294" max="12294" width="9.140625" style="6"/>
    <col min="12295" max="12295" width="7.85546875" style="6" customWidth="1"/>
    <col min="12296" max="12533" width="9.140625" style="6"/>
    <col min="12534" max="12534" width="14.85546875" style="6" customWidth="1"/>
    <col min="12535" max="12535" width="15.85546875" style="6" customWidth="1"/>
    <col min="12536" max="12536" width="9.85546875" style="6" customWidth="1"/>
    <col min="12537" max="12537" width="6.85546875" style="6" customWidth="1"/>
    <col min="12538" max="12539" width="10.85546875" style="6" customWidth="1"/>
    <col min="12540" max="12540" width="5.7109375" style="6" customWidth="1"/>
    <col min="12541" max="12541" width="11.5703125" style="6" customWidth="1"/>
    <col min="12542" max="12542" width="9.140625" style="6"/>
    <col min="12543" max="12543" width="9.7109375" style="6" customWidth="1"/>
    <col min="12544" max="12544" width="8.5703125" style="6" customWidth="1"/>
    <col min="12545" max="12546" width="0" style="6" hidden="1" customWidth="1"/>
    <col min="12547" max="12547" width="8.28515625" style="6" customWidth="1"/>
    <col min="12548" max="12548" width="11.85546875" style="6" customWidth="1"/>
    <col min="12549" max="12549" width="11.42578125" style="6" customWidth="1"/>
    <col min="12550" max="12550" width="9.140625" style="6"/>
    <col min="12551" max="12551" width="7.85546875" style="6" customWidth="1"/>
    <col min="12552" max="12789" width="9.140625" style="6"/>
    <col min="12790" max="12790" width="14.85546875" style="6" customWidth="1"/>
    <col min="12791" max="12791" width="15.85546875" style="6" customWidth="1"/>
    <col min="12792" max="12792" width="9.85546875" style="6" customWidth="1"/>
    <col min="12793" max="12793" width="6.85546875" style="6" customWidth="1"/>
    <col min="12794" max="12795" width="10.85546875" style="6" customWidth="1"/>
    <col min="12796" max="12796" width="5.7109375" style="6" customWidth="1"/>
    <col min="12797" max="12797" width="11.5703125" style="6" customWidth="1"/>
    <col min="12798" max="12798" width="9.140625" style="6"/>
    <col min="12799" max="12799" width="9.7109375" style="6" customWidth="1"/>
    <col min="12800" max="12800" width="8.5703125" style="6" customWidth="1"/>
    <col min="12801" max="12802" width="0" style="6" hidden="1" customWidth="1"/>
    <col min="12803" max="12803" width="8.28515625" style="6" customWidth="1"/>
    <col min="12804" max="12804" width="11.85546875" style="6" customWidth="1"/>
    <col min="12805" max="12805" width="11.42578125" style="6" customWidth="1"/>
    <col min="12806" max="12806" width="9.140625" style="6"/>
    <col min="12807" max="12807" width="7.85546875" style="6" customWidth="1"/>
    <col min="12808" max="13045" width="9.140625" style="6"/>
    <col min="13046" max="13046" width="14.85546875" style="6" customWidth="1"/>
    <col min="13047" max="13047" width="15.85546875" style="6" customWidth="1"/>
    <col min="13048" max="13048" width="9.85546875" style="6" customWidth="1"/>
    <col min="13049" max="13049" width="6.85546875" style="6" customWidth="1"/>
    <col min="13050" max="13051" width="10.85546875" style="6" customWidth="1"/>
    <col min="13052" max="13052" width="5.7109375" style="6" customWidth="1"/>
    <col min="13053" max="13053" width="11.5703125" style="6" customWidth="1"/>
    <col min="13054" max="13054" width="9.140625" style="6"/>
    <col min="13055" max="13055" width="9.7109375" style="6" customWidth="1"/>
    <col min="13056" max="13056" width="8.5703125" style="6" customWidth="1"/>
    <col min="13057" max="13058" width="0" style="6" hidden="1" customWidth="1"/>
    <col min="13059" max="13059" width="8.28515625" style="6" customWidth="1"/>
    <col min="13060" max="13060" width="11.85546875" style="6" customWidth="1"/>
    <col min="13061" max="13061" width="11.42578125" style="6" customWidth="1"/>
    <col min="13062" max="13062" width="9.140625" style="6"/>
    <col min="13063" max="13063" width="7.85546875" style="6" customWidth="1"/>
    <col min="13064" max="13301" width="9.140625" style="6"/>
    <col min="13302" max="13302" width="14.85546875" style="6" customWidth="1"/>
    <col min="13303" max="13303" width="15.85546875" style="6" customWidth="1"/>
    <col min="13304" max="13304" width="9.85546875" style="6" customWidth="1"/>
    <col min="13305" max="13305" width="6.85546875" style="6" customWidth="1"/>
    <col min="13306" max="13307" width="10.85546875" style="6" customWidth="1"/>
    <col min="13308" max="13308" width="5.7109375" style="6" customWidth="1"/>
    <col min="13309" max="13309" width="11.5703125" style="6" customWidth="1"/>
    <col min="13310" max="13310" width="9.140625" style="6"/>
    <col min="13311" max="13311" width="9.7109375" style="6" customWidth="1"/>
    <col min="13312" max="13312" width="8.5703125" style="6" customWidth="1"/>
    <col min="13313" max="13314" width="0" style="6" hidden="1" customWidth="1"/>
    <col min="13315" max="13315" width="8.28515625" style="6" customWidth="1"/>
    <col min="13316" max="13316" width="11.85546875" style="6" customWidth="1"/>
    <col min="13317" max="13317" width="11.42578125" style="6" customWidth="1"/>
    <col min="13318" max="13318" width="9.140625" style="6"/>
    <col min="13319" max="13319" width="7.85546875" style="6" customWidth="1"/>
    <col min="13320" max="13557" width="9.140625" style="6"/>
    <col min="13558" max="13558" width="14.85546875" style="6" customWidth="1"/>
    <col min="13559" max="13559" width="15.85546875" style="6" customWidth="1"/>
    <col min="13560" max="13560" width="9.85546875" style="6" customWidth="1"/>
    <col min="13561" max="13561" width="6.85546875" style="6" customWidth="1"/>
    <col min="13562" max="13563" width="10.85546875" style="6" customWidth="1"/>
    <col min="13564" max="13564" width="5.7109375" style="6" customWidth="1"/>
    <col min="13565" max="13565" width="11.5703125" style="6" customWidth="1"/>
    <col min="13566" max="13566" width="9.140625" style="6"/>
    <col min="13567" max="13567" width="9.7109375" style="6" customWidth="1"/>
    <col min="13568" max="13568" width="8.5703125" style="6" customWidth="1"/>
    <col min="13569" max="13570" width="0" style="6" hidden="1" customWidth="1"/>
    <col min="13571" max="13571" width="8.28515625" style="6" customWidth="1"/>
    <col min="13572" max="13572" width="11.85546875" style="6" customWidth="1"/>
    <col min="13573" max="13573" width="11.42578125" style="6" customWidth="1"/>
    <col min="13574" max="13574" width="9.140625" style="6"/>
    <col min="13575" max="13575" width="7.85546875" style="6" customWidth="1"/>
    <col min="13576" max="13813" width="9.140625" style="6"/>
    <col min="13814" max="13814" width="14.85546875" style="6" customWidth="1"/>
    <col min="13815" max="13815" width="15.85546875" style="6" customWidth="1"/>
    <col min="13816" max="13816" width="9.85546875" style="6" customWidth="1"/>
    <col min="13817" max="13817" width="6.85546875" style="6" customWidth="1"/>
    <col min="13818" max="13819" width="10.85546875" style="6" customWidth="1"/>
    <col min="13820" max="13820" width="5.7109375" style="6" customWidth="1"/>
    <col min="13821" max="13821" width="11.5703125" style="6" customWidth="1"/>
    <col min="13822" max="13822" width="9.140625" style="6"/>
    <col min="13823" max="13823" width="9.7109375" style="6" customWidth="1"/>
    <col min="13824" max="13824" width="8.5703125" style="6" customWidth="1"/>
    <col min="13825" max="13826" width="0" style="6" hidden="1" customWidth="1"/>
    <col min="13827" max="13827" width="8.28515625" style="6" customWidth="1"/>
    <col min="13828" max="13828" width="11.85546875" style="6" customWidth="1"/>
    <col min="13829" max="13829" width="11.42578125" style="6" customWidth="1"/>
    <col min="13830" max="13830" width="9.140625" style="6"/>
    <col min="13831" max="13831" width="7.85546875" style="6" customWidth="1"/>
    <col min="13832" max="14069" width="9.140625" style="6"/>
    <col min="14070" max="14070" width="14.85546875" style="6" customWidth="1"/>
    <col min="14071" max="14071" width="15.85546875" style="6" customWidth="1"/>
    <col min="14072" max="14072" width="9.85546875" style="6" customWidth="1"/>
    <col min="14073" max="14073" width="6.85546875" style="6" customWidth="1"/>
    <col min="14074" max="14075" width="10.85546875" style="6" customWidth="1"/>
    <col min="14076" max="14076" width="5.7109375" style="6" customWidth="1"/>
    <col min="14077" max="14077" width="11.5703125" style="6" customWidth="1"/>
    <col min="14078" max="14078" width="9.140625" style="6"/>
    <col min="14079" max="14079" width="9.7109375" style="6" customWidth="1"/>
    <col min="14080" max="14080" width="8.5703125" style="6" customWidth="1"/>
    <col min="14081" max="14082" width="0" style="6" hidden="1" customWidth="1"/>
    <col min="14083" max="14083" width="8.28515625" style="6" customWidth="1"/>
    <col min="14084" max="14084" width="11.85546875" style="6" customWidth="1"/>
    <col min="14085" max="14085" width="11.42578125" style="6" customWidth="1"/>
    <col min="14086" max="14086" width="9.140625" style="6"/>
    <col min="14087" max="14087" width="7.85546875" style="6" customWidth="1"/>
    <col min="14088" max="14325" width="9.140625" style="6"/>
    <col min="14326" max="14326" width="14.85546875" style="6" customWidth="1"/>
    <col min="14327" max="14327" width="15.85546875" style="6" customWidth="1"/>
    <col min="14328" max="14328" width="9.85546875" style="6" customWidth="1"/>
    <col min="14329" max="14329" width="6.85546875" style="6" customWidth="1"/>
    <col min="14330" max="14331" width="10.85546875" style="6" customWidth="1"/>
    <col min="14332" max="14332" width="5.7109375" style="6" customWidth="1"/>
    <col min="14333" max="14333" width="11.5703125" style="6" customWidth="1"/>
    <col min="14334" max="14334" width="9.140625" style="6"/>
    <col min="14335" max="14335" width="9.7109375" style="6" customWidth="1"/>
    <col min="14336" max="14336" width="8.5703125" style="6" customWidth="1"/>
    <col min="14337" max="14338" width="0" style="6" hidden="1" customWidth="1"/>
    <col min="14339" max="14339" width="8.28515625" style="6" customWidth="1"/>
    <col min="14340" max="14340" width="11.85546875" style="6" customWidth="1"/>
    <col min="14341" max="14341" width="11.42578125" style="6" customWidth="1"/>
    <col min="14342" max="14342" width="9.140625" style="6"/>
    <col min="14343" max="14343" width="7.85546875" style="6" customWidth="1"/>
    <col min="14344" max="14581" width="9.140625" style="6"/>
    <col min="14582" max="14582" width="14.85546875" style="6" customWidth="1"/>
    <col min="14583" max="14583" width="15.85546875" style="6" customWidth="1"/>
    <col min="14584" max="14584" width="9.85546875" style="6" customWidth="1"/>
    <col min="14585" max="14585" width="6.85546875" style="6" customWidth="1"/>
    <col min="14586" max="14587" width="10.85546875" style="6" customWidth="1"/>
    <col min="14588" max="14588" width="5.7109375" style="6" customWidth="1"/>
    <col min="14589" max="14589" width="11.5703125" style="6" customWidth="1"/>
    <col min="14590" max="14590" width="9.140625" style="6"/>
    <col min="14591" max="14591" width="9.7109375" style="6" customWidth="1"/>
    <col min="14592" max="14592" width="8.5703125" style="6" customWidth="1"/>
    <col min="14593" max="14594" width="0" style="6" hidden="1" customWidth="1"/>
    <col min="14595" max="14595" width="8.28515625" style="6" customWidth="1"/>
    <col min="14596" max="14596" width="11.85546875" style="6" customWidth="1"/>
    <col min="14597" max="14597" width="11.42578125" style="6" customWidth="1"/>
    <col min="14598" max="14598" width="9.140625" style="6"/>
    <col min="14599" max="14599" width="7.85546875" style="6" customWidth="1"/>
    <col min="14600" max="14837" width="9.140625" style="6"/>
    <col min="14838" max="14838" width="14.85546875" style="6" customWidth="1"/>
    <col min="14839" max="14839" width="15.85546875" style="6" customWidth="1"/>
    <col min="14840" max="14840" width="9.85546875" style="6" customWidth="1"/>
    <col min="14841" max="14841" width="6.85546875" style="6" customWidth="1"/>
    <col min="14842" max="14843" width="10.85546875" style="6" customWidth="1"/>
    <col min="14844" max="14844" width="5.7109375" style="6" customWidth="1"/>
    <col min="14845" max="14845" width="11.5703125" style="6" customWidth="1"/>
    <col min="14846" max="14846" width="9.140625" style="6"/>
    <col min="14847" max="14847" width="9.7109375" style="6" customWidth="1"/>
    <col min="14848" max="14848" width="8.5703125" style="6" customWidth="1"/>
    <col min="14849" max="14850" width="0" style="6" hidden="1" customWidth="1"/>
    <col min="14851" max="14851" width="8.28515625" style="6" customWidth="1"/>
    <col min="14852" max="14852" width="11.85546875" style="6" customWidth="1"/>
    <col min="14853" max="14853" width="11.42578125" style="6" customWidth="1"/>
    <col min="14854" max="14854" width="9.140625" style="6"/>
    <col min="14855" max="14855" width="7.85546875" style="6" customWidth="1"/>
    <col min="14856" max="15093" width="9.140625" style="6"/>
    <col min="15094" max="15094" width="14.85546875" style="6" customWidth="1"/>
    <col min="15095" max="15095" width="15.85546875" style="6" customWidth="1"/>
    <col min="15096" max="15096" width="9.85546875" style="6" customWidth="1"/>
    <col min="15097" max="15097" width="6.85546875" style="6" customWidth="1"/>
    <col min="15098" max="15099" width="10.85546875" style="6" customWidth="1"/>
    <col min="15100" max="15100" width="5.7109375" style="6" customWidth="1"/>
    <col min="15101" max="15101" width="11.5703125" style="6" customWidth="1"/>
    <col min="15102" max="15102" width="9.140625" style="6"/>
    <col min="15103" max="15103" width="9.7109375" style="6" customWidth="1"/>
    <col min="15104" max="15104" width="8.5703125" style="6" customWidth="1"/>
    <col min="15105" max="15106" width="0" style="6" hidden="1" customWidth="1"/>
    <col min="15107" max="15107" width="8.28515625" style="6" customWidth="1"/>
    <col min="15108" max="15108" width="11.85546875" style="6" customWidth="1"/>
    <col min="15109" max="15109" width="11.42578125" style="6" customWidth="1"/>
    <col min="15110" max="15110" width="9.140625" style="6"/>
    <col min="15111" max="15111" width="7.85546875" style="6" customWidth="1"/>
    <col min="15112" max="15349" width="9.140625" style="6"/>
    <col min="15350" max="15350" width="14.85546875" style="6" customWidth="1"/>
    <col min="15351" max="15351" width="15.85546875" style="6" customWidth="1"/>
    <col min="15352" max="15352" width="9.85546875" style="6" customWidth="1"/>
    <col min="15353" max="15353" width="6.85546875" style="6" customWidth="1"/>
    <col min="15354" max="15355" width="10.85546875" style="6" customWidth="1"/>
    <col min="15356" max="15356" width="5.7109375" style="6" customWidth="1"/>
    <col min="15357" max="15357" width="11.5703125" style="6" customWidth="1"/>
    <col min="15358" max="15358" width="9.140625" style="6"/>
    <col min="15359" max="15359" width="9.7109375" style="6" customWidth="1"/>
    <col min="15360" max="15360" width="8.5703125" style="6" customWidth="1"/>
    <col min="15361" max="15362" width="0" style="6" hidden="1" customWidth="1"/>
    <col min="15363" max="15363" width="8.28515625" style="6" customWidth="1"/>
    <col min="15364" max="15364" width="11.85546875" style="6" customWidth="1"/>
    <col min="15365" max="15365" width="11.42578125" style="6" customWidth="1"/>
    <col min="15366" max="15366" width="9.140625" style="6"/>
    <col min="15367" max="15367" width="7.85546875" style="6" customWidth="1"/>
    <col min="15368" max="15605" width="9.140625" style="6"/>
    <col min="15606" max="15606" width="14.85546875" style="6" customWidth="1"/>
    <col min="15607" max="15607" width="15.85546875" style="6" customWidth="1"/>
    <col min="15608" max="15608" width="9.85546875" style="6" customWidth="1"/>
    <col min="15609" max="15609" width="6.85546875" style="6" customWidth="1"/>
    <col min="15610" max="15611" width="10.85546875" style="6" customWidth="1"/>
    <col min="15612" max="15612" width="5.7109375" style="6" customWidth="1"/>
    <col min="15613" max="15613" width="11.5703125" style="6" customWidth="1"/>
    <col min="15614" max="15614" width="9.140625" style="6"/>
    <col min="15615" max="15615" width="9.7109375" style="6" customWidth="1"/>
    <col min="15616" max="15616" width="8.5703125" style="6" customWidth="1"/>
    <col min="15617" max="15618" width="0" style="6" hidden="1" customWidth="1"/>
    <col min="15619" max="15619" width="8.28515625" style="6" customWidth="1"/>
    <col min="15620" max="15620" width="11.85546875" style="6" customWidth="1"/>
    <col min="15621" max="15621" width="11.42578125" style="6" customWidth="1"/>
    <col min="15622" max="15622" width="9.140625" style="6"/>
    <col min="15623" max="15623" width="7.85546875" style="6" customWidth="1"/>
    <col min="15624" max="15861" width="9.140625" style="6"/>
    <col min="15862" max="15862" width="14.85546875" style="6" customWidth="1"/>
    <col min="15863" max="15863" width="15.85546875" style="6" customWidth="1"/>
    <col min="15864" max="15864" width="9.85546875" style="6" customWidth="1"/>
    <col min="15865" max="15865" width="6.85546875" style="6" customWidth="1"/>
    <col min="15866" max="15867" width="10.85546875" style="6" customWidth="1"/>
    <col min="15868" max="15868" width="5.7109375" style="6" customWidth="1"/>
    <col min="15869" max="15869" width="11.5703125" style="6" customWidth="1"/>
    <col min="15870" max="15870" width="9.140625" style="6"/>
    <col min="15871" max="15871" width="9.7109375" style="6" customWidth="1"/>
    <col min="15872" max="15872" width="8.5703125" style="6" customWidth="1"/>
    <col min="15873" max="15874" width="0" style="6" hidden="1" customWidth="1"/>
    <col min="15875" max="15875" width="8.28515625" style="6" customWidth="1"/>
    <col min="15876" max="15876" width="11.85546875" style="6" customWidth="1"/>
    <col min="15877" max="15877" width="11.42578125" style="6" customWidth="1"/>
    <col min="15878" max="15878" width="9.140625" style="6"/>
    <col min="15879" max="15879" width="7.85546875" style="6" customWidth="1"/>
    <col min="15880" max="16117" width="9.140625" style="6"/>
    <col min="16118" max="16118" width="14.85546875" style="6" customWidth="1"/>
    <col min="16119" max="16119" width="15.85546875" style="6" customWidth="1"/>
    <col min="16120" max="16120" width="9.85546875" style="6" customWidth="1"/>
    <col min="16121" max="16121" width="6.85546875" style="6" customWidth="1"/>
    <col min="16122" max="16123" width="10.85546875" style="6" customWidth="1"/>
    <col min="16124" max="16124" width="5.7109375" style="6" customWidth="1"/>
    <col min="16125" max="16125" width="11.5703125" style="6" customWidth="1"/>
    <col min="16126" max="16126" width="9.140625" style="6"/>
    <col min="16127" max="16127" width="9.7109375" style="6" customWidth="1"/>
    <col min="16128" max="16128" width="8.5703125" style="6" customWidth="1"/>
    <col min="16129" max="16130" width="0" style="6" hidden="1" customWidth="1"/>
    <col min="16131" max="16131" width="8.28515625" style="6" customWidth="1"/>
    <col min="16132" max="16132" width="11.85546875" style="6" customWidth="1"/>
    <col min="16133" max="16133" width="11.42578125" style="6" customWidth="1"/>
    <col min="16134" max="16134" width="9.140625" style="6"/>
    <col min="16135" max="16135" width="7.85546875" style="6" customWidth="1"/>
    <col min="16136" max="16384" width="9.140625" style="6"/>
  </cols>
  <sheetData>
    <row r="1" spans="2:20" s="9" customFormat="1" x14ac:dyDescent="0.25">
      <c r="D1" s="9" t="s">
        <v>67</v>
      </c>
      <c r="E1" s="39" t="s">
        <v>68</v>
      </c>
      <c r="N1" s="18"/>
      <c r="O1" s="18"/>
      <c r="T1" s="37"/>
    </row>
    <row r="2" spans="2:20" s="9" customFormat="1" x14ac:dyDescent="0.25">
      <c r="B2" s="2" t="s">
        <v>43</v>
      </c>
      <c r="C2" s="47"/>
      <c r="D2" s="3"/>
      <c r="E2" s="3"/>
      <c r="F2" s="10"/>
      <c r="G2" s="10"/>
      <c r="H2" s="10"/>
      <c r="I2" s="10"/>
      <c r="J2" s="10"/>
      <c r="K2" s="48"/>
      <c r="L2" s="2" t="s">
        <v>9</v>
      </c>
      <c r="M2" s="15"/>
      <c r="N2" s="15"/>
      <c r="O2" s="75"/>
      <c r="T2" s="37"/>
    </row>
    <row r="3" spans="2:20" s="9" customFormat="1" x14ac:dyDescent="0.25">
      <c r="B3" s="4"/>
      <c r="C3" s="1"/>
      <c r="D3" s="1"/>
      <c r="E3" s="1"/>
      <c r="F3" s="6"/>
      <c r="G3" s="6"/>
      <c r="H3" s="6"/>
      <c r="I3" s="6"/>
      <c r="J3" s="6"/>
      <c r="K3" s="49"/>
      <c r="L3" s="4"/>
      <c r="M3" s="17"/>
      <c r="N3" s="17"/>
      <c r="O3" s="83" t="s">
        <v>69</v>
      </c>
      <c r="T3" s="37"/>
    </row>
    <row r="4" spans="2:20" s="9" customFormat="1" x14ac:dyDescent="0.25">
      <c r="B4" s="5" t="s">
        <v>6</v>
      </c>
      <c r="C4" s="6"/>
      <c r="D4" s="6"/>
      <c r="E4" s="38">
        <v>70</v>
      </c>
      <c r="F4" s="6" t="s">
        <v>51</v>
      </c>
      <c r="G4" s="6"/>
      <c r="H4" s="6"/>
      <c r="I4" s="6"/>
      <c r="J4" s="6"/>
      <c r="K4" s="49"/>
      <c r="L4" s="4"/>
      <c r="M4" s="17"/>
      <c r="N4" s="17"/>
      <c r="O4" s="83" t="s">
        <v>55</v>
      </c>
      <c r="T4" s="37"/>
    </row>
    <row r="5" spans="2:20" s="9" customFormat="1" x14ac:dyDescent="0.25">
      <c r="B5" s="5" t="s">
        <v>0</v>
      </c>
      <c r="C5" s="6"/>
      <c r="D5" s="6"/>
      <c r="E5" s="39" t="s">
        <v>33</v>
      </c>
      <c r="F5" s="6" t="s">
        <v>30</v>
      </c>
      <c r="G5" s="6"/>
      <c r="H5" s="6"/>
      <c r="I5" s="6"/>
      <c r="J5" s="6"/>
      <c r="K5" s="49"/>
      <c r="L5" s="4"/>
      <c r="M5" s="17"/>
      <c r="N5" s="17"/>
      <c r="O5" s="82">
        <v>42735</v>
      </c>
      <c r="T5" s="37"/>
    </row>
    <row r="6" spans="2:20" s="9" customFormat="1" x14ac:dyDescent="0.25">
      <c r="B6" s="5" t="s">
        <v>10</v>
      </c>
      <c r="C6" s="6"/>
      <c r="D6" s="6"/>
      <c r="E6" s="40">
        <v>40000</v>
      </c>
      <c r="F6" s="6" t="s">
        <v>50</v>
      </c>
      <c r="G6" s="6"/>
      <c r="H6" s="6"/>
      <c r="I6" s="6"/>
      <c r="J6" s="6"/>
      <c r="K6" s="49"/>
      <c r="L6" s="4" t="s">
        <v>34</v>
      </c>
      <c r="M6" s="6"/>
      <c r="N6" s="6"/>
      <c r="O6" s="43">
        <v>2500000000</v>
      </c>
      <c r="T6" s="37"/>
    </row>
    <row r="7" spans="2:20" s="9" customFormat="1" x14ac:dyDescent="0.25">
      <c r="B7" s="5" t="s">
        <v>11</v>
      </c>
      <c r="C7" s="6"/>
      <c r="D7" s="6"/>
      <c r="E7" s="40">
        <v>5000</v>
      </c>
      <c r="F7" s="6" t="s">
        <v>35</v>
      </c>
      <c r="G7" s="6"/>
      <c r="H7" s="6"/>
      <c r="I7" s="6"/>
      <c r="J7" s="6"/>
      <c r="K7" s="49"/>
      <c r="L7" s="4" t="s">
        <v>20</v>
      </c>
      <c r="M7" s="6"/>
      <c r="N7" s="6"/>
      <c r="O7" s="43">
        <v>500000000</v>
      </c>
      <c r="T7" s="37"/>
    </row>
    <row r="8" spans="2:20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49"/>
      <c r="L8" s="4" t="s">
        <v>19</v>
      </c>
      <c r="M8" s="6"/>
      <c r="N8" s="6"/>
      <c r="O8" s="43">
        <v>50000000</v>
      </c>
      <c r="T8" s="37"/>
    </row>
    <row r="9" spans="2:20" s="9" customFormat="1" x14ac:dyDescent="0.25">
      <c r="B9" s="5" t="s">
        <v>16</v>
      </c>
      <c r="C9" s="6"/>
      <c r="D9" s="6"/>
      <c r="E9" s="40">
        <v>40</v>
      </c>
      <c r="F9" s="6" t="s">
        <v>1</v>
      </c>
      <c r="G9" s="6"/>
      <c r="H9" s="6"/>
      <c r="I9" s="6"/>
      <c r="J9" s="6"/>
      <c r="K9" s="49"/>
      <c r="L9" s="4" t="s">
        <v>14</v>
      </c>
      <c r="M9" s="6"/>
      <c r="N9" s="6"/>
      <c r="O9" s="78" t="s">
        <v>36</v>
      </c>
      <c r="T9" s="37"/>
    </row>
    <row r="10" spans="2:20" s="9" customFormat="1" x14ac:dyDescent="0.25">
      <c r="B10" s="5" t="s">
        <v>7</v>
      </c>
      <c r="C10" s="6"/>
      <c r="D10" s="6"/>
      <c r="E10" s="41">
        <v>0.05</v>
      </c>
      <c r="F10" s="6" t="s">
        <v>31</v>
      </c>
      <c r="G10" s="6"/>
      <c r="H10" s="6"/>
      <c r="I10" s="6"/>
      <c r="J10" s="6"/>
      <c r="K10" s="49"/>
      <c r="L10" s="76" t="s">
        <v>39</v>
      </c>
      <c r="M10" s="8"/>
      <c r="N10" s="8"/>
      <c r="O10" s="44">
        <v>150000000</v>
      </c>
      <c r="T10" s="37"/>
    </row>
    <row r="11" spans="2:20" s="9" customFormat="1" x14ac:dyDescent="0.25">
      <c r="B11" s="5" t="s">
        <v>12</v>
      </c>
      <c r="C11" s="6"/>
      <c r="D11" s="6"/>
      <c r="E11" s="41">
        <v>0.1</v>
      </c>
      <c r="F11" s="6" t="s">
        <v>31</v>
      </c>
      <c r="G11" s="6"/>
      <c r="H11" s="6"/>
      <c r="I11" s="6"/>
      <c r="J11" s="6"/>
      <c r="K11" s="49"/>
      <c r="T11" s="37"/>
    </row>
    <row r="12" spans="2:20" s="9" customFormat="1" x14ac:dyDescent="0.25">
      <c r="B12" s="5" t="s">
        <v>13</v>
      </c>
      <c r="C12" s="6"/>
      <c r="D12" s="6"/>
      <c r="E12" s="41">
        <v>0.03</v>
      </c>
      <c r="F12" s="6" t="s">
        <v>31</v>
      </c>
      <c r="G12" s="6"/>
      <c r="H12" s="6"/>
      <c r="I12" s="6"/>
      <c r="J12" s="6"/>
      <c r="K12" s="49"/>
      <c r="L12" s="77" t="s">
        <v>46</v>
      </c>
      <c r="M12" s="10"/>
      <c r="N12" s="10"/>
      <c r="O12" s="45">
        <v>0.1</v>
      </c>
      <c r="T12" s="37"/>
    </row>
    <row r="13" spans="2:20" s="9" customFormat="1" x14ac:dyDescent="0.25">
      <c r="B13" s="5" t="s">
        <v>17</v>
      </c>
      <c r="C13" s="6"/>
      <c r="D13" s="6"/>
      <c r="E13" s="41">
        <v>0.3</v>
      </c>
      <c r="F13" s="6"/>
      <c r="G13" s="6"/>
      <c r="H13" s="6"/>
      <c r="I13" s="6"/>
      <c r="J13" s="6"/>
      <c r="K13" s="49"/>
      <c r="L13" s="76" t="s">
        <v>21</v>
      </c>
      <c r="M13" s="8"/>
      <c r="N13" s="8"/>
      <c r="O13" s="46">
        <v>0</v>
      </c>
      <c r="T13" s="37"/>
    </row>
    <row r="14" spans="2:20" s="9" customFormat="1" x14ac:dyDescent="0.25">
      <c r="B14" s="5" t="s">
        <v>18</v>
      </c>
      <c r="C14" s="6"/>
      <c r="D14" s="6"/>
      <c r="E14" s="41">
        <v>0</v>
      </c>
      <c r="F14" s="6"/>
      <c r="G14" s="6"/>
      <c r="H14" s="6"/>
      <c r="I14" s="6"/>
      <c r="J14" s="6"/>
      <c r="K14" s="49"/>
      <c r="N14" s="18"/>
      <c r="O14" s="98" t="s">
        <v>69</v>
      </c>
      <c r="T14" s="37"/>
    </row>
    <row r="15" spans="2:20" s="9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49"/>
      <c r="N15" s="18"/>
      <c r="O15" s="98" t="s">
        <v>55</v>
      </c>
      <c r="T15" s="37"/>
    </row>
    <row r="16" spans="2:20" s="9" customFormat="1" x14ac:dyDescent="0.25">
      <c r="B16" s="5" t="s">
        <v>5</v>
      </c>
      <c r="C16" s="6"/>
      <c r="D16" s="6"/>
      <c r="E16" s="41">
        <v>0.02</v>
      </c>
      <c r="F16" s="6" t="s">
        <v>32</v>
      </c>
      <c r="G16" s="6"/>
      <c r="H16" s="6"/>
      <c r="I16" s="6"/>
      <c r="J16" s="6"/>
      <c r="K16" s="49"/>
      <c r="N16" s="18"/>
      <c r="O16" s="99">
        <v>42735</v>
      </c>
      <c r="T16" s="37"/>
    </row>
    <row r="17" spans="1:27" s="9" customFormat="1" x14ac:dyDescent="0.25">
      <c r="B17" s="5" t="s">
        <v>52</v>
      </c>
      <c r="C17" s="6"/>
      <c r="D17" s="1"/>
      <c r="E17" s="42">
        <v>1200</v>
      </c>
      <c r="F17" s="6" t="s">
        <v>53</v>
      </c>
      <c r="G17" s="6"/>
      <c r="H17" s="6"/>
      <c r="I17" s="6"/>
      <c r="J17" s="6"/>
      <c r="K17" s="49"/>
      <c r="N17" s="9" t="s">
        <v>27</v>
      </c>
      <c r="O17" s="37">
        <f>T26</f>
        <v>378123175.0487166</v>
      </c>
      <c r="T17" s="37"/>
    </row>
    <row r="18" spans="1:27" s="9" customFormat="1" x14ac:dyDescent="0.25">
      <c r="B18" s="5" t="s">
        <v>2</v>
      </c>
      <c r="C18" s="6"/>
      <c r="D18" s="6"/>
      <c r="E18" s="41">
        <v>1</v>
      </c>
      <c r="F18" s="6" t="s">
        <v>54</v>
      </c>
      <c r="G18" s="6"/>
      <c r="H18" s="6"/>
      <c r="I18" s="6"/>
      <c r="J18" s="6"/>
      <c r="K18" s="49"/>
      <c r="N18" s="9" t="s">
        <v>28</v>
      </c>
      <c r="O18" s="33">
        <f>O6+O7+O8-O10-N26-P26-Q26</f>
        <v>9116081.290678978</v>
      </c>
      <c r="P18" s="105"/>
      <c r="T18" s="37"/>
    </row>
    <row r="19" spans="1:27" s="9" customFormat="1" x14ac:dyDescent="0.25">
      <c r="B19" s="5" t="s">
        <v>3</v>
      </c>
      <c r="C19" s="6"/>
      <c r="D19" s="6"/>
      <c r="E19" s="79" t="s">
        <v>49</v>
      </c>
      <c r="F19" s="6"/>
      <c r="G19" s="6"/>
      <c r="H19" s="6"/>
      <c r="I19" s="6"/>
      <c r="J19" s="6"/>
      <c r="K19" s="49"/>
      <c r="N19" s="11" t="s">
        <v>37</v>
      </c>
      <c r="O19" s="97">
        <f>SUM(O17:O18)</f>
        <v>387239256.33939558</v>
      </c>
      <c r="P19" s="6"/>
      <c r="T19" s="37"/>
    </row>
    <row r="20" spans="1:27" s="9" customFormat="1" x14ac:dyDescent="0.25">
      <c r="B20" s="7" t="s">
        <v>8</v>
      </c>
      <c r="C20" s="8"/>
      <c r="D20" s="8"/>
      <c r="E20" s="80">
        <v>0</v>
      </c>
      <c r="F20" s="8" t="s">
        <v>31</v>
      </c>
      <c r="G20" s="8"/>
      <c r="H20" s="8"/>
      <c r="I20" s="8"/>
      <c r="J20" s="8"/>
      <c r="K20" s="50"/>
      <c r="N20" s="18"/>
      <c r="O20" s="18"/>
    </row>
    <row r="21" spans="1:27" s="9" customFormat="1" x14ac:dyDescent="0.25">
      <c r="B21" s="6"/>
      <c r="C21" s="6"/>
      <c r="D21" s="6"/>
      <c r="E21" s="21"/>
      <c r="N21" s="18"/>
      <c r="O21" s="18"/>
      <c r="U21" s="37"/>
      <c r="W21" s="37"/>
    </row>
    <row r="22" spans="1:27" s="9" customFormat="1" x14ac:dyDescent="0.25"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5"/>
      <c r="O22" s="15"/>
      <c r="P22" s="10"/>
      <c r="Q22" s="10"/>
      <c r="R22" s="10"/>
      <c r="S22" s="10"/>
      <c r="T22" s="48"/>
    </row>
    <row r="23" spans="1:27" s="9" customFormat="1" ht="16.5" x14ac:dyDescent="0.25">
      <c r="B23" s="16" t="s">
        <v>4</v>
      </c>
      <c r="C23" s="22"/>
      <c r="D23" s="22"/>
      <c r="E23" s="22"/>
      <c r="F23" s="22"/>
      <c r="G23" s="22"/>
      <c r="H23" s="22"/>
      <c r="I23" s="22"/>
      <c r="J23" s="22"/>
      <c r="K23" s="6"/>
      <c r="L23" s="6"/>
      <c r="M23" s="6"/>
      <c r="N23" s="17"/>
      <c r="O23" s="17"/>
      <c r="P23" s="6"/>
      <c r="Q23" s="6"/>
      <c r="R23" s="6"/>
      <c r="S23" s="6"/>
      <c r="T23" s="49"/>
      <c r="V23" s="25"/>
      <c r="AA23" s="25"/>
    </row>
    <row r="24" spans="1:27" s="9" customFormat="1" x14ac:dyDescent="0.25">
      <c r="B24" s="12"/>
      <c r="C24" s="11"/>
      <c r="D24" s="100" t="s">
        <v>65</v>
      </c>
      <c r="E24" s="26" t="s">
        <v>22</v>
      </c>
      <c r="F24" s="26" t="s">
        <v>22</v>
      </c>
      <c r="G24" s="26" t="s">
        <v>22</v>
      </c>
      <c r="H24" s="26"/>
      <c r="I24" s="26"/>
      <c r="J24" s="26"/>
      <c r="K24" s="26" t="s">
        <v>22</v>
      </c>
      <c r="L24" s="26" t="s">
        <v>22</v>
      </c>
      <c r="M24" s="26" t="s">
        <v>22</v>
      </c>
      <c r="N24" s="26" t="s">
        <v>22</v>
      </c>
      <c r="O24" s="26" t="s">
        <v>22</v>
      </c>
      <c r="P24" s="26" t="s">
        <v>22</v>
      </c>
      <c r="Q24" s="56" t="s">
        <v>22</v>
      </c>
      <c r="R24" s="26" t="s">
        <v>22</v>
      </c>
      <c r="S24" s="26" t="s">
        <v>22</v>
      </c>
      <c r="T24" s="85" t="s">
        <v>22</v>
      </c>
    </row>
    <row r="25" spans="1:27" s="29" customFormat="1" ht="40.5" x14ac:dyDescent="0.25">
      <c r="A25" s="13"/>
      <c r="B25" s="23" t="s">
        <v>47</v>
      </c>
      <c r="C25" s="93" t="s">
        <v>48</v>
      </c>
      <c r="D25" s="93" t="s">
        <v>15</v>
      </c>
      <c r="E25" s="93" t="s">
        <v>56</v>
      </c>
      <c r="F25" s="93" t="s">
        <v>66</v>
      </c>
      <c r="G25" s="93" t="s">
        <v>58</v>
      </c>
      <c r="H25" s="93" t="s">
        <v>23</v>
      </c>
      <c r="I25" s="93" t="s">
        <v>57</v>
      </c>
      <c r="J25" s="93" t="s">
        <v>24</v>
      </c>
      <c r="K25" s="93" t="s">
        <v>59</v>
      </c>
      <c r="L25" s="93" t="s">
        <v>60</v>
      </c>
      <c r="M25" s="93" t="s">
        <v>25</v>
      </c>
      <c r="N25" s="93" t="s">
        <v>61</v>
      </c>
      <c r="O25" s="93" t="s">
        <v>41</v>
      </c>
      <c r="P25" s="93" t="s">
        <v>26</v>
      </c>
      <c r="Q25" s="103" t="s">
        <v>38</v>
      </c>
      <c r="R25" s="93" t="s">
        <v>62</v>
      </c>
      <c r="S25" s="93" t="s">
        <v>63</v>
      </c>
      <c r="T25" s="104" t="s">
        <v>64</v>
      </c>
    </row>
    <row r="26" spans="1:27" s="29" customFormat="1" x14ac:dyDescent="0.25">
      <c r="A26" s="13"/>
      <c r="B26" s="102">
        <v>0</v>
      </c>
      <c r="C26" s="56"/>
      <c r="D26" s="26"/>
      <c r="E26" s="26"/>
      <c r="F26" s="26"/>
      <c r="G26" s="73">
        <f>$E$7</f>
        <v>5000</v>
      </c>
      <c r="H26" s="26"/>
      <c r="I26" s="26"/>
      <c r="J26" s="26"/>
      <c r="K26" s="27"/>
      <c r="L26" s="28"/>
      <c r="M26" s="34">
        <f xml:space="preserve"> SUM( K27:M27 ) / ( 1 + $E$12 )</f>
        <v>2628076289.7357464</v>
      </c>
      <c r="N26" s="34">
        <f xml:space="preserve"> M26</f>
        <v>2628076289.7357464</v>
      </c>
      <c r="O26" s="34"/>
      <c r="P26" s="34">
        <f t="shared" ref="P26:P66" si="0" xml:space="preserve"> $O$12 * M26</f>
        <v>262807628.97357464</v>
      </c>
      <c r="Q26" s="34">
        <f t="shared" ref="Q26:Q66" si="1">+$O$13*P26</f>
        <v>0</v>
      </c>
      <c r="R26" s="34"/>
      <c r="S26" s="30"/>
      <c r="T26" s="86">
        <f xml:space="preserve"> SUM( S27:T27 ) / ( 1 + $E$11 )</f>
        <v>378123175.0487166</v>
      </c>
      <c r="U26" s="30"/>
      <c r="X26" s="31"/>
      <c r="Y26" s="31"/>
      <c r="Z26" s="30"/>
    </row>
    <row r="27" spans="1:27" x14ac:dyDescent="0.25">
      <c r="B27" s="24">
        <f t="shared" ref="B27:C66" si="2">B26+1</f>
        <v>1</v>
      </c>
      <c r="C27" s="94">
        <v>2017</v>
      </c>
      <c r="D27" s="95">
        <f>E4</f>
        <v>70</v>
      </c>
      <c r="E27" s="71">
        <f xml:space="preserve"> $E$6</f>
        <v>40000</v>
      </c>
      <c r="F27" s="71">
        <f xml:space="preserve"> $E$17</f>
        <v>1200</v>
      </c>
      <c r="G27" s="35">
        <f t="shared" ref="G27:G66" si="3" xml:space="preserve"> G26 * ( 1 - J27 )</f>
        <v>4904</v>
      </c>
      <c r="H27" s="72">
        <f xml:space="preserve"> VLOOKUP( $D27, 'Mortality table'!$A$2:$B$111, 2, 0 ) * $E$18</f>
        <v>1.9199999999999998E-2</v>
      </c>
      <c r="I27" s="36">
        <f xml:space="preserve"> 1</f>
        <v>1</v>
      </c>
      <c r="J27" s="36">
        <f xml:space="preserve"> H27 * I27</f>
        <v>1.9199999999999998E-2</v>
      </c>
      <c r="K27" s="34">
        <f t="shared" ref="K27:K66" si="4" xml:space="preserve"> E27 * $G27</f>
        <v>196160000</v>
      </c>
      <c r="L27" s="34">
        <f t="shared" ref="L27:L66" si="5" xml:space="preserve"> F27 * $G27</f>
        <v>5884800</v>
      </c>
      <c r="M27" s="34">
        <f t="shared" ref="M27:M65" si="6" xml:space="preserve"> SUM( K28:M28 ) / ( 1 + $E$12 )</f>
        <v>2504873778.4278188</v>
      </c>
      <c r="N27" s="34">
        <f t="shared" ref="N27:N66" si="7" xml:space="preserve"> M27</f>
        <v>2504873778.4278188</v>
      </c>
      <c r="O27" s="34">
        <f>( - K27 - L27 - ( N27 - N26 ) ) * ( 1 - $E$13 )</f>
        <v>-55189602.08445067</v>
      </c>
      <c r="P27" s="34">
        <f t="shared" si="0"/>
        <v>250487377.8427819</v>
      </c>
      <c r="Q27" s="34">
        <f t="shared" si="1"/>
        <v>0</v>
      </c>
      <c r="R27" s="34">
        <f xml:space="preserve"> ( M26 + P26 + Q26 ) * $E$10 * ( 1 - $E$13 )</f>
        <v>101180937.15482622</v>
      </c>
      <c r="S27" s="34">
        <f xml:space="preserve"> O27 + R27 - ( P27 + Q27 - P26 - Q26 )</f>
        <v>58311586.201168291</v>
      </c>
      <c r="T27" s="87">
        <f xml:space="preserve"> SUM( S28:T28 ) / ( 1 + $E$11 )</f>
        <v>357623906.35242003</v>
      </c>
      <c r="U27" s="30"/>
      <c r="V27" s="32"/>
      <c r="X27" s="31"/>
      <c r="Y27" s="31"/>
      <c r="Z27" s="30"/>
      <c r="AA27" s="33"/>
    </row>
    <row r="28" spans="1:27" x14ac:dyDescent="0.25">
      <c r="B28" s="24">
        <f t="shared" si="2"/>
        <v>2</v>
      </c>
      <c r="C28" s="95">
        <f t="shared" si="2"/>
        <v>2018</v>
      </c>
      <c r="D28" s="95">
        <f>D27+B28-B27</f>
        <v>71</v>
      </c>
      <c r="E28" s="34">
        <f xml:space="preserve"> E27 * ( 1 + $E$16 )</f>
        <v>40800</v>
      </c>
      <c r="F28" s="34">
        <f xml:space="preserve"> F27 * ( 1 + $E$16 )</f>
        <v>1224</v>
      </c>
      <c r="G28" s="35">
        <f t="shared" si="3"/>
        <v>4801.0159999999996</v>
      </c>
      <c r="H28" s="36">
        <f xml:space="preserve"> VLOOKUP( $D28, 'Mortality table'!$A$2:$B$111, 2, 0 ) * $E$18</f>
        <v>2.1000000000000001E-2</v>
      </c>
      <c r="I28" s="36">
        <f xml:space="preserve"> I27 * ( 1 - $E$20 )</f>
        <v>1</v>
      </c>
      <c r="J28" s="36">
        <f t="shared" ref="J28:J66" si="8" xml:space="preserve"> H28 * I28</f>
        <v>2.1000000000000001E-2</v>
      </c>
      <c r="K28" s="34">
        <f t="shared" si="4"/>
        <v>195881452.79999998</v>
      </c>
      <c r="L28" s="34">
        <f t="shared" si="5"/>
        <v>5876443.5839999998</v>
      </c>
      <c r="M28" s="34">
        <f t="shared" si="6"/>
        <v>2378262095.3966537</v>
      </c>
      <c r="N28" s="34">
        <f t="shared" si="7"/>
        <v>2378262095.3966537</v>
      </c>
      <c r="O28" s="34">
        <f t="shared" ref="O28:O66" si="9">( - K28 - L28 - ( N28 - N27 ) ) * ( 1 - $E$13 )</f>
        <v>-52602349.346984394</v>
      </c>
      <c r="P28" s="34">
        <f t="shared" si="0"/>
        <v>237826209.53966537</v>
      </c>
      <c r="Q28" s="34">
        <f t="shared" si="1"/>
        <v>0</v>
      </c>
      <c r="R28" s="34">
        <f t="shared" ref="R28:R66" si="10" xml:space="preserve"> ( M27 + P27 + Q27 ) * $E$10 * ( 1 - $E$13 )</f>
        <v>96437640.469471037</v>
      </c>
      <c r="S28" s="34">
        <f t="shared" ref="S28:S66" si="11" xml:space="preserve"> O28 + R28 - ( P28 + Q28 - P27 - Q27 )</f>
        <v>56496459.425603174</v>
      </c>
      <c r="T28" s="87">
        <f t="shared" ref="T28:T65" si="12" xml:space="preserve"> SUM( S29:T29 ) / ( 1 + $E$11 )</f>
        <v>336889837.56205893</v>
      </c>
      <c r="U28" s="30"/>
      <c r="V28" s="32"/>
      <c r="X28" s="31"/>
      <c r="Y28" s="31"/>
      <c r="Z28" s="30"/>
      <c r="AA28" s="33"/>
    </row>
    <row r="29" spans="1:27" x14ac:dyDescent="0.25">
      <c r="B29" s="24">
        <f t="shared" si="2"/>
        <v>3</v>
      </c>
      <c r="C29" s="95">
        <f t="shared" ref="C29" si="13">C28+1</f>
        <v>2019</v>
      </c>
      <c r="D29" s="95">
        <f t="shared" ref="D29:D66" si="14">D28+B29-B28</f>
        <v>72</v>
      </c>
      <c r="E29" s="34">
        <f t="shared" ref="E29:E66" si="15" xml:space="preserve"> E28 * ( 1 + $E$16 )</f>
        <v>41616</v>
      </c>
      <c r="F29" s="34">
        <f t="shared" ref="F29:F66" si="16" xml:space="preserve"> F28 * ( 1 + $E$16 )</f>
        <v>1248.48</v>
      </c>
      <c r="G29" s="35">
        <f t="shared" si="3"/>
        <v>4689.6324287999996</v>
      </c>
      <c r="H29" s="36">
        <f xml:space="preserve"> VLOOKUP( $D29, 'Mortality table'!$A$2:$B$111, 2, 0 ) * $E$18</f>
        <v>2.3199999999999998E-2</v>
      </c>
      <c r="I29" s="36">
        <f t="shared" ref="I29:I66" si="17" xml:space="preserve"> I28 * ( 1 - $E$20 )</f>
        <v>1</v>
      </c>
      <c r="J29" s="36">
        <f t="shared" si="8"/>
        <v>2.3199999999999998E-2</v>
      </c>
      <c r="K29" s="34">
        <f t="shared" si="4"/>
        <v>195163743.15694079</v>
      </c>
      <c r="L29" s="34">
        <f t="shared" si="5"/>
        <v>5854912.294708224</v>
      </c>
      <c r="M29" s="34">
        <f t="shared" si="6"/>
        <v>2248591302.8069043</v>
      </c>
      <c r="N29" s="34">
        <f t="shared" si="7"/>
        <v>2248591302.8069043</v>
      </c>
      <c r="O29" s="34">
        <f t="shared" si="9"/>
        <v>-49943504.003329769</v>
      </c>
      <c r="P29" s="34">
        <f t="shared" si="0"/>
        <v>224859130.28069043</v>
      </c>
      <c r="Q29" s="34">
        <f t="shared" si="1"/>
        <v>0</v>
      </c>
      <c r="R29" s="34">
        <f t="shared" si="10"/>
        <v>91563090.672771156</v>
      </c>
      <c r="S29" s="34">
        <f t="shared" si="11"/>
        <v>54586665.928416327</v>
      </c>
      <c r="T29" s="87">
        <f t="shared" si="12"/>
        <v>315992155.38984853</v>
      </c>
      <c r="U29" s="30"/>
      <c r="V29" s="32"/>
      <c r="X29" s="31"/>
      <c r="Y29" s="31"/>
      <c r="Z29" s="30"/>
      <c r="AA29" s="33"/>
    </row>
    <row r="30" spans="1:27" x14ac:dyDescent="0.25">
      <c r="B30" s="24">
        <f t="shared" si="2"/>
        <v>4</v>
      </c>
      <c r="C30" s="95">
        <f t="shared" ref="C30" si="18">C29+1</f>
        <v>2020</v>
      </c>
      <c r="D30" s="95">
        <f t="shared" si="14"/>
        <v>73</v>
      </c>
      <c r="E30" s="34">
        <f t="shared" si="15"/>
        <v>42448.32</v>
      </c>
      <c r="F30" s="34">
        <f t="shared" si="16"/>
        <v>1273.4496000000001</v>
      </c>
      <c r="G30" s="35">
        <f t="shared" si="3"/>
        <v>4567.608193002623</v>
      </c>
      <c r="H30" s="36">
        <f xml:space="preserve"> VLOOKUP( $D30, 'Mortality table'!$A$2:$B$111, 2, 0 ) * $E$18</f>
        <v>2.6020000000000001E-2</v>
      </c>
      <c r="I30" s="36">
        <f t="shared" si="17"/>
        <v>1</v>
      </c>
      <c r="J30" s="36">
        <f t="shared" si="8"/>
        <v>2.6020000000000001E-2</v>
      </c>
      <c r="K30" s="34">
        <f t="shared" si="4"/>
        <v>193887294.21119711</v>
      </c>
      <c r="L30" s="34">
        <f t="shared" si="5"/>
        <v>5816618.8263359135</v>
      </c>
      <c r="M30" s="34">
        <f t="shared" si="6"/>
        <v>2116345128.8535783</v>
      </c>
      <c r="N30" s="34">
        <f t="shared" si="7"/>
        <v>2116345128.8535783</v>
      </c>
      <c r="O30" s="34">
        <f t="shared" si="9"/>
        <v>-47220417.358944915</v>
      </c>
      <c r="P30" s="34">
        <f t="shared" si="0"/>
        <v>211634512.88535786</v>
      </c>
      <c r="Q30" s="34">
        <f t="shared" si="1"/>
        <v>0</v>
      </c>
      <c r="R30" s="34">
        <f t="shared" si="10"/>
        <v>86570765.158065826</v>
      </c>
      <c r="S30" s="34">
        <f t="shared" si="11"/>
        <v>52574965.194453485</v>
      </c>
      <c r="T30" s="87">
        <f t="shared" si="12"/>
        <v>295016405.73437995</v>
      </c>
      <c r="U30" s="30"/>
      <c r="V30" s="32"/>
      <c r="X30" s="31"/>
      <c r="Y30" s="31"/>
      <c r="Z30" s="30"/>
      <c r="AA30" s="33"/>
    </row>
    <row r="31" spans="1:27" x14ac:dyDescent="0.25">
      <c r="B31" s="24">
        <f t="shared" si="2"/>
        <v>5</v>
      </c>
      <c r="C31" s="95">
        <f t="shared" ref="C31" si="19">C30+1</f>
        <v>2021</v>
      </c>
      <c r="D31" s="95">
        <f t="shared" si="14"/>
        <v>74</v>
      </c>
      <c r="E31" s="34">
        <f t="shared" si="15"/>
        <v>43297.286399999997</v>
      </c>
      <c r="F31" s="34">
        <f t="shared" si="16"/>
        <v>1298.9185920000002</v>
      </c>
      <c r="G31" s="35">
        <f t="shared" si="3"/>
        <v>4433.4118642922058</v>
      </c>
      <c r="H31" s="36">
        <f xml:space="preserve"> VLOOKUP( $D31, 'Mortality table'!$A$2:$B$111, 2, 0 ) * $E$18</f>
        <v>2.938E-2</v>
      </c>
      <c r="I31" s="36">
        <f t="shared" si="17"/>
        <v>1</v>
      </c>
      <c r="J31" s="36">
        <f t="shared" si="8"/>
        <v>2.938E-2</v>
      </c>
      <c r="K31" s="34">
        <f t="shared" si="4"/>
        <v>191954703.21741757</v>
      </c>
      <c r="L31" s="34">
        <f t="shared" si="5"/>
        <v>5758641.0965225277</v>
      </c>
      <c r="M31" s="34">
        <f t="shared" si="6"/>
        <v>1982122138.4052458</v>
      </c>
      <c r="N31" s="34">
        <f t="shared" si="7"/>
        <v>1982122138.4052458</v>
      </c>
      <c r="O31" s="34">
        <f t="shared" si="9"/>
        <v>-44443247.705925286</v>
      </c>
      <c r="P31" s="34">
        <f t="shared" si="0"/>
        <v>198212213.84052458</v>
      </c>
      <c r="Q31" s="34">
        <f t="shared" si="1"/>
        <v>0</v>
      </c>
      <c r="R31" s="34">
        <f t="shared" si="10"/>
        <v>81479287.460862771</v>
      </c>
      <c r="S31" s="34">
        <f t="shared" si="11"/>
        <v>50458338.799770758</v>
      </c>
      <c r="T31" s="87">
        <f t="shared" si="12"/>
        <v>274059707.50804716</v>
      </c>
      <c r="U31" s="30"/>
      <c r="V31" s="32"/>
      <c r="X31" s="31"/>
      <c r="Y31" s="31"/>
      <c r="Z31" s="30"/>
      <c r="AA31" s="33"/>
    </row>
    <row r="32" spans="1:27" x14ac:dyDescent="0.25">
      <c r="B32" s="24">
        <f t="shared" si="2"/>
        <v>6</v>
      </c>
      <c r="C32" s="95">
        <f t="shared" ref="C32" si="20">C31+1</f>
        <v>2022</v>
      </c>
      <c r="D32" s="95">
        <f t="shared" si="14"/>
        <v>75</v>
      </c>
      <c r="E32" s="34">
        <f t="shared" si="15"/>
        <v>44163.232127999996</v>
      </c>
      <c r="F32" s="34">
        <f t="shared" si="16"/>
        <v>1324.8969638400004</v>
      </c>
      <c r="G32" s="35">
        <f t="shared" si="3"/>
        <v>4286.5772633468478</v>
      </c>
      <c r="H32" s="36">
        <f xml:space="preserve"> VLOOKUP( $D32, 'Mortality table'!$A$2:$B$111, 2, 0 ) * $E$18</f>
        <v>3.3119999999999997E-2</v>
      </c>
      <c r="I32" s="36">
        <f t="shared" si="17"/>
        <v>1</v>
      </c>
      <c r="J32" s="36">
        <f t="shared" si="8"/>
        <v>3.3119999999999997E-2</v>
      </c>
      <c r="K32" s="34">
        <f t="shared" si="4"/>
        <v>189309106.71579382</v>
      </c>
      <c r="L32" s="34">
        <f t="shared" si="5"/>
        <v>5679273.2014738163</v>
      </c>
      <c r="M32" s="34">
        <f t="shared" si="6"/>
        <v>1846597422.6401358</v>
      </c>
      <c r="N32" s="34">
        <f t="shared" si="7"/>
        <v>1846597422.6401358</v>
      </c>
      <c r="O32" s="34">
        <f t="shared" si="9"/>
        <v>-41624564.906510323</v>
      </c>
      <c r="P32" s="34">
        <f t="shared" si="0"/>
        <v>184659742.26401359</v>
      </c>
      <c r="Q32" s="34">
        <f t="shared" si="1"/>
        <v>0</v>
      </c>
      <c r="R32" s="34">
        <f t="shared" si="10"/>
        <v>76311702.328601971</v>
      </c>
      <c r="S32" s="34">
        <f t="shared" si="11"/>
        <v>48239608.998602644</v>
      </c>
      <c r="T32" s="87">
        <f t="shared" si="12"/>
        <v>253226069.26024923</v>
      </c>
      <c r="U32" s="30"/>
      <c r="V32" s="32"/>
      <c r="X32" s="31"/>
      <c r="Y32" s="31"/>
      <c r="Z32" s="30"/>
      <c r="AA32" s="33"/>
    </row>
    <row r="33" spans="2:27" x14ac:dyDescent="0.25">
      <c r="B33" s="24">
        <f t="shared" si="2"/>
        <v>7</v>
      </c>
      <c r="C33" s="95">
        <f t="shared" ref="C33" si="21">C32+1</f>
        <v>2023</v>
      </c>
      <c r="D33" s="95">
        <f t="shared" si="14"/>
        <v>76</v>
      </c>
      <c r="E33" s="34">
        <f t="shared" si="15"/>
        <v>45046.496770559999</v>
      </c>
      <c r="F33" s="34">
        <f t="shared" si="16"/>
        <v>1351.3949031168004</v>
      </c>
      <c r="G33" s="35">
        <f t="shared" si="3"/>
        <v>4127.2880522408786</v>
      </c>
      <c r="H33" s="36">
        <f xml:space="preserve"> VLOOKUP( $D33, 'Mortality table'!$A$2:$B$111, 2, 0 ) * $E$18</f>
        <v>3.7159999999999999E-2</v>
      </c>
      <c r="I33" s="36">
        <f t="shared" si="17"/>
        <v>1</v>
      </c>
      <c r="J33" s="36">
        <f t="shared" si="8"/>
        <v>3.7159999999999999E-2</v>
      </c>
      <c r="K33" s="34">
        <f t="shared" si="4"/>
        <v>185919867.91643962</v>
      </c>
      <c r="L33" s="34">
        <f t="shared" si="5"/>
        <v>5577596.0374931898</v>
      </c>
      <c r="M33" s="34">
        <f t="shared" si="6"/>
        <v>1710497881.3654072</v>
      </c>
      <c r="N33" s="34">
        <f t="shared" si="7"/>
        <v>1710497881.3654072</v>
      </c>
      <c r="O33" s="34">
        <f t="shared" si="9"/>
        <v>-38778545.875442997</v>
      </c>
      <c r="P33" s="34">
        <f t="shared" si="0"/>
        <v>171049788.13654074</v>
      </c>
      <c r="Q33" s="34">
        <f t="shared" si="1"/>
        <v>0</v>
      </c>
      <c r="R33" s="34">
        <f t="shared" si="10"/>
        <v>71094000.771645233</v>
      </c>
      <c r="S33" s="34">
        <f t="shared" si="11"/>
        <v>45925409.023675084</v>
      </c>
      <c r="T33" s="87">
        <f t="shared" si="12"/>
        <v>232623267.16259912</v>
      </c>
      <c r="U33" s="30"/>
      <c r="V33" s="32"/>
      <c r="X33" s="31"/>
      <c r="Y33" s="31"/>
      <c r="Z33" s="30"/>
      <c r="AA33" s="33"/>
    </row>
    <row r="34" spans="2:27" x14ac:dyDescent="0.25">
      <c r="B34" s="24">
        <f t="shared" si="2"/>
        <v>8</v>
      </c>
      <c r="C34" s="95">
        <f t="shared" ref="C34" si="22">C33+1</f>
        <v>2024</v>
      </c>
      <c r="D34" s="95">
        <f t="shared" si="14"/>
        <v>77</v>
      </c>
      <c r="E34" s="34">
        <f t="shared" si="15"/>
        <v>45947.4267059712</v>
      </c>
      <c r="F34" s="34">
        <f t="shared" si="16"/>
        <v>1378.4228011791365</v>
      </c>
      <c r="G34" s="35">
        <f t="shared" si="3"/>
        <v>3955.881779431315</v>
      </c>
      <c r="H34" s="36">
        <f xml:space="preserve"> VLOOKUP( $D34, 'Mortality table'!$A$2:$B$111, 2, 0 ) * $E$18</f>
        <v>4.1529999999999997E-2</v>
      </c>
      <c r="I34" s="36">
        <f t="shared" si="17"/>
        <v>1</v>
      </c>
      <c r="J34" s="36">
        <f t="shared" si="8"/>
        <v>4.1529999999999997E-2</v>
      </c>
      <c r="K34" s="34">
        <f t="shared" si="4"/>
        <v>181762588.11790729</v>
      </c>
      <c r="L34" s="34">
        <f t="shared" si="5"/>
        <v>5452877.6435372205</v>
      </c>
      <c r="M34" s="34">
        <f t="shared" si="6"/>
        <v>1574597352.044925</v>
      </c>
      <c r="N34" s="34">
        <f t="shared" si="7"/>
        <v>1574597352.044925</v>
      </c>
      <c r="O34" s="34">
        <f t="shared" si="9"/>
        <v>-35920455.508673579</v>
      </c>
      <c r="P34" s="34">
        <f t="shared" si="0"/>
        <v>157459735.20449251</v>
      </c>
      <c r="Q34" s="34">
        <f t="shared" si="1"/>
        <v>0</v>
      </c>
      <c r="R34" s="34">
        <f t="shared" si="10"/>
        <v>65854168.432568178</v>
      </c>
      <c r="S34" s="34">
        <f t="shared" si="11"/>
        <v>43523765.85594283</v>
      </c>
      <c r="T34" s="87">
        <f t="shared" si="12"/>
        <v>212361828.0229162</v>
      </c>
      <c r="U34" s="30"/>
      <c r="V34" s="32"/>
      <c r="X34" s="31"/>
      <c r="Y34" s="31"/>
      <c r="Z34" s="30"/>
      <c r="AA34" s="33"/>
    </row>
    <row r="35" spans="2:27" x14ac:dyDescent="0.25">
      <c r="B35" s="24">
        <f t="shared" si="2"/>
        <v>9</v>
      </c>
      <c r="C35" s="95">
        <f t="shared" ref="C35" si="23">C34+1</f>
        <v>2025</v>
      </c>
      <c r="D35" s="95">
        <f t="shared" si="14"/>
        <v>78</v>
      </c>
      <c r="E35" s="34">
        <f t="shared" si="15"/>
        <v>46866.375240090623</v>
      </c>
      <c r="F35" s="34">
        <f t="shared" si="16"/>
        <v>1405.9912572027192</v>
      </c>
      <c r="G35" s="35">
        <f t="shared" si="3"/>
        <v>3772.5662177724676</v>
      </c>
      <c r="H35" s="36">
        <f xml:space="preserve"> VLOOKUP( $D35, 'Mortality table'!$A$2:$B$111, 2, 0 ) * $E$18</f>
        <v>4.6339999999999999E-2</v>
      </c>
      <c r="I35" s="36">
        <f t="shared" si="17"/>
        <v>1</v>
      </c>
      <c r="J35" s="36">
        <f t="shared" si="8"/>
        <v>4.6339999999999999E-2</v>
      </c>
      <c r="K35" s="34">
        <f t="shared" si="4"/>
        <v>176806503.98021391</v>
      </c>
      <c r="L35" s="34">
        <f t="shared" si="5"/>
        <v>5304195.1194064189</v>
      </c>
      <c r="M35" s="34">
        <f t="shared" si="6"/>
        <v>1439724573.5066524</v>
      </c>
      <c r="N35" s="34">
        <f t="shared" si="7"/>
        <v>1439724573.5066524</v>
      </c>
      <c r="O35" s="34">
        <f t="shared" si="9"/>
        <v>-33066544.392943405</v>
      </c>
      <c r="P35" s="34">
        <f t="shared" si="0"/>
        <v>143972457.35066524</v>
      </c>
      <c r="Q35" s="34">
        <f t="shared" si="1"/>
        <v>0</v>
      </c>
      <c r="R35" s="34">
        <f t="shared" si="10"/>
        <v>60621998.053729609</v>
      </c>
      <c r="S35" s="34">
        <f t="shared" si="11"/>
        <v>41042731.514613472</v>
      </c>
      <c r="T35" s="87">
        <f t="shared" si="12"/>
        <v>192555279.31059435</v>
      </c>
      <c r="U35" s="30"/>
      <c r="V35" s="32"/>
      <c r="X35" s="31"/>
      <c r="Y35" s="31"/>
      <c r="Z35" s="30"/>
      <c r="AA35" s="33"/>
    </row>
    <row r="36" spans="2:27" x14ac:dyDescent="0.25">
      <c r="B36" s="24">
        <f t="shared" si="2"/>
        <v>10</v>
      </c>
      <c r="C36" s="95">
        <f t="shared" ref="C36" si="24">C35+1</f>
        <v>2026</v>
      </c>
      <c r="D36" s="95">
        <f t="shared" si="14"/>
        <v>79</v>
      </c>
      <c r="E36" s="34">
        <f t="shared" si="15"/>
        <v>47803.702744892435</v>
      </c>
      <c r="F36" s="34">
        <f t="shared" si="16"/>
        <v>1434.1110823467736</v>
      </c>
      <c r="G36" s="35">
        <f t="shared" si="3"/>
        <v>3577.6377213001642</v>
      </c>
      <c r="H36" s="36">
        <f xml:space="preserve"> VLOOKUP( $D36, 'Mortality table'!$A$2:$B$111, 2, 0 ) * $E$18</f>
        <v>5.1670000000000001E-2</v>
      </c>
      <c r="I36" s="36">
        <f t="shared" si="17"/>
        <v>1</v>
      </c>
      <c r="J36" s="36">
        <f t="shared" si="8"/>
        <v>5.1670000000000001E-2</v>
      </c>
      <c r="K36" s="34">
        <f t="shared" si="4"/>
        <v>171024330.15794736</v>
      </c>
      <c r="L36" s="34">
        <f t="shared" si="5"/>
        <v>5130729.9047384234</v>
      </c>
      <c r="M36" s="34">
        <f t="shared" si="6"/>
        <v>1306761250.6491663</v>
      </c>
      <c r="N36" s="34">
        <f t="shared" si="7"/>
        <v>1306761250.6491663</v>
      </c>
      <c r="O36" s="34">
        <f t="shared" si="9"/>
        <v>-30234216.043639842</v>
      </c>
      <c r="P36" s="34">
        <f t="shared" si="0"/>
        <v>130676125.06491664</v>
      </c>
      <c r="Q36" s="34">
        <f t="shared" si="1"/>
        <v>0</v>
      </c>
      <c r="R36" s="34">
        <f t="shared" si="10"/>
        <v>55429396.080006115</v>
      </c>
      <c r="S36" s="34">
        <f t="shared" si="11"/>
        <v>38491512.32211487</v>
      </c>
      <c r="T36" s="87">
        <f t="shared" si="12"/>
        <v>173319294.91953892</v>
      </c>
      <c r="U36" s="30"/>
      <c r="V36" s="32"/>
      <c r="X36" s="31"/>
      <c r="Y36" s="31"/>
      <c r="Z36" s="30"/>
      <c r="AA36" s="33"/>
    </row>
    <row r="37" spans="2:27" x14ac:dyDescent="0.25">
      <c r="B37" s="24">
        <f t="shared" si="2"/>
        <v>11</v>
      </c>
      <c r="C37" s="95">
        <f t="shared" ref="C37" si="25">C36+1</f>
        <v>2027</v>
      </c>
      <c r="D37" s="95">
        <f t="shared" si="14"/>
        <v>80</v>
      </c>
      <c r="E37" s="34">
        <f t="shared" si="15"/>
        <v>48759.776799790285</v>
      </c>
      <c r="F37" s="34">
        <f t="shared" si="16"/>
        <v>1462.7933039937091</v>
      </c>
      <c r="G37" s="35">
        <f t="shared" si="3"/>
        <v>3371.5657885532746</v>
      </c>
      <c r="H37" s="36">
        <f xml:space="preserve"> VLOOKUP( $D37, 'Mortality table'!$A$2:$B$111, 2, 0 ) * $E$18</f>
        <v>5.7599999999999998E-2</v>
      </c>
      <c r="I37" s="36">
        <f t="shared" si="17"/>
        <v>1</v>
      </c>
      <c r="J37" s="36">
        <f t="shared" si="8"/>
        <v>5.7599999999999998E-2</v>
      </c>
      <c r="K37" s="34">
        <f t="shared" si="4"/>
        <v>164396795.31566659</v>
      </c>
      <c r="L37" s="34">
        <f t="shared" si="5"/>
        <v>4931903.8594699996</v>
      </c>
      <c r="M37" s="34">
        <f t="shared" si="6"/>
        <v>1176635388.9935048</v>
      </c>
      <c r="N37" s="34">
        <f t="shared" si="7"/>
        <v>1176635388.9935048</v>
      </c>
      <c r="O37" s="34">
        <f t="shared" si="9"/>
        <v>-27441986.263632506</v>
      </c>
      <c r="P37" s="34">
        <f t="shared" si="0"/>
        <v>117663538.89935048</v>
      </c>
      <c r="Q37" s="34">
        <f t="shared" si="1"/>
        <v>0</v>
      </c>
      <c r="R37" s="34">
        <f t="shared" si="10"/>
        <v>50310308.149992906</v>
      </c>
      <c r="S37" s="34">
        <f t="shared" si="11"/>
        <v>35880908.051926561</v>
      </c>
      <c r="T37" s="87">
        <f t="shared" si="12"/>
        <v>154770316.35956627</v>
      </c>
      <c r="U37" s="30"/>
      <c r="V37" s="32"/>
      <c r="X37" s="31"/>
      <c r="Y37" s="31"/>
      <c r="Z37" s="30"/>
      <c r="AA37" s="33"/>
    </row>
    <row r="38" spans="2:27" x14ac:dyDescent="0.25">
      <c r="B38" s="24">
        <f t="shared" si="2"/>
        <v>12</v>
      </c>
      <c r="C38" s="95">
        <f t="shared" ref="C38" si="26">C37+1</f>
        <v>2028</v>
      </c>
      <c r="D38" s="95">
        <f t="shared" si="14"/>
        <v>81</v>
      </c>
      <c r="E38" s="34">
        <f t="shared" si="15"/>
        <v>49734.972335786093</v>
      </c>
      <c r="F38" s="34">
        <f t="shared" si="16"/>
        <v>1492.0491700735834</v>
      </c>
      <c r="G38" s="35">
        <f t="shared" si="3"/>
        <v>3155.0438336123834</v>
      </c>
      <c r="H38" s="36">
        <f xml:space="preserve"> VLOOKUP( $D38, 'Mortality table'!$A$2:$B$111, 2, 0 ) * $E$18</f>
        <v>6.4219999999999999E-2</v>
      </c>
      <c r="I38" s="36">
        <f t="shared" si="17"/>
        <v>1</v>
      </c>
      <c r="J38" s="36">
        <f t="shared" si="8"/>
        <v>6.4219999999999999E-2</v>
      </c>
      <c r="K38" s="34">
        <f t="shared" si="4"/>
        <v>156916017.78290439</v>
      </c>
      <c r="L38" s="34">
        <f t="shared" si="5"/>
        <v>4707480.5334871337</v>
      </c>
      <c r="M38" s="34">
        <f t="shared" si="6"/>
        <v>1050310952.3469186</v>
      </c>
      <c r="N38" s="34">
        <f t="shared" si="7"/>
        <v>1050310952.3469186</v>
      </c>
      <c r="O38" s="34">
        <f t="shared" si="9"/>
        <v>-24709343.168863744</v>
      </c>
      <c r="P38" s="34">
        <f t="shared" si="0"/>
        <v>105031095.23469186</v>
      </c>
      <c r="Q38" s="34">
        <f t="shared" si="1"/>
        <v>0</v>
      </c>
      <c r="R38" s="34">
        <f t="shared" si="10"/>
        <v>45300462.476249933</v>
      </c>
      <c r="S38" s="34">
        <f t="shared" si="11"/>
        <v>33223562.972044811</v>
      </c>
      <c r="T38" s="87">
        <f t="shared" si="12"/>
        <v>137023785.02347809</v>
      </c>
      <c r="U38" s="30"/>
      <c r="V38" s="32"/>
      <c r="X38" s="31"/>
      <c r="Y38" s="31"/>
      <c r="Z38" s="30"/>
      <c r="AA38" s="33"/>
    </row>
    <row r="39" spans="2:27" x14ac:dyDescent="0.25">
      <c r="B39" s="24">
        <f t="shared" si="2"/>
        <v>13</v>
      </c>
      <c r="C39" s="95">
        <f t="shared" ref="C39" si="27">C38+1</f>
        <v>2029</v>
      </c>
      <c r="D39" s="95">
        <f t="shared" si="14"/>
        <v>82</v>
      </c>
      <c r="E39" s="34">
        <f t="shared" si="15"/>
        <v>50729.671782501813</v>
      </c>
      <c r="F39" s="34">
        <f t="shared" si="16"/>
        <v>1521.8901534750551</v>
      </c>
      <c r="G39" s="35">
        <f t="shared" si="3"/>
        <v>2929.1426951257367</v>
      </c>
      <c r="H39" s="36">
        <f xml:space="preserve"> VLOOKUP( $D39, 'Mortality table'!$A$2:$B$111, 2, 0 ) * $E$18</f>
        <v>7.1599999999999997E-2</v>
      </c>
      <c r="I39" s="36">
        <f t="shared" si="17"/>
        <v>1</v>
      </c>
      <c r="J39" s="36">
        <f t="shared" si="8"/>
        <v>7.1599999999999997E-2</v>
      </c>
      <c r="K39" s="34">
        <f t="shared" si="4"/>
        <v>148594447.52784139</v>
      </c>
      <c r="L39" s="34">
        <f t="shared" si="5"/>
        <v>4457833.4258352434</v>
      </c>
      <c r="M39" s="34">
        <f t="shared" si="6"/>
        <v>928767999.96364951</v>
      </c>
      <c r="N39" s="34">
        <f t="shared" si="7"/>
        <v>928767999.96364951</v>
      </c>
      <c r="O39" s="34">
        <f t="shared" si="9"/>
        <v>-22056529.999285296</v>
      </c>
      <c r="P39" s="34">
        <f t="shared" si="0"/>
        <v>92876799.996364951</v>
      </c>
      <c r="Q39" s="34">
        <f t="shared" si="1"/>
        <v>0</v>
      </c>
      <c r="R39" s="34">
        <f t="shared" si="10"/>
        <v>40436971.665356368</v>
      </c>
      <c r="S39" s="34">
        <f t="shared" si="11"/>
        <v>30534736.904397979</v>
      </c>
      <c r="T39" s="87">
        <f t="shared" si="12"/>
        <v>120191426.62142795</v>
      </c>
      <c r="U39" s="30"/>
      <c r="V39" s="32"/>
      <c r="X39" s="31"/>
      <c r="Y39" s="31"/>
      <c r="Z39" s="30"/>
      <c r="AA39" s="33"/>
    </row>
    <row r="40" spans="2:27" x14ac:dyDescent="0.25">
      <c r="B40" s="24">
        <f t="shared" si="2"/>
        <v>14</v>
      </c>
      <c r="C40" s="95">
        <f t="shared" ref="C40" si="28">C39+1</f>
        <v>2030</v>
      </c>
      <c r="D40" s="95">
        <f t="shared" si="14"/>
        <v>83</v>
      </c>
      <c r="E40" s="34">
        <f t="shared" si="15"/>
        <v>51744.26521815185</v>
      </c>
      <c r="F40" s="34">
        <f t="shared" si="16"/>
        <v>1552.3279565445562</v>
      </c>
      <c r="G40" s="35">
        <f t="shared" si="3"/>
        <v>2695.3092337738494</v>
      </c>
      <c r="H40" s="36">
        <f xml:space="preserve"> VLOOKUP( $D40, 'Mortality table'!$A$2:$B$111, 2, 0 ) * $E$18</f>
        <v>7.9829999999999998E-2</v>
      </c>
      <c r="I40" s="36">
        <f t="shared" si="17"/>
        <v>1</v>
      </c>
      <c r="J40" s="36">
        <f t="shared" si="8"/>
        <v>7.9829999999999998E-2</v>
      </c>
      <c r="K40" s="34">
        <f t="shared" si="4"/>
        <v>139466795.83732772</v>
      </c>
      <c r="L40" s="34">
        <f t="shared" si="5"/>
        <v>4184003.8751198333</v>
      </c>
      <c r="M40" s="34">
        <f t="shared" si="6"/>
        <v>812980240.25011146</v>
      </c>
      <c r="N40" s="34">
        <f t="shared" si="7"/>
        <v>812980240.25011146</v>
      </c>
      <c r="O40" s="34">
        <f t="shared" si="9"/>
        <v>-19504127.999236651</v>
      </c>
      <c r="P40" s="34">
        <f t="shared" si="0"/>
        <v>81298024.025011152</v>
      </c>
      <c r="Q40" s="34">
        <f t="shared" si="1"/>
        <v>0</v>
      </c>
      <c r="R40" s="34">
        <f t="shared" si="10"/>
        <v>35757567.998600505</v>
      </c>
      <c r="S40" s="34">
        <f t="shared" si="11"/>
        <v>27832215.970717654</v>
      </c>
      <c r="T40" s="87">
        <f t="shared" si="12"/>
        <v>104378353.31285311</v>
      </c>
      <c r="U40" s="30"/>
      <c r="V40" s="32"/>
      <c r="X40" s="31"/>
      <c r="Y40" s="31"/>
      <c r="Z40" s="30"/>
      <c r="AA40" s="33"/>
    </row>
    <row r="41" spans="2:27" x14ac:dyDescent="0.25">
      <c r="B41" s="24">
        <f t="shared" si="2"/>
        <v>15</v>
      </c>
      <c r="C41" s="95">
        <f t="shared" ref="C41" si="29">C40+1</f>
        <v>2031</v>
      </c>
      <c r="D41" s="95">
        <f t="shared" si="14"/>
        <v>84</v>
      </c>
      <c r="E41" s="34">
        <f t="shared" si="15"/>
        <v>52779.150522514887</v>
      </c>
      <c r="F41" s="34">
        <f t="shared" si="16"/>
        <v>1583.3745156754474</v>
      </c>
      <c r="G41" s="35">
        <f t="shared" si="3"/>
        <v>2455.5345243373276</v>
      </c>
      <c r="H41" s="36">
        <f xml:space="preserve"> VLOOKUP( $D41, 'Mortality table'!$A$2:$B$111, 2, 0 ) * $E$18</f>
        <v>8.8959999999999997E-2</v>
      </c>
      <c r="I41" s="36">
        <f t="shared" si="17"/>
        <v>1</v>
      </c>
      <c r="J41" s="36">
        <f t="shared" si="8"/>
        <v>8.8959999999999997E-2</v>
      </c>
      <c r="K41" s="34">
        <f t="shared" si="4"/>
        <v>129601026.2732318</v>
      </c>
      <c r="L41" s="34">
        <f t="shared" si="5"/>
        <v>3888030.7881969563</v>
      </c>
      <c r="M41" s="34">
        <f t="shared" si="6"/>
        <v>703880590.39618599</v>
      </c>
      <c r="N41" s="34">
        <f t="shared" si="7"/>
        <v>703880590.39618599</v>
      </c>
      <c r="O41" s="34">
        <f t="shared" si="9"/>
        <v>-17072585.045252301</v>
      </c>
      <c r="P41" s="34">
        <f t="shared" si="0"/>
        <v>70388059.039618596</v>
      </c>
      <c r="Q41" s="34">
        <f t="shared" si="1"/>
        <v>0</v>
      </c>
      <c r="R41" s="34">
        <f t="shared" si="10"/>
        <v>31299739.249629293</v>
      </c>
      <c r="S41" s="34">
        <f t="shared" si="11"/>
        <v>25137119.189769547</v>
      </c>
      <c r="T41" s="87">
        <f t="shared" si="12"/>
        <v>89679069.454368889</v>
      </c>
      <c r="U41" s="30"/>
      <c r="V41" s="32"/>
      <c r="X41" s="31"/>
      <c r="Y41" s="31"/>
      <c r="Z41" s="30"/>
      <c r="AA41" s="33"/>
    </row>
    <row r="42" spans="2:27" x14ac:dyDescent="0.25">
      <c r="B42" s="24">
        <f t="shared" si="2"/>
        <v>16</v>
      </c>
      <c r="C42" s="95">
        <f t="shared" ref="C42" si="30">C41+1</f>
        <v>2032</v>
      </c>
      <c r="D42" s="95">
        <f t="shared" si="14"/>
        <v>85</v>
      </c>
      <c r="E42" s="34">
        <f t="shared" si="15"/>
        <v>53834.733532965183</v>
      </c>
      <c r="F42" s="34">
        <f t="shared" si="16"/>
        <v>1615.0420059889564</v>
      </c>
      <c r="G42" s="35">
        <f t="shared" si="3"/>
        <v>2212.2647190112284</v>
      </c>
      <c r="H42" s="36">
        <f xml:space="preserve"> VLOOKUP( $D42, 'Mortality table'!$A$2:$B$111, 2, 0 ) * $E$18</f>
        <v>9.9070000000000005E-2</v>
      </c>
      <c r="I42" s="36">
        <f t="shared" si="17"/>
        <v>1</v>
      </c>
      <c r="J42" s="36">
        <f t="shared" si="8"/>
        <v>9.9070000000000005E-2</v>
      </c>
      <c r="K42" s="34">
        <f t="shared" si="4"/>
        <v>119096681.65234958</v>
      </c>
      <c r="L42" s="34">
        <f t="shared" si="5"/>
        <v>3572900.4495704891</v>
      </c>
      <c r="M42" s="34">
        <f t="shared" si="6"/>
        <v>602327426.00615156</v>
      </c>
      <c r="N42" s="34">
        <f t="shared" si="7"/>
        <v>602327426.00615156</v>
      </c>
      <c r="O42" s="34">
        <f t="shared" si="9"/>
        <v>-14781492.398319941</v>
      </c>
      <c r="P42" s="34">
        <f t="shared" si="0"/>
        <v>60232742.600615159</v>
      </c>
      <c r="Q42" s="34">
        <f t="shared" si="1"/>
        <v>0</v>
      </c>
      <c r="R42" s="34">
        <f t="shared" si="10"/>
        <v>27099402.73025316</v>
      </c>
      <c r="S42" s="34">
        <f t="shared" si="11"/>
        <v>22473226.770936657</v>
      </c>
      <c r="T42" s="87">
        <f t="shared" si="12"/>
        <v>76173749.628869131</v>
      </c>
      <c r="U42" s="30"/>
      <c r="V42" s="32"/>
      <c r="X42" s="31"/>
      <c r="Y42" s="31"/>
      <c r="Z42" s="30"/>
      <c r="AA42" s="33"/>
    </row>
    <row r="43" spans="2:27" x14ac:dyDescent="0.25">
      <c r="B43" s="24">
        <f t="shared" si="2"/>
        <v>17</v>
      </c>
      <c r="C43" s="95">
        <f t="shared" ref="C43" si="31">C42+1</f>
        <v>2033</v>
      </c>
      <c r="D43" s="95">
        <f t="shared" si="14"/>
        <v>86</v>
      </c>
      <c r="E43" s="34">
        <f t="shared" si="15"/>
        <v>54911.428203624491</v>
      </c>
      <c r="F43" s="34">
        <f t="shared" si="16"/>
        <v>1647.3428461087356</v>
      </c>
      <c r="G43" s="35">
        <f t="shared" si="3"/>
        <v>1968.4731469761912</v>
      </c>
      <c r="H43" s="36">
        <f xml:space="preserve"> VLOOKUP( $D43, 'Mortality table'!$A$2:$B$111, 2, 0 ) * $E$18</f>
        <v>0.11020000000000001</v>
      </c>
      <c r="I43" s="36">
        <f t="shared" si="17"/>
        <v>1</v>
      </c>
      <c r="J43" s="36">
        <f t="shared" si="8"/>
        <v>0.11020000000000001</v>
      </c>
      <c r="K43" s="34">
        <f t="shared" si="4"/>
        <v>108091671.88094588</v>
      </c>
      <c r="L43" s="34">
        <f t="shared" si="5"/>
        <v>3242750.1564283781</v>
      </c>
      <c r="M43" s="34">
        <f t="shared" si="6"/>
        <v>509062826.74896181</v>
      </c>
      <c r="N43" s="34">
        <f t="shared" si="7"/>
        <v>509062826.74896181</v>
      </c>
      <c r="O43" s="34">
        <f t="shared" si="9"/>
        <v>-12648875.946129154</v>
      </c>
      <c r="P43" s="34">
        <f t="shared" si="0"/>
        <v>50906282.674896181</v>
      </c>
      <c r="Q43" s="34">
        <f t="shared" si="1"/>
        <v>0</v>
      </c>
      <c r="R43" s="34">
        <f t="shared" si="10"/>
        <v>23189605.901236836</v>
      </c>
      <c r="S43" s="34">
        <f t="shared" si="11"/>
        <v>19867189.88082666</v>
      </c>
      <c r="T43" s="87">
        <f t="shared" si="12"/>
        <v>63923934.710929386</v>
      </c>
      <c r="U43" s="30"/>
      <c r="V43" s="32"/>
      <c r="X43" s="31"/>
      <c r="Y43" s="31"/>
      <c r="Z43" s="30"/>
      <c r="AA43" s="33"/>
    </row>
    <row r="44" spans="2:27" x14ac:dyDescent="0.25">
      <c r="B44" s="24">
        <f t="shared" si="2"/>
        <v>18</v>
      </c>
      <c r="C44" s="95">
        <f t="shared" ref="C44" si="32">C43+1</f>
        <v>2034</v>
      </c>
      <c r="D44" s="95">
        <f t="shared" si="14"/>
        <v>87</v>
      </c>
      <c r="E44" s="34">
        <f t="shared" si="15"/>
        <v>56009.656767696979</v>
      </c>
      <c r="F44" s="34">
        <f t="shared" si="16"/>
        <v>1680.2897030309102</v>
      </c>
      <c r="G44" s="35">
        <f t="shared" si="3"/>
        <v>1727.6107727121844</v>
      </c>
      <c r="H44" s="36">
        <f xml:space="preserve"> VLOOKUP( $D44, 'Mortality table'!$A$2:$B$111, 2, 0 ) * $E$18</f>
        <v>0.12236</v>
      </c>
      <c r="I44" s="36">
        <f t="shared" si="17"/>
        <v>1</v>
      </c>
      <c r="J44" s="36">
        <f t="shared" si="8"/>
        <v>0.12236</v>
      </c>
      <c r="K44" s="34">
        <f t="shared" si="4"/>
        <v>96762886.407785207</v>
      </c>
      <c r="L44" s="34">
        <f t="shared" si="5"/>
        <v>2902886.5922335577</v>
      </c>
      <c r="M44" s="34">
        <f t="shared" si="6"/>
        <v>424668938.55141193</v>
      </c>
      <c r="N44" s="34">
        <f t="shared" si="7"/>
        <v>424668938.55141193</v>
      </c>
      <c r="O44" s="34">
        <f t="shared" si="9"/>
        <v>-10690319.361728216</v>
      </c>
      <c r="P44" s="34">
        <f t="shared" si="0"/>
        <v>42466893.855141193</v>
      </c>
      <c r="Q44" s="34">
        <f t="shared" si="1"/>
        <v>0</v>
      </c>
      <c r="R44" s="34">
        <f t="shared" si="10"/>
        <v>19598918.829835027</v>
      </c>
      <c r="S44" s="34">
        <f t="shared" si="11"/>
        <v>17347988.287861802</v>
      </c>
      <c r="T44" s="87">
        <f t="shared" si="12"/>
        <v>52968339.894160524</v>
      </c>
      <c r="U44" s="30"/>
      <c r="V44" s="32"/>
      <c r="X44" s="31"/>
      <c r="Y44" s="31"/>
      <c r="Z44" s="30"/>
      <c r="AA44" s="33"/>
    </row>
    <row r="45" spans="2:27" x14ac:dyDescent="0.25">
      <c r="B45" s="24">
        <f t="shared" si="2"/>
        <v>19</v>
      </c>
      <c r="C45" s="95">
        <f t="shared" ref="C45" si="33">C44+1</f>
        <v>2035</v>
      </c>
      <c r="D45" s="95">
        <f t="shared" si="14"/>
        <v>88</v>
      </c>
      <c r="E45" s="34">
        <f t="shared" si="15"/>
        <v>57129.849903050919</v>
      </c>
      <c r="F45" s="34">
        <f t="shared" si="16"/>
        <v>1713.8954970915286</v>
      </c>
      <c r="G45" s="35">
        <f t="shared" si="3"/>
        <v>1493.7959307333174</v>
      </c>
      <c r="H45" s="36">
        <f xml:space="preserve"> VLOOKUP( $D45, 'Mortality table'!$A$2:$B$111, 2, 0 ) * $E$18</f>
        <v>0.13533999999999999</v>
      </c>
      <c r="I45" s="36">
        <f t="shared" si="17"/>
        <v>1</v>
      </c>
      <c r="J45" s="36">
        <f t="shared" si="8"/>
        <v>0.13533999999999999</v>
      </c>
      <c r="K45" s="34">
        <f t="shared" si="4"/>
        <v>85340337.308582664</v>
      </c>
      <c r="L45" s="34">
        <f t="shared" si="5"/>
        <v>2560210.1192574818</v>
      </c>
      <c r="M45" s="34">
        <f t="shared" si="6"/>
        <v>349508459.28011411</v>
      </c>
      <c r="N45" s="34">
        <f t="shared" si="7"/>
        <v>349508459.28011411</v>
      </c>
      <c r="O45" s="34">
        <f t="shared" si="9"/>
        <v>-8918047.7095796317</v>
      </c>
      <c r="P45" s="34">
        <f t="shared" si="0"/>
        <v>34950845.92801141</v>
      </c>
      <c r="Q45" s="34">
        <f t="shared" si="1"/>
        <v>0</v>
      </c>
      <c r="R45" s="34">
        <f t="shared" si="10"/>
        <v>16349754.13422936</v>
      </c>
      <c r="S45" s="34">
        <f t="shared" si="11"/>
        <v>14947754.351779511</v>
      </c>
      <c r="T45" s="87">
        <f t="shared" si="12"/>
        <v>43317419.531797066</v>
      </c>
      <c r="U45" s="30"/>
      <c r="V45" s="32"/>
      <c r="X45" s="31"/>
      <c r="Y45" s="31"/>
      <c r="Z45" s="30"/>
      <c r="AA45" s="33"/>
    </row>
    <row r="46" spans="2:27" x14ac:dyDescent="0.25">
      <c r="B46" s="24">
        <f t="shared" si="2"/>
        <v>20</v>
      </c>
      <c r="C46" s="95">
        <f t="shared" ref="C46" si="34">C45+1</f>
        <v>2036</v>
      </c>
      <c r="D46" s="95">
        <f t="shared" si="14"/>
        <v>89</v>
      </c>
      <c r="E46" s="34">
        <f t="shared" si="15"/>
        <v>58272.446901111936</v>
      </c>
      <c r="F46" s="34">
        <f t="shared" si="16"/>
        <v>1748.1734070333591</v>
      </c>
      <c r="G46" s="35">
        <f t="shared" si="3"/>
        <v>1271.3398407285119</v>
      </c>
      <c r="H46" s="36">
        <f xml:space="preserve"> VLOOKUP( $D46, 'Mortality table'!$A$2:$B$111, 2, 0 ) * $E$18</f>
        <v>0.14892</v>
      </c>
      <c r="I46" s="36">
        <f t="shared" si="17"/>
        <v>1</v>
      </c>
      <c r="J46" s="36">
        <f t="shared" si="8"/>
        <v>0.14892</v>
      </c>
      <c r="K46" s="34">
        <f t="shared" si="4"/>
        <v>74084083.362120315</v>
      </c>
      <c r="L46" s="34">
        <f t="shared" si="5"/>
        <v>2222522.5008636108</v>
      </c>
      <c r="M46" s="34">
        <f t="shared" si="6"/>
        <v>283687107.19553363</v>
      </c>
      <c r="N46" s="34">
        <f t="shared" si="7"/>
        <v>283687107.19553363</v>
      </c>
      <c r="O46" s="34">
        <f t="shared" si="9"/>
        <v>-7339677.6448824117</v>
      </c>
      <c r="P46" s="34">
        <f t="shared" si="0"/>
        <v>28368710.719553366</v>
      </c>
      <c r="Q46" s="34">
        <f t="shared" si="1"/>
        <v>0</v>
      </c>
      <c r="R46" s="34">
        <f t="shared" si="10"/>
        <v>13456075.682284394</v>
      </c>
      <c r="S46" s="34">
        <f t="shared" si="11"/>
        <v>12698533.245860025</v>
      </c>
      <c r="T46" s="87">
        <f t="shared" si="12"/>
        <v>34950628.239116751</v>
      </c>
      <c r="U46" s="30"/>
      <c r="V46" s="32"/>
      <c r="X46" s="31"/>
      <c r="Y46" s="31"/>
      <c r="Z46" s="30"/>
      <c r="AA46" s="33"/>
    </row>
    <row r="47" spans="2:27" x14ac:dyDescent="0.25">
      <c r="B47" s="24">
        <f t="shared" si="2"/>
        <v>21</v>
      </c>
      <c r="C47" s="95">
        <f t="shared" ref="C47" si="35">C46+1</f>
        <v>2037</v>
      </c>
      <c r="D47" s="95">
        <f t="shared" si="14"/>
        <v>90</v>
      </c>
      <c r="E47" s="34">
        <f t="shared" si="15"/>
        <v>59437.895839134173</v>
      </c>
      <c r="F47" s="34">
        <f t="shared" si="16"/>
        <v>1783.1368751740263</v>
      </c>
      <c r="G47" s="35">
        <f t="shared" si="3"/>
        <v>1064.2894342674665</v>
      </c>
      <c r="H47" s="36">
        <f xml:space="preserve"> VLOOKUP( $D47, 'Mortality table'!$A$2:$B$111, 2, 0 ) * $E$18</f>
        <v>0.16286</v>
      </c>
      <c r="I47" s="36">
        <f t="shared" si="17"/>
        <v>1</v>
      </c>
      <c r="J47" s="36">
        <f t="shared" si="8"/>
        <v>0.16286</v>
      </c>
      <c r="K47" s="34">
        <f t="shared" si="4"/>
        <v>63259124.536680713</v>
      </c>
      <c r="L47" s="34">
        <f t="shared" si="5"/>
        <v>1897773.7361004225</v>
      </c>
      <c r="M47" s="34">
        <f t="shared" si="6"/>
        <v>227040822.13861853</v>
      </c>
      <c r="N47" s="34">
        <f t="shared" si="7"/>
        <v>227040822.13861853</v>
      </c>
      <c r="O47" s="34">
        <f t="shared" si="9"/>
        <v>-5957429.2511062203</v>
      </c>
      <c r="P47" s="34">
        <f t="shared" si="0"/>
        <v>22704082.213861853</v>
      </c>
      <c r="Q47" s="34">
        <f t="shared" si="1"/>
        <v>0</v>
      </c>
      <c r="R47" s="34">
        <f t="shared" si="10"/>
        <v>10921953.627028044</v>
      </c>
      <c r="S47" s="34">
        <f t="shared" si="11"/>
        <v>10629152.881613337</v>
      </c>
      <c r="T47" s="87">
        <f t="shared" si="12"/>
        <v>27816538.181415096</v>
      </c>
      <c r="U47" s="30"/>
      <c r="V47" s="32"/>
      <c r="X47" s="31"/>
      <c r="Y47" s="31"/>
      <c r="Z47" s="30"/>
      <c r="AA47" s="33"/>
    </row>
    <row r="48" spans="2:27" x14ac:dyDescent="0.25">
      <c r="B48" s="24">
        <f t="shared" si="2"/>
        <v>22</v>
      </c>
      <c r="C48" s="95">
        <f t="shared" ref="C48" si="36">C47+1</f>
        <v>2038</v>
      </c>
      <c r="D48" s="95">
        <f t="shared" si="14"/>
        <v>91</v>
      </c>
      <c r="E48" s="34">
        <f t="shared" si="15"/>
        <v>60626.653755916857</v>
      </c>
      <c r="F48" s="34">
        <f t="shared" si="16"/>
        <v>1818.7996126775067</v>
      </c>
      <c r="G48" s="35">
        <f t="shared" si="3"/>
        <v>875.95277597949564</v>
      </c>
      <c r="H48" s="36">
        <f xml:space="preserve"> VLOOKUP( $D48, 'Mortality table'!$A$2:$B$111, 2, 0 ) * $E$18</f>
        <v>0.17696000000000001</v>
      </c>
      <c r="I48" s="36">
        <f t="shared" si="17"/>
        <v>1</v>
      </c>
      <c r="J48" s="36">
        <f t="shared" si="8"/>
        <v>0.17696000000000001</v>
      </c>
      <c r="K48" s="34">
        <f t="shared" si="4"/>
        <v>53106085.655843087</v>
      </c>
      <c r="L48" s="34">
        <f t="shared" si="5"/>
        <v>1593182.5696752935</v>
      </c>
      <c r="M48" s="34">
        <f t="shared" si="6"/>
        <v>179152778.57725871</v>
      </c>
      <c r="N48" s="34">
        <f t="shared" si="7"/>
        <v>179152778.57725871</v>
      </c>
      <c r="O48" s="34">
        <f t="shared" si="9"/>
        <v>-4767857.2649109922</v>
      </c>
      <c r="P48" s="34">
        <f t="shared" si="0"/>
        <v>17915277.85772587</v>
      </c>
      <c r="Q48" s="34">
        <f t="shared" si="1"/>
        <v>0</v>
      </c>
      <c r="R48" s="34">
        <f t="shared" si="10"/>
        <v>8741071.6523368135</v>
      </c>
      <c r="S48" s="34">
        <f t="shared" si="11"/>
        <v>8762018.7435618043</v>
      </c>
      <c r="T48" s="87">
        <f t="shared" si="12"/>
        <v>21836173.255994804</v>
      </c>
      <c r="U48" s="30"/>
      <c r="V48" s="32"/>
      <c r="X48" s="31"/>
      <c r="Y48" s="31"/>
      <c r="Z48" s="30"/>
      <c r="AA48" s="33"/>
    </row>
    <row r="49" spans="2:27" x14ac:dyDescent="0.25">
      <c r="B49" s="24">
        <f t="shared" si="2"/>
        <v>23</v>
      </c>
      <c r="C49" s="95">
        <f t="shared" ref="C49" si="37">C48+1</f>
        <v>2039</v>
      </c>
      <c r="D49" s="95">
        <f t="shared" si="14"/>
        <v>92</v>
      </c>
      <c r="E49" s="34">
        <f t="shared" si="15"/>
        <v>61839.186831035193</v>
      </c>
      <c r="F49" s="34">
        <f t="shared" si="16"/>
        <v>1855.1756049310568</v>
      </c>
      <c r="G49" s="35">
        <f t="shared" si="3"/>
        <v>708.62827671189245</v>
      </c>
      <c r="H49" s="36">
        <f xml:space="preserve"> VLOOKUP( $D49, 'Mortality table'!$A$2:$B$111, 2, 0 ) * $E$18</f>
        <v>0.19102</v>
      </c>
      <c r="I49" s="36">
        <f t="shared" si="17"/>
        <v>1</v>
      </c>
      <c r="J49" s="36">
        <f t="shared" si="8"/>
        <v>0.19102</v>
      </c>
      <c r="K49" s="34">
        <f t="shared" si="4"/>
        <v>43820996.397341222</v>
      </c>
      <c r="L49" s="34">
        <f t="shared" si="5"/>
        <v>1314629.8919202373</v>
      </c>
      <c r="M49" s="34">
        <f t="shared" si="6"/>
        <v>139391735.64531502</v>
      </c>
      <c r="N49" s="34">
        <f t="shared" si="7"/>
        <v>139391735.64531502</v>
      </c>
      <c r="O49" s="34">
        <f t="shared" si="9"/>
        <v>-3762208.3501224425</v>
      </c>
      <c r="P49" s="34">
        <f t="shared" si="0"/>
        <v>13939173.564531503</v>
      </c>
      <c r="Q49" s="34">
        <f t="shared" si="1"/>
        <v>0</v>
      </c>
      <c r="R49" s="34">
        <f t="shared" si="10"/>
        <v>6897381.9752244595</v>
      </c>
      <c r="S49" s="34">
        <f t="shared" si="11"/>
        <v>7111277.9182963837</v>
      </c>
      <c r="T49" s="87">
        <f t="shared" si="12"/>
        <v>16908512.663297903</v>
      </c>
      <c r="U49" s="30"/>
      <c r="V49" s="32"/>
      <c r="X49" s="31"/>
      <c r="Y49" s="31"/>
      <c r="Z49" s="30"/>
      <c r="AA49" s="33"/>
    </row>
    <row r="50" spans="2:27" x14ac:dyDescent="0.25">
      <c r="B50" s="24">
        <f t="shared" si="2"/>
        <v>24</v>
      </c>
      <c r="C50" s="95">
        <f t="shared" ref="C50" si="38">C49+1</f>
        <v>2040</v>
      </c>
      <c r="D50" s="95">
        <f t="shared" si="14"/>
        <v>93</v>
      </c>
      <c r="E50" s="34">
        <f t="shared" si="15"/>
        <v>63075.970567655895</v>
      </c>
      <c r="F50" s="34">
        <f t="shared" si="16"/>
        <v>1892.279117029678</v>
      </c>
      <c r="G50" s="35">
        <f t="shared" si="3"/>
        <v>563.47286051022843</v>
      </c>
      <c r="H50" s="36">
        <f xml:space="preserve"> VLOOKUP( $D50, 'Mortality table'!$A$2:$B$111, 2, 0 ) * $E$18</f>
        <v>0.20483999999999999</v>
      </c>
      <c r="I50" s="36">
        <f t="shared" si="17"/>
        <v>1</v>
      </c>
      <c r="J50" s="36">
        <f t="shared" si="8"/>
        <v>0.20483999999999999</v>
      </c>
      <c r="K50" s="34">
        <f t="shared" si="4"/>
        <v>35541597.565216042</v>
      </c>
      <c r="L50" s="34">
        <f t="shared" si="5"/>
        <v>1066247.926956482</v>
      </c>
      <c r="M50" s="34">
        <f t="shared" si="6"/>
        <v>106965642.22250195</v>
      </c>
      <c r="N50" s="34">
        <f t="shared" si="7"/>
        <v>106965642.22250195</v>
      </c>
      <c r="O50" s="34">
        <f t="shared" si="9"/>
        <v>-2927226.4485516157</v>
      </c>
      <c r="P50" s="34">
        <f t="shared" si="0"/>
        <v>10696564.222250195</v>
      </c>
      <c r="Q50" s="34">
        <f t="shared" si="1"/>
        <v>0</v>
      </c>
      <c r="R50" s="34">
        <f t="shared" si="10"/>
        <v>5366581.8223446282</v>
      </c>
      <c r="S50" s="34">
        <f t="shared" si="11"/>
        <v>5681964.7160743205</v>
      </c>
      <c r="T50" s="87">
        <f t="shared" si="12"/>
        <v>12917399.213553375</v>
      </c>
      <c r="U50" s="30"/>
      <c r="V50" s="32"/>
      <c r="X50" s="31"/>
      <c r="Y50" s="31"/>
      <c r="Z50" s="30"/>
      <c r="AA50" s="33"/>
    </row>
    <row r="51" spans="2:27" x14ac:dyDescent="0.25">
      <c r="B51" s="24">
        <f t="shared" si="2"/>
        <v>25</v>
      </c>
      <c r="C51" s="95">
        <f t="shared" ref="C51" si="39">C50+1</f>
        <v>2041</v>
      </c>
      <c r="D51" s="95">
        <f t="shared" si="14"/>
        <v>94</v>
      </c>
      <c r="E51" s="34">
        <f t="shared" si="15"/>
        <v>64337.489979009013</v>
      </c>
      <c r="F51" s="34">
        <f t="shared" si="16"/>
        <v>1930.1246993702716</v>
      </c>
      <c r="G51" s="35">
        <f t="shared" si="3"/>
        <v>440.50054343247621</v>
      </c>
      <c r="H51" s="36">
        <f xml:space="preserve"> VLOOKUP( $D51, 'Mortality table'!$A$2:$B$111, 2, 0 ) * $E$18</f>
        <v>0.21823999999999999</v>
      </c>
      <c r="I51" s="36">
        <f t="shared" si="17"/>
        <v>1</v>
      </c>
      <c r="J51" s="36">
        <f t="shared" si="8"/>
        <v>0.21823999999999999</v>
      </c>
      <c r="K51" s="34">
        <f t="shared" si="4"/>
        <v>28340699.298834961</v>
      </c>
      <c r="L51" s="34">
        <f t="shared" si="5"/>
        <v>850220.97896504938</v>
      </c>
      <c r="M51" s="34">
        <f t="shared" si="6"/>
        <v>80983691.211376995</v>
      </c>
      <c r="N51" s="34">
        <f t="shared" si="7"/>
        <v>80983691.211376995</v>
      </c>
      <c r="O51" s="34">
        <f t="shared" si="9"/>
        <v>-2246278.4866725383</v>
      </c>
      <c r="P51" s="34">
        <f t="shared" si="0"/>
        <v>8098369.1211377</v>
      </c>
      <c r="Q51" s="34">
        <f t="shared" si="1"/>
        <v>0</v>
      </c>
      <c r="R51" s="34">
        <f t="shared" si="10"/>
        <v>4118177.2255663248</v>
      </c>
      <c r="S51" s="34">
        <f t="shared" si="11"/>
        <v>4470093.8400062816</v>
      </c>
      <c r="T51" s="87">
        <f t="shared" si="12"/>
        <v>9739045.2949024308</v>
      </c>
      <c r="U51" s="30"/>
      <c r="V51" s="32"/>
      <c r="X51" s="31"/>
      <c r="Y51" s="31"/>
      <c r="Z51" s="30"/>
      <c r="AA51" s="33"/>
    </row>
    <row r="52" spans="2:27" x14ac:dyDescent="0.25">
      <c r="B52" s="24">
        <f t="shared" si="2"/>
        <v>26</v>
      </c>
      <c r="C52" s="95">
        <f t="shared" ref="C52" si="40">C51+1</f>
        <v>2042</v>
      </c>
      <c r="D52" s="95">
        <f t="shared" si="14"/>
        <v>95</v>
      </c>
      <c r="E52" s="34">
        <f t="shared" si="15"/>
        <v>65624.239778589195</v>
      </c>
      <c r="F52" s="34">
        <f t="shared" si="16"/>
        <v>1968.7271933576772</v>
      </c>
      <c r="G52" s="35">
        <f t="shared" si="3"/>
        <v>338.71848786696825</v>
      </c>
      <c r="H52" s="36">
        <f xml:space="preserve"> VLOOKUP( $D52, 'Mortality table'!$A$2:$B$111, 2, 0 ) * $E$18</f>
        <v>0.23105999999999999</v>
      </c>
      <c r="I52" s="36">
        <f t="shared" si="17"/>
        <v>1</v>
      </c>
      <c r="J52" s="36">
        <f t="shared" si="8"/>
        <v>0.23105999999999999</v>
      </c>
      <c r="K52" s="34">
        <f t="shared" si="4"/>
        <v>22228143.265223078</v>
      </c>
      <c r="L52" s="34">
        <f t="shared" si="5"/>
        <v>666844.29795669287</v>
      </c>
      <c r="M52" s="34">
        <f t="shared" si="6"/>
        <v>60518214.384538539</v>
      </c>
      <c r="N52" s="34">
        <f t="shared" si="7"/>
        <v>60518214.384538539</v>
      </c>
      <c r="O52" s="34">
        <f t="shared" si="9"/>
        <v>-1700657.5154389213</v>
      </c>
      <c r="P52" s="34">
        <f t="shared" si="0"/>
        <v>6051821.4384538541</v>
      </c>
      <c r="Q52" s="34">
        <f t="shared" si="1"/>
        <v>0</v>
      </c>
      <c r="R52" s="34">
        <f t="shared" si="10"/>
        <v>3117872.1116380142</v>
      </c>
      <c r="S52" s="34">
        <f t="shared" si="11"/>
        <v>3463762.2788829389</v>
      </c>
      <c r="T52" s="87">
        <f t="shared" si="12"/>
        <v>7249187.5455097351</v>
      </c>
      <c r="U52" s="30"/>
      <c r="V52" s="32"/>
      <c r="X52" s="31"/>
      <c r="Y52" s="31"/>
      <c r="Z52" s="30"/>
      <c r="AA52" s="33"/>
    </row>
    <row r="53" spans="2:27" x14ac:dyDescent="0.25">
      <c r="B53" s="24">
        <f t="shared" si="2"/>
        <v>27</v>
      </c>
      <c r="C53" s="95">
        <f t="shared" ref="C53" si="41">C52+1</f>
        <v>2043</v>
      </c>
      <c r="D53" s="95">
        <f t="shared" si="14"/>
        <v>96</v>
      </c>
      <c r="E53" s="34">
        <f t="shared" si="15"/>
        <v>66936.72457416098</v>
      </c>
      <c r="F53" s="34">
        <f t="shared" si="16"/>
        <v>2008.1017372248307</v>
      </c>
      <c r="G53" s="35">
        <f t="shared" si="3"/>
        <v>256.35908754211493</v>
      </c>
      <c r="H53" s="36">
        <f xml:space="preserve"> VLOOKUP( $D53, 'Mortality table'!$A$2:$B$111, 2, 0 ) * $E$18</f>
        <v>0.24315000000000001</v>
      </c>
      <c r="I53" s="36">
        <f t="shared" si="17"/>
        <v>1</v>
      </c>
      <c r="J53" s="36">
        <f t="shared" si="8"/>
        <v>0.24315000000000001</v>
      </c>
      <c r="K53" s="34">
        <f t="shared" si="4"/>
        <v>17159837.63488977</v>
      </c>
      <c r="L53" s="34">
        <f t="shared" si="5"/>
        <v>514795.12904669344</v>
      </c>
      <c r="M53" s="34">
        <f t="shared" si="6"/>
        <v>44659128.052138232</v>
      </c>
      <c r="N53" s="34">
        <f t="shared" si="7"/>
        <v>44659128.052138232</v>
      </c>
      <c r="O53" s="34">
        <f t="shared" si="9"/>
        <v>-1270882.5020753096</v>
      </c>
      <c r="P53" s="34">
        <f t="shared" si="0"/>
        <v>4465912.805213823</v>
      </c>
      <c r="Q53" s="34">
        <f t="shared" si="1"/>
        <v>0</v>
      </c>
      <c r="R53" s="34">
        <f t="shared" si="10"/>
        <v>2329951.253804734</v>
      </c>
      <c r="S53" s="34">
        <f t="shared" si="11"/>
        <v>2644977.3849694552</v>
      </c>
      <c r="T53" s="87">
        <f t="shared" si="12"/>
        <v>5329128.9150912538</v>
      </c>
      <c r="U53" s="30"/>
      <c r="V53" s="32"/>
      <c r="X53" s="31"/>
      <c r="Y53" s="31"/>
      <c r="Z53" s="30"/>
      <c r="AA53" s="33"/>
    </row>
    <row r="54" spans="2:27" x14ac:dyDescent="0.25">
      <c r="B54" s="24">
        <f t="shared" si="2"/>
        <v>28</v>
      </c>
      <c r="C54" s="95">
        <f t="shared" ref="C54" si="42">C53+1</f>
        <v>2044</v>
      </c>
      <c r="D54" s="95">
        <f t="shared" si="14"/>
        <v>97</v>
      </c>
      <c r="E54" s="34">
        <f t="shared" si="15"/>
        <v>68275.459065644201</v>
      </c>
      <c r="F54" s="34">
        <f t="shared" si="16"/>
        <v>2048.2637719693275</v>
      </c>
      <c r="G54" s="35">
        <f t="shared" si="3"/>
        <v>191.14902644402716</v>
      </c>
      <c r="H54" s="36">
        <f xml:space="preserve"> VLOOKUP( $D54, 'Mortality table'!$A$2:$B$111, 2, 0 ) * $E$18</f>
        <v>0.25436999999999999</v>
      </c>
      <c r="I54" s="36">
        <f t="shared" si="17"/>
        <v>1</v>
      </c>
      <c r="J54" s="36">
        <f t="shared" si="8"/>
        <v>0.25436999999999999</v>
      </c>
      <c r="K54" s="34">
        <f t="shared" si="4"/>
        <v>13050787.530416917</v>
      </c>
      <c r="L54" s="34">
        <f t="shared" si="5"/>
        <v>391523.62591250782</v>
      </c>
      <c r="M54" s="34">
        <f t="shared" si="6"/>
        <v>32556590.737372957</v>
      </c>
      <c r="N54" s="34">
        <f t="shared" si="7"/>
        <v>32556590.737372957</v>
      </c>
      <c r="O54" s="34">
        <f t="shared" si="9"/>
        <v>-937841.68909490528</v>
      </c>
      <c r="P54" s="34">
        <f t="shared" si="0"/>
        <v>3255659.0737372958</v>
      </c>
      <c r="Q54" s="34">
        <f t="shared" si="1"/>
        <v>0</v>
      </c>
      <c r="R54" s="34">
        <f t="shared" si="10"/>
        <v>1719376.4300073218</v>
      </c>
      <c r="S54" s="34">
        <f t="shared" si="11"/>
        <v>1991788.4723889437</v>
      </c>
      <c r="T54" s="87">
        <f t="shared" si="12"/>
        <v>3870253.3342114361</v>
      </c>
      <c r="U54" s="30"/>
      <c r="V54" s="32"/>
      <c r="X54" s="31"/>
      <c r="Y54" s="31"/>
      <c r="Z54" s="30"/>
      <c r="AA54" s="33"/>
    </row>
    <row r="55" spans="2:27" x14ac:dyDescent="0.25">
      <c r="B55" s="24">
        <f t="shared" si="2"/>
        <v>29</v>
      </c>
      <c r="C55" s="95">
        <f t="shared" ref="C55" si="43">C54+1</f>
        <v>2045</v>
      </c>
      <c r="D55" s="95">
        <f t="shared" si="14"/>
        <v>98</v>
      </c>
      <c r="E55" s="34">
        <f t="shared" si="15"/>
        <v>69640.968246957083</v>
      </c>
      <c r="F55" s="34">
        <f t="shared" si="16"/>
        <v>2089.229047408714</v>
      </c>
      <c r="G55" s="35">
        <f t="shared" si="3"/>
        <v>140.57481702746645</v>
      </c>
      <c r="H55" s="36">
        <f xml:space="preserve"> VLOOKUP( $D55, 'Mortality table'!$A$2:$B$111, 2, 0 ) * $E$18</f>
        <v>0.26457999999999998</v>
      </c>
      <c r="I55" s="36">
        <f t="shared" si="17"/>
        <v>1</v>
      </c>
      <c r="J55" s="36">
        <f t="shared" si="8"/>
        <v>0.26457999999999998</v>
      </c>
      <c r="K55" s="34">
        <f t="shared" si="4"/>
        <v>9789766.3689315934</v>
      </c>
      <c r="L55" s="34">
        <f t="shared" si="5"/>
        <v>293692.99106794799</v>
      </c>
      <c r="M55" s="34">
        <f t="shared" si="6"/>
        <v>23449829.099494606</v>
      </c>
      <c r="N55" s="34">
        <f t="shared" si="7"/>
        <v>23449829.099494606</v>
      </c>
      <c r="O55" s="34">
        <f t="shared" si="9"/>
        <v>-683688.40548483317</v>
      </c>
      <c r="P55" s="34">
        <f t="shared" si="0"/>
        <v>2344982.9099494605</v>
      </c>
      <c r="Q55" s="34">
        <f t="shared" si="1"/>
        <v>0</v>
      </c>
      <c r="R55" s="34">
        <f t="shared" si="10"/>
        <v>1253428.7433888589</v>
      </c>
      <c r="S55" s="34">
        <f t="shared" si="11"/>
        <v>1480416.5016918611</v>
      </c>
      <c r="T55" s="87">
        <f t="shared" si="12"/>
        <v>2776862.1659407187</v>
      </c>
      <c r="U55" s="30"/>
      <c r="V55" s="32"/>
      <c r="X55" s="31"/>
      <c r="Y55" s="31"/>
      <c r="Z55" s="30"/>
      <c r="AA55" s="33"/>
    </row>
    <row r="56" spans="2:27" x14ac:dyDescent="0.25">
      <c r="B56" s="24">
        <f t="shared" si="2"/>
        <v>30</v>
      </c>
      <c r="C56" s="95">
        <f t="shared" ref="C56" si="44">C55+1</f>
        <v>2046</v>
      </c>
      <c r="D56" s="95">
        <f t="shared" si="14"/>
        <v>99</v>
      </c>
      <c r="E56" s="34">
        <f t="shared" si="15"/>
        <v>71033.78761189623</v>
      </c>
      <c r="F56" s="34">
        <f t="shared" si="16"/>
        <v>2131.0136283568881</v>
      </c>
      <c r="G56" s="35">
        <f t="shared" si="3"/>
        <v>102.10511259972998</v>
      </c>
      <c r="H56" s="36">
        <f xml:space="preserve"> VLOOKUP( $D56, 'Mortality table'!$A$2:$B$111, 2, 0 ) * $E$18</f>
        <v>0.27366000000000001</v>
      </c>
      <c r="I56" s="36">
        <f t="shared" si="17"/>
        <v>1</v>
      </c>
      <c r="J56" s="36">
        <f t="shared" si="8"/>
        <v>0.27366000000000001</v>
      </c>
      <c r="K56" s="34">
        <f t="shared" si="4"/>
        <v>7252912.8824979691</v>
      </c>
      <c r="L56" s="34">
        <f t="shared" si="5"/>
        <v>217587.38647493921</v>
      </c>
      <c r="M56" s="34">
        <f t="shared" si="6"/>
        <v>16682823.703506535</v>
      </c>
      <c r="N56" s="34">
        <f t="shared" si="7"/>
        <v>16682823.703506535</v>
      </c>
      <c r="O56" s="34">
        <f t="shared" si="9"/>
        <v>-492446.41108938574</v>
      </c>
      <c r="P56" s="34">
        <f t="shared" si="0"/>
        <v>1668282.3703506535</v>
      </c>
      <c r="Q56" s="34">
        <f t="shared" si="1"/>
        <v>0</v>
      </c>
      <c r="R56" s="34">
        <f t="shared" si="10"/>
        <v>902818.42033054237</v>
      </c>
      <c r="S56" s="34">
        <f t="shared" si="11"/>
        <v>1087072.5488399635</v>
      </c>
      <c r="T56" s="87">
        <f t="shared" si="12"/>
        <v>1967475.833694827</v>
      </c>
      <c r="U56" s="30"/>
      <c r="V56" s="32"/>
      <c r="X56" s="31"/>
      <c r="Y56" s="31"/>
      <c r="Z56" s="30"/>
      <c r="AA56" s="33"/>
    </row>
    <row r="57" spans="2:27" x14ac:dyDescent="0.25">
      <c r="B57" s="24">
        <f t="shared" si="2"/>
        <v>31</v>
      </c>
      <c r="C57" s="95">
        <f t="shared" ref="C57" si="45">C56+1</f>
        <v>2047</v>
      </c>
      <c r="D57" s="95">
        <f t="shared" si="14"/>
        <v>100</v>
      </c>
      <c r="E57" s="34">
        <f t="shared" si="15"/>
        <v>72454.46336413415</v>
      </c>
      <c r="F57" s="34">
        <f t="shared" si="16"/>
        <v>2173.633900924026</v>
      </c>
      <c r="G57" s="35">
        <f t="shared" si="3"/>
        <v>73.306365590976142</v>
      </c>
      <c r="H57" s="36">
        <f xml:space="preserve"> VLOOKUP( $D57, 'Mortality table'!$A$2:$B$111, 2, 0 ) * $E$18</f>
        <v>0.28205000000000002</v>
      </c>
      <c r="I57" s="36">
        <f t="shared" si="17"/>
        <v>1</v>
      </c>
      <c r="J57" s="36">
        <f t="shared" si="8"/>
        <v>0.28205000000000002</v>
      </c>
      <c r="K57" s="34">
        <f t="shared" si="4"/>
        <v>5311373.3800692055</v>
      </c>
      <c r="L57" s="34">
        <f t="shared" si="5"/>
        <v>159341.20140207626</v>
      </c>
      <c r="M57" s="34">
        <f t="shared" si="6"/>
        <v>11712593.833140448</v>
      </c>
      <c r="N57" s="34">
        <f t="shared" si="7"/>
        <v>11712593.833140448</v>
      </c>
      <c r="O57" s="34">
        <f t="shared" si="9"/>
        <v>-350339.29777363641</v>
      </c>
      <c r="P57" s="34">
        <f t="shared" si="0"/>
        <v>1171259.3833140449</v>
      </c>
      <c r="Q57" s="34">
        <f t="shared" si="1"/>
        <v>0</v>
      </c>
      <c r="R57" s="34">
        <f t="shared" si="10"/>
        <v>642288.7125850016</v>
      </c>
      <c r="S57" s="34">
        <f t="shared" si="11"/>
        <v>788972.40184797382</v>
      </c>
      <c r="T57" s="87">
        <f t="shared" si="12"/>
        <v>1375251.0152163361</v>
      </c>
      <c r="U57" s="30"/>
      <c r="V57" s="32"/>
      <c r="X57" s="31"/>
      <c r="Y57" s="31"/>
      <c r="Z57" s="30"/>
      <c r="AA57" s="33"/>
    </row>
    <row r="58" spans="2:27" x14ac:dyDescent="0.25">
      <c r="B58" s="24">
        <f t="shared" si="2"/>
        <v>32</v>
      </c>
      <c r="C58" s="95">
        <f t="shared" ref="C58" si="46">C57+1</f>
        <v>2048</v>
      </c>
      <c r="D58" s="95">
        <f t="shared" si="14"/>
        <v>101</v>
      </c>
      <c r="E58" s="34">
        <f t="shared" si="15"/>
        <v>73903.552631416838</v>
      </c>
      <c r="F58" s="34">
        <f t="shared" si="16"/>
        <v>2217.1065789425065</v>
      </c>
      <c r="G58" s="35">
        <f t="shared" si="3"/>
        <v>51.919233429808855</v>
      </c>
      <c r="H58" s="36">
        <f xml:space="preserve"> VLOOKUP( $D58, 'Mortality table'!$A$2:$B$111, 2, 0 ) * $E$18</f>
        <v>0.29175000000000001</v>
      </c>
      <c r="I58" s="36">
        <f t="shared" si="17"/>
        <v>1</v>
      </c>
      <c r="J58" s="36">
        <f t="shared" si="8"/>
        <v>0.29175000000000001</v>
      </c>
      <c r="K58" s="34">
        <f t="shared" si="4"/>
        <v>3837015.8003626955</v>
      </c>
      <c r="L58" s="34">
        <f t="shared" si="5"/>
        <v>115110.47401088093</v>
      </c>
      <c r="M58" s="34">
        <f t="shared" si="6"/>
        <v>8111845.3737610849</v>
      </c>
      <c r="N58" s="34">
        <f t="shared" si="7"/>
        <v>8111845.3737610849</v>
      </c>
      <c r="O58" s="34">
        <f t="shared" si="9"/>
        <v>-245964.47049594953</v>
      </c>
      <c r="P58" s="34">
        <f t="shared" si="0"/>
        <v>811184.53737610858</v>
      </c>
      <c r="Q58" s="34">
        <f t="shared" si="1"/>
        <v>0</v>
      </c>
      <c r="R58" s="34">
        <f t="shared" si="10"/>
        <v>450934.86257590726</v>
      </c>
      <c r="S58" s="34">
        <f t="shared" si="11"/>
        <v>565045.23801789409</v>
      </c>
      <c r="T58" s="87">
        <f t="shared" si="12"/>
        <v>947730.87872007582</v>
      </c>
      <c r="U58" s="30"/>
      <c r="V58" s="32"/>
      <c r="X58" s="31"/>
      <c r="Y58" s="31"/>
      <c r="Z58" s="30"/>
      <c r="AA58" s="33"/>
    </row>
    <row r="59" spans="2:27" x14ac:dyDescent="0.25">
      <c r="B59" s="24">
        <f t="shared" si="2"/>
        <v>33</v>
      </c>
      <c r="C59" s="95">
        <f t="shared" ref="C59" si="47">C58+1</f>
        <v>2049</v>
      </c>
      <c r="D59" s="95">
        <f t="shared" si="14"/>
        <v>102</v>
      </c>
      <c r="E59" s="34">
        <f t="shared" si="15"/>
        <v>75381.623684045175</v>
      </c>
      <c r="F59" s="34">
        <f t="shared" si="16"/>
        <v>2261.4487105213566</v>
      </c>
      <c r="G59" s="35">
        <f t="shared" si="3"/>
        <v>36.333079554180237</v>
      </c>
      <c r="H59" s="36">
        <f xml:space="preserve"> VLOOKUP( $D59, 'Mortality table'!$A$2:$B$111, 2, 0 ) * $E$18</f>
        <v>0.30020000000000002</v>
      </c>
      <c r="I59" s="36">
        <f t="shared" si="17"/>
        <v>1</v>
      </c>
      <c r="J59" s="36">
        <f t="shared" si="8"/>
        <v>0.30020000000000002</v>
      </c>
      <c r="K59" s="34">
        <f t="shared" si="4"/>
        <v>2738846.5302356905</v>
      </c>
      <c r="L59" s="34">
        <f t="shared" si="5"/>
        <v>82165.395907070764</v>
      </c>
      <c r="M59" s="34">
        <f t="shared" si="6"/>
        <v>5534188.8088311562</v>
      </c>
      <c r="N59" s="34">
        <f t="shared" si="7"/>
        <v>5534188.8088311562</v>
      </c>
      <c r="O59" s="34">
        <f t="shared" si="9"/>
        <v>-170348.75284898299</v>
      </c>
      <c r="P59" s="34">
        <f t="shared" si="0"/>
        <v>553418.88088311569</v>
      </c>
      <c r="Q59" s="34">
        <f t="shared" si="1"/>
        <v>0</v>
      </c>
      <c r="R59" s="34">
        <f t="shared" si="10"/>
        <v>312306.0468898018</v>
      </c>
      <c r="S59" s="34">
        <f t="shared" si="11"/>
        <v>399722.9505338117</v>
      </c>
      <c r="T59" s="87">
        <f t="shared" si="12"/>
        <v>642781.01605827175</v>
      </c>
      <c r="U59" s="30"/>
      <c r="V59" s="32"/>
      <c r="X59" s="31"/>
      <c r="Y59" s="31"/>
      <c r="Z59" s="30"/>
      <c r="AA59" s="33"/>
    </row>
    <row r="60" spans="2:27" x14ac:dyDescent="0.25">
      <c r="B60" s="24">
        <f t="shared" si="2"/>
        <v>34</v>
      </c>
      <c r="C60" s="95">
        <f t="shared" ref="C60" si="48">C59+1</f>
        <v>2050</v>
      </c>
      <c r="D60" s="95">
        <f t="shared" si="14"/>
        <v>103</v>
      </c>
      <c r="E60" s="34">
        <f t="shared" si="15"/>
        <v>76889.256157726079</v>
      </c>
      <c r="F60" s="34">
        <f t="shared" si="16"/>
        <v>2306.6776847317838</v>
      </c>
      <c r="G60" s="35">
        <f t="shared" si="3"/>
        <v>25.154117636950062</v>
      </c>
      <c r="H60" s="36">
        <f xml:space="preserve"> VLOOKUP( $D60, 'Mortality table'!$A$2:$B$111, 2, 0 ) * $E$18</f>
        <v>0.30768000000000001</v>
      </c>
      <c r="I60" s="36">
        <f t="shared" si="17"/>
        <v>1</v>
      </c>
      <c r="J60" s="36">
        <f t="shared" si="8"/>
        <v>0.30768000000000001</v>
      </c>
      <c r="K60" s="34">
        <f t="shared" si="4"/>
        <v>1934081.3944090288</v>
      </c>
      <c r="L60" s="34">
        <f t="shared" si="5"/>
        <v>58022.441832270895</v>
      </c>
      <c r="M60" s="34">
        <f t="shared" si="6"/>
        <v>3708110.636854792</v>
      </c>
      <c r="N60" s="34">
        <f t="shared" si="7"/>
        <v>3708110.636854792</v>
      </c>
      <c r="O60" s="34">
        <f t="shared" si="9"/>
        <v>-116217.96498545486</v>
      </c>
      <c r="P60" s="34">
        <f t="shared" si="0"/>
        <v>370811.06368547922</v>
      </c>
      <c r="Q60" s="34">
        <f t="shared" si="1"/>
        <v>0</v>
      </c>
      <c r="R60" s="34">
        <f t="shared" si="10"/>
        <v>213066.26913999952</v>
      </c>
      <c r="S60" s="34">
        <f t="shared" si="11"/>
        <v>279456.12135218113</v>
      </c>
      <c r="T60" s="87">
        <f t="shared" si="12"/>
        <v>427602.99631191784</v>
      </c>
      <c r="U60" s="30"/>
      <c r="V60" s="32"/>
      <c r="X60" s="31"/>
      <c r="Y60" s="31"/>
      <c r="Z60" s="30"/>
      <c r="AA60" s="33"/>
    </row>
    <row r="61" spans="2:27" x14ac:dyDescent="0.25">
      <c r="B61" s="24">
        <f t="shared" si="2"/>
        <v>35</v>
      </c>
      <c r="C61" s="95">
        <f t="shared" ref="C61" si="49">C60+1</f>
        <v>2051</v>
      </c>
      <c r="D61" s="95">
        <f t="shared" si="14"/>
        <v>104</v>
      </c>
      <c r="E61" s="34">
        <f t="shared" si="15"/>
        <v>78427.0412808806</v>
      </c>
      <c r="F61" s="34">
        <f t="shared" si="16"/>
        <v>2352.8112384264195</v>
      </c>
      <c r="G61" s="35">
        <f t="shared" si="3"/>
        <v>17.244908428363853</v>
      </c>
      <c r="H61" s="36">
        <f xml:space="preserve"> VLOOKUP( $D61, 'Mortality table'!$A$2:$B$111, 2, 0 ) * $E$18</f>
        <v>0.31442999999999999</v>
      </c>
      <c r="I61" s="36">
        <f t="shared" si="17"/>
        <v>1</v>
      </c>
      <c r="J61" s="36">
        <f t="shared" si="8"/>
        <v>0.31442999999999999</v>
      </c>
      <c r="K61" s="34">
        <f t="shared" si="4"/>
        <v>1352467.1451962977</v>
      </c>
      <c r="L61" s="34">
        <f t="shared" si="5"/>
        <v>40574.014355888961</v>
      </c>
      <c r="M61" s="34">
        <f t="shared" si="6"/>
        <v>2426312.7964082491</v>
      </c>
      <c r="N61" s="34">
        <f t="shared" si="7"/>
        <v>2426312.7964082491</v>
      </c>
      <c r="O61" s="34">
        <f t="shared" si="9"/>
        <v>-77870.32337395064</v>
      </c>
      <c r="P61" s="34">
        <f t="shared" si="0"/>
        <v>242631.27964082491</v>
      </c>
      <c r="Q61" s="34">
        <f t="shared" si="1"/>
        <v>0</v>
      </c>
      <c r="R61" s="34">
        <f t="shared" si="10"/>
        <v>142762.25951890947</v>
      </c>
      <c r="S61" s="34">
        <f t="shared" si="11"/>
        <v>193071.72018961314</v>
      </c>
      <c r="T61" s="87">
        <f t="shared" si="12"/>
        <v>277291.57575349649</v>
      </c>
      <c r="U61" s="30"/>
      <c r="V61" s="32"/>
      <c r="X61" s="31"/>
      <c r="Y61" s="31"/>
      <c r="Z61" s="30"/>
      <c r="AA61" s="33"/>
    </row>
    <row r="62" spans="2:27" x14ac:dyDescent="0.25">
      <c r="B62" s="24">
        <f t="shared" si="2"/>
        <v>36</v>
      </c>
      <c r="C62" s="95">
        <f t="shared" ref="C62" si="50">C61+1</f>
        <v>2052</v>
      </c>
      <c r="D62" s="95">
        <f t="shared" si="14"/>
        <v>105</v>
      </c>
      <c r="E62" s="34">
        <f t="shared" si="15"/>
        <v>79995.582106498216</v>
      </c>
      <c r="F62" s="34">
        <f t="shared" si="16"/>
        <v>2399.867463194948</v>
      </c>
      <c r="G62" s="35">
        <f t="shared" si="3"/>
        <v>11.71463874447185</v>
      </c>
      <c r="H62" s="36">
        <f xml:space="preserve"> VLOOKUP( $D62, 'Mortality table'!$A$2:$B$111, 2, 0 ) * $E$18</f>
        <v>0.32068999999999998</v>
      </c>
      <c r="I62" s="36">
        <f t="shared" si="17"/>
        <v>1</v>
      </c>
      <c r="J62" s="36">
        <f t="shared" si="8"/>
        <v>0.32068999999999998</v>
      </c>
      <c r="K62" s="34">
        <f t="shared" si="4"/>
        <v>937119.34553136304</v>
      </c>
      <c r="L62" s="34">
        <f t="shared" si="5"/>
        <v>28113.58036594091</v>
      </c>
      <c r="M62" s="34">
        <f t="shared" si="6"/>
        <v>1533869.2544031923</v>
      </c>
      <c r="N62" s="34">
        <f t="shared" si="7"/>
        <v>1533869.2544031923</v>
      </c>
      <c r="O62" s="34">
        <f t="shared" si="9"/>
        <v>-50952.568724573051</v>
      </c>
      <c r="P62" s="34">
        <f t="shared" si="0"/>
        <v>153386.92544031923</v>
      </c>
      <c r="Q62" s="34">
        <f t="shared" si="1"/>
        <v>0</v>
      </c>
      <c r="R62" s="34">
        <f t="shared" si="10"/>
        <v>93413.042661717584</v>
      </c>
      <c r="S62" s="34">
        <f t="shared" si="11"/>
        <v>131704.82813765021</v>
      </c>
      <c r="T62" s="87">
        <f t="shared" si="12"/>
        <v>173315.90519119592</v>
      </c>
      <c r="U62" s="30"/>
      <c r="V62" s="32"/>
      <c r="X62" s="31"/>
      <c r="Y62" s="31"/>
      <c r="Z62" s="30"/>
      <c r="AA62" s="33"/>
    </row>
    <row r="63" spans="2:27" x14ac:dyDescent="0.25">
      <c r="B63" s="24">
        <f t="shared" si="2"/>
        <v>37</v>
      </c>
      <c r="C63" s="95">
        <f t="shared" ref="C63" si="51">C62+1</f>
        <v>2053</v>
      </c>
      <c r="D63" s="95">
        <f t="shared" si="14"/>
        <v>106</v>
      </c>
      <c r="E63" s="34">
        <f t="shared" si="15"/>
        <v>81595.493748628185</v>
      </c>
      <c r="F63" s="34">
        <f t="shared" si="16"/>
        <v>2447.8648124588472</v>
      </c>
      <c r="G63" s="35">
        <f t="shared" si="3"/>
        <v>7.8944950498995796</v>
      </c>
      <c r="H63" s="36">
        <f xml:space="preserve"> VLOOKUP( $D63, 'Mortality table'!$A$2:$B$111, 2, 0 ) * $E$18</f>
        <v>0.3261</v>
      </c>
      <c r="I63" s="36">
        <f t="shared" si="17"/>
        <v>1</v>
      </c>
      <c r="J63" s="36">
        <f t="shared" si="8"/>
        <v>0.3261</v>
      </c>
      <c r="K63" s="34">
        <f t="shared" si="4"/>
        <v>644155.22149265732</v>
      </c>
      <c r="L63" s="34">
        <f t="shared" si="5"/>
        <v>19324.65664477973</v>
      </c>
      <c r="M63" s="34">
        <f t="shared" si="6"/>
        <v>916405.45389785117</v>
      </c>
      <c r="N63" s="34">
        <f t="shared" si="7"/>
        <v>916405.45389785117</v>
      </c>
      <c r="O63" s="34">
        <f t="shared" si="9"/>
        <v>-32211.254342467128</v>
      </c>
      <c r="P63" s="34">
        <f t="shared" si="0"/>
        <v>91640.545389785126</v>
      </c>
      <c r="Q63" s="34">
        <f t="shared" si="1"/>
        <v>0</v>
      </c>
      <c r="R63" s="34">
        <f t="shared" si="10"/>
        <v>59053.966294522899</v>
      </c>
      <c r="S63" s="34">
        <f t="shared" si="11"/>
        <v>88589.092002589881</v>
      </c>
      <c r="T63" s="87">
        <f t="shared" si="12"/>
        <v>102058.40370772565</v>
      </c>
      <c r="U63" s="30"/>
      <c r="V63" s="32"/>
      <c r="X63" s="31"/>
      <c r="Y63" s="31"/>
      <c r="Z63" s="30"/>
      <c r="AA63" s="33"/>
    </row>
    <row r="64" spans="2:27" x14ac:dyDescent="0.25">
      <c r="B64" s="24">
        <f t="shared" si="2"/>
        <v>38</v>
      </c>
      <c r="C64" s="95">
        <f t="shared" ref="C64" si="52">C63+1</f>
        <v>2054</v>
      </c>
      <c r="D64" s="95">
        <f t="shared" si="14"/>
        <v>107</v>
      </c>
      <c r="E64" s="34">
        <f t="shared" si="15"/>
        <v>83227.403623600752</v>
      </c>
      <c r="F64" s="34">
        <f t="shared" si="16"/>
        <v>2496.8221087080242</v>
      </c>
      <c r="G64" s="35">
        <f t="shared" si="3"/>
        <v>5.2806277388778291</v>
      </c>
      <c r="H64" s="36">
        <f xml:space="preserve"> VLOOKUP( $D64, 'Mortality table'!$A$2:$B$111, 2, 0 ) * $E$18</f>
        <v>0.33110000000000001</v>
      </c>
      <c r="I64" s="36">
        <f t="shared" si="17"/>
        <v>1</v>
      </c>
      <c r="J64" s="36">
        <f t="shared" si="8"/>
        <v>0.33110000000000001</v>
      </c>
      <c r="K64" s="34">
        <f t="shared" si="4"/>
        <v>439492.9362095673</v>
      </c>
      <c r="L64" s="34">
        <f t="shared" si="5"/>
        <v>13184.788086287026</v>
      </c>
      <c r="M64" s="34">
        <f t="shared" si="6"/>
        <v>491219.8932189325</v>
      </c>
      <c r="N64" s="34">
        <f t="shared" si="7"/>
        <v>491219.8932189325</v>
      </c>
      <c r="O64" s="34">
        <f t="shared" si="9"/>
        <v>-19244.514531854962</v>
      </c>
      <c r="P64" s="34">
        <f t="shared" si="0"/>
        <v>49121.989321893256</v>
      </c>
      <c r="Q64" s="34">
        <f t="shared" si="1"/>
        <v>0</v>
      </c>
      <c r="R64" s="34">
        <f t="shared" si="10"/>
        <v>35281.609975067273</v>
      </c>
      <c r="S64" s="34">
        <f t="shared" si="11"/>
        <v>58555.651511104181</v>
      </c>
      <c r="T64" s="87">
        <f t="shared" si="12"/>
        <v>53708.592567394051</v>
      </c>
      <c r="U64" s="30"/>
      <c r="V64" s="32"/>
      <c r="X64" s="31"/>
      <c r="Y64" s="31"/>
      <c r="Z64" s="30"/>
      <c r="AA64" s="33"/>
    </row>
    <row r="65" spans="1:27" x14ac:dyDescent="0.25">
      <c r="B65" s="24">
        <f t="shared" si="2"/>
        <v>39</v>
      </c>
      <c r="C65" s="95">
        <f t="shared" ref="C65" si="53">C64+1</f>
        <v>2055</v>
      </c>
      <c r="D65" s="95">
        <f t="shared" si="14"/>
        <v>108</v>
      </c>
      <c r="E65" s="34">
        <f t="shared" si="15"/>
        <v>84891.951696072763</v>
      </c>
      <c r="F65" s="34">
        <f t="shared" si="16"/>
        <v>2546.7585508821849</v>
      </c>
      <c r="G65" s="35">
        <f t="shared" si="3"/>
        <v>3.503326860803718</v>
      </c>
      <c r="H65" s="36">
        <f xml:space="preserve"> VLOOKUP( $D65, 'Mortality table'!$A$2:$B$111, 2, 0 ) * $E$18</f>
        <v>0.33656999999999998</v>
      </c>
      <c r="I65" s="36">
        <f t="shared" si="17"/>
        <v>1</v>
      </c>
      <c r="J65" s="36">
        <f t="shared" si="8"/>
        <v>0.33656999999999998</v>
      </c>
      <c r="K65" s="34">
        <f t="shared" si="4"/>
        <v>297404.25464290346</v>
      </c>
      <c r="L65" s="34">
        <f t="shared" si="5"/>
        <v>8922.1276392871114</v>
      </c>
      <c r="M65" s="34">
        <f t="shared" si="6"/>
        <v>199630.10773330997</v>
      </c>
      <c r="N65" s="34">
        <f t="shared" si="7"/>
        <v>199630.10773330997</v>
      </c>
      <c r="O65" s="34">
        <f t="shared" si="9"/>
        <v>-10315.617757597611</v>
      </c>
      <c r="P65" s="34">
        <f t="shared" si="0"/>
        <v>19963.010773331</v>
      </c>
      <c r="Q65" s="34">
        <f t="shared" si="1"/>
        <v>0</v>
      </c>
      <c r="R65" s="34">
        <f t="shared" si="10"/>
        <v>18911.965888928898</v>
      </c>
      <c r="S65" s="34">
        <f t="shared" si="11"/>
        <v>37755.326679893544</v>
      </c>
      <c r="T65" s="87">
        <f t="shared" si="12"/>
        <v>21324.125144239919</v>
      </c>
      <c r="U65" s="30"/>
      <c r="V65" s="32"/>
      <c r="X65" s="31"/>
      <c r="Y65" s="31"/>
      <c r="Z65" s="30"/>
      <c r="AA65" s="33"/>
    </row>
    <row r="66" spans="1:27" x14ac:dyDescent="0.25">
      <c r="B66" s="88">
        <f t="shared" si="2"/>
        <v>40</v>
      </c>
      <c r="C66" s="96">
        <f t="shared" ref="C66" si="54">C65+1</f>
        <v>2056</v>
      </c>
      <c r="D66" s="96">
        <f t="shared" si="14"/>
        <v>109</v>
      </c>
      <c r="E66" s="89">
        <f t="shared" si="15"/>
        <v>86589.790729994216</v>
      </c>
      <c r="F66" s="89">
        <f t="shared" si="16"/>
        <v>2597.6937218998287</v>
      </c>
      <c r="G66" s="91">
        <f t="shared" si="3"/>
        <v>2.3054693405577109</v>
      </c>
      <c r="H66" s="90">
        <f xml:space="preserve"> VLOOKUP( $D66, 'Mortality table'!$A$2:$B$111, 2, 0 ) * $E$18</f>
        <v>0.34192</v>
      </c>
      <c r="I66" s="90">
        <f t="shared" si="17"/>
        <v>1</v>
      </c>
      <c r="J66" s="90">
        <f t="shared" si="8"/>
        <v>0.34192</v>
      </c>
      <c r="K66" s="89">
        <f t="shared" si="4"/>
        <v>199630.10773330997</v>
      </c>
      <c r="L66" s="89">
        <f t="shared" si="5"/>
        <v>5988.9032319993039</v>
      </c>
      <c r="M66" s="89">
        <f xml:space="preserve"> SUM( K67:M67 ) / ( 1 + $E$12 )</f>
        <v>0</v>
      </c>
      <c r="N66" s="89">
        <f t="shared" si="7"/>
        <v>0</v>
      </c>
      <c r="O66" s="89">
        <f t="shared" si="9"/>
        <v>-4192.2322623995187</v>
      </c>
      <c r="P66" s="89">
        <f t="shared" si="0"/>
        <v>0</v>
      </c>
      <c r="Q66" s="89">
        <f t="shared" si="1"/>
        <v>0</v>
      </c>
      <c r="R66" s="89">
        <f t="shared" si="10"/>
        <v>7685.7591477324331</v>
      </c>
      <c r="S66" s="89">
        <f t="shared" si="11"/>
        <v>23456.537658663914</v>
      </c>
      <c r="T66" s="92">
        <f xml:space="preserve"> SUM( S67:T67 ) / ( 1 + $E$11 )</f>
        <v>0</v>
      </c>
      <c r="U66" s="30"/>
      <c r="V66" s="32"/>
      <c r="X66" s="31"/>
      <c r="Y66" s="31"/>
      <c r="Z66" s="30"/>
      <c r="AA66" s="33"/>
    </row>
    <row r="67" spans="1:27" x14ac:dyDescent="0.25">
      <c r="A67" s="6"/>
      <c r="B67" s="6"/>
      <c r="C67" s="6"/>
      <c r="D67" s="6"/>
    </row>
    <row r="70" spans="1:27" x14ac:dyDescent="0.25">
      <c r="C70" s="6"/>
    </row>
  </sheetData>
  <pageMargins left="0.36" right="0.39" top="0.28999999999999998" bottom="0.43" header="0.51181102362204722" footer="0.16"/>
  <pageSetup paperSize="9" scale="52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70"/>
  <sheetViews>
    <sheetView zoomScale="85" zoomScaleNormal="85" zoomScaleSheetLayoutView="90" workbookViewId="0">
      <pane xSplit="4" ySplit="25" topLeftCell="E26" activePane="bottomRight" state="frozen"/>
      <selection pane="topRight" activeCell="D1" sqref="D1"/>
      <selection pane="bottomLeft" activeCell="A27" sqref="A27"/>
      <selection pane="bottomRight" activeCell="P17" sqref="P17"/>
    </sheetView>
  </sheetViews>
  <sheetFormatPr defaultRowHeight="13.5" x14ac:dyDescent="0.25"/>
  <cols>
    <col min="1" max="1" width="5.7109375" style="9" customWidth="1"/>
    <col min="2" max="4" width="13.7109375" style="9" customWidth="1"/>
    <col min="5" max="13" width="13.7109375" style="6" customWidth="1"/>
    <col min="14" max="15" width="13.7109375" style="17" customWidth="1"/>
    <col min="16" max="16" width="14.5703125" style="6" bestFit="1" customWidth="1"/>
    <col min="17" max="27" width="13.7109375" style="6" customWidth="1"/>
    <col min="28" max="245" width="9.140625" style="6"/>
    <col min="246" max="246" width="14.85546875" style="6" customWidth="1"/>
    <col min="247" max="247" width="15.85546875" style="6" customWidth="1"/>
    <col min="248" max="248" width="9.85546875" style="6" customWidth="1"/>
    <col min="249" max="249" width="6.85546875" style="6" customWidth="1"/>
    <col min="250" max="251" width="10.85546875" style="6" customWidth="1"/>
    <col min="252" max="252" width="5.7109375" style="6" customWidth="1"/>
    <col min="253" max="253" width="11.5703125" style="6" customWidth="1"/>
    <col min="254" max="254" width="9.140625" style="6"/>
    <col min="255" max="255" width="9.7109375" style="6" customWidth="1"/>
    <col min="256" max="256" width="8.5703125" style="6" customWidth="1"/>
    <col min="257" max="258" width="0" style="6" hidden="1" customWidth="1"/>
    <col min="259" max="259" width="8.28515625" style="6" customWidth="1"/>
    <col min="260" max="260" width="11.85546875" style="6" customWidth="1"/>
    <col min="261" max="261" width="11.42578125" style="6" customWidth="1"/>
    <col min="262" max="262" width="9.140625" style="6"/>
    <col min="263" max="263" width="7.85546875" style="6" customWidth="1"/>
    <col min="264" max="501" width="9.140625" style="6"/>
    <col min="502" max="502" width="14.85546875" style="6" customWidth="1"/>
    <col min="503" max="503" width="15.85546875" style="6" customWidth="1"/>
    <col min="504" max="504" width="9.85546875" style="6" customWidth="1"/>
    <col min="505" max="505" width="6.85546875" style="6" customWidth="1"/>
    <col min="506" max="507" width="10.85546875" style="6" customWidth="1"/>
    <col min="508" max="508" width="5.7109375" style="6" customWidth="1"/>
    <col min="509" max="509" width="11.5703125" style="6" customWidth="1"/>
    <col min="510" max="510" width="9.140625" style="6"/>
    <col min="511" max="511" width="9.7109375" style="6" customWidth="1"/>
    <col min="512" max="512" width="8.5703125" style="6" customWidth="1"/>
    <col min="513" max="514" width="0" style="6" hidden="1" customWidth="1"/>
    <col min="515" max="515" width="8.28515625" style="6" customWidth="1"/>
    <col min="516" max="516" width="11.85546875" style="6" customWidth="1"/>
    <col min="517" max="517" width="11.42578125" style="6" customWidth="1"/>
    <col min="518" max="518" width="9.140625" style="6"/>
    <col min="519" max="519" width="7.85546875" style="6" customWidth="1"/>
    <col min="520" max="757" width="9.140625" style="6"/>
    <col min="758" max="758" width="14.85546875" style="6" customWidth="1"/>
    <col min="759" max="759" width="15.85546875" style="6" customWidth="1"/>
    <col min="760" max="760" width="9.85546875" style="6" customWidth="1"/>
    <col min="761" max="761" width="6.85546875" style="6" customWidth="1"/>
    <col min="762" max="763" width="10.85546875" style="6" customWidth="1"/>
    <col min="764" max="764" width="5.7109375" style="6" customWidth="1"/>
    <col min="765" max="765" width="11.5703125" style="6" customWidth="1"/>
    <col min="766" max="766" width="9.140625" style="6"/>
    <col min="767" max="767" width="9.7109375" style="6" customWidth="1"/>
    <col min="768" max="768" width="8.5703125" style="6" customWidth="1"/>
    <col min="769" max="770" width="0" style="6" hidden="1" customWidth="1"/>
    <col min="771" max="771" width="8.28515625" style="6" customWidth="1"/>
    <col min="772" max="772" width="11.85546875" style="6" customWidth="1"/>
    <col min="773" max="773" width="11.42578125" style="6" customWidth="1"/>
    <col min="774" max="774" width="9.140625" style="6"/>
    <col min="775" max="775" width="7.85546875" style="6" customWidth="1"/>
    <col min="776" max="1013" width="9.140625" style="6"/>
    <col min="1014" max="1014" width="14.85546875" style="6" customWidth="1"/>
    <col min="1015" max="1015" width="15.85546875" style="6" customWidth="1"/>
    <col min="1016" max="1016" width="9.85546875" style="6" customWidth="1"/>
    <col min="1017" max="1017" width="6.85546875" style="6" customWidth="1"/>
    <col min="1018" max="1019" width="10.85546875" style="6" customWidth="1"/>
    <col min="1020" max="1020" width="5.7109375" style="6" customWidth="1"/>
    <col min="1021" max="1021" width="11.5703125" style="6" customWidth="1"/>
    <col min="1022" max="1022" width="9.140625" style="6"/>
    <col min="1023" max="1023" width="9.7109375" style="6" customWidth="1"/>
    <col min="1024" max="1024" width="8.5703125" style="6" customWidth="1"/>
    <col min="1025" max="1026" width="0" style="6" hidden="1" customWidth="1"/>
    <col min="1027" max="1027" width="8.28515625" style="6" customWidth="1"/>
    <col min="1028" max="1028" width="11.85546875" style="6" customWidth="1"/>
    <col min="1029" max="1029" width="11.42578125" style="6" customWidth="1"/>
    <col min="1030" max="1030" width="9.140625" style="6"/>
    <col min="1031" max="1031" width="7.85546875" style="6" customWidth="1"/>
    <col min="1032" max="1269" width="9.140625" style="6"/>
    <col min="1270" max="1270" width="14.85546875" style="6" customWidth="1"/>
    <col min="1271" max="1271" width="15.85546875" style="6" customWidth="1"/>
    <col min="1272" max="1272" width="9.85546875" style="6" customWidth="1"/>
    <col min="1273" max="1273" width="6.85546875" style="6" customWidth="1"/>
    <col min="1274" max="1275" width="10.85546875" style="6" customWidth="1"/>
    <col min="1276" max="1276" width="5.7109375" style="6" customWidth="1"/>
    <col min="1277" max="1277" width="11.5703125" style="6" customWidth="1"/>
    <col min="1278" max="1278" width="9.140625" style="6"/>
    <col min="1279" max="1279" width="9.7109375" style="6" customWidth="1"/>
    <col min="1280" max="1280" width="8.5703125" style="6" customWidth="1"/>
    <col min="1281" max="1282" width="0" style="6" hidden="1" customWidth="1"/>
    <col min="1283" max="1283" width="8.28515625" style="6" customWidth="1"/>
    <col min="1284" max="1284" width="11.85546875" style="6" customWidth="1"/>
    <col min="1285" max="1285" width="11.42578125" style="6" customWidth="1"/>
    <col min="1286" max="1286" width="9.140625" style="6"/>
    <col min="1287" max="1287" width="7.85546875" style="6" customWidth="1"/>
    <col min="1288" max="1525" width="9.140625" style="6"/>
    <col min="1526" max="1526" width="14.85546875" style="6" customWidth="1"/>
    <col min="1527" max="1527" width="15.85546875" style="6" customWidth="1"/>
    <col min="1528" max="1528" width="9.85546875" style="6" customWidth="1"/>
    <col min="1529" max="1529" width="6.85546875" style="6" customWidth="1"/>
    <col min="1530" max="1531" width="10.85546875" style="6" customWidth="1"/>
    <col min="1532" max="1532" width="5.7109375" style="6" customWidth="1"/>
    <col min="1533" max="1533" width="11.5703125" style="6" customWidth="1"/>
    <col min="1534" max="1534" width="9.140625" style="6"/>
    <col min="1535" max="1535" width="9.7109375" style="6" customWidth="1"/>
    <col min="1536" max="1536" width="8.5703125" style="6" customWidth="1"/>
    <col min="1537" max="1538" width="0" style="6" hidden="1" customWidth="1"/>
    <col min="1539" max="1539" width="8.28515625" style="6" customWidth="1"/>
    <col min="1540" max="1540" width="11.85546875" style="6" customWidth="1"/>
    <col min="1541" max="1541" width="11.42578125" style="6" customWidth="1"/>
    <col min="1542" max="1542" width="9.140625" style="6"/>
    <col min="1543" max="1543" width="7.85546875" style="6" customWidth="1"/>
    <col min="1544" max="1781" width="9.140625" style="6"/>
    <col min="1782" max="1782" width="14.85546875" style="6" customWidth="1"/>
    <col min="1783" max="1783" width="15.85546875" style="6" customWidth="1"/>
    <col min="1784" max="1784" width="9.85546875" style="6" customWidth="1"/>
    <col min="1785" max="1785" width="6.85546875" style="6" customWidth="1"/>
    <col min="1786" max="1787" width="10.85546875" style="6" customWidth="1"/>
    <col min="1788" max="1788" width="5.7109375" style="6" customWidth="1"/>
    <col min="1789" max="1789" width="11.5703125" style="6" customWidth="1"/>
    <col min="1790" max="1790" width="9.140625" style="6"/>
    <col min="1791" max="1791" width="9.7109375" style="6" customWidth="1"/>
    <col min="1792" max="1792" width="8.5703125" style="6" customWidth="1"/>
    <col min="1793" max="1794" width="0" style="6" hidden="1" customWidth="1"/>
    <col min="1795" max="1795" width="8.28515625" style="6" customWidth="1"/>
    <col min="1796" max="1796" width="11.85546875" style="6" customWidth="1"/>
    <col min="1797" max="1797" width="11.42578125" style="6" customWidth="1"/>
    <col min="1798" max="1798" width="9.140625" style="6"/>
    <col min="1799" max="1799" width="7.85546875" style="6" customWidth="1"/>
    <col min="1800" max="2037" width="9.140625" style="6"/>
    <col min="2038" max="2038" width="14.85546875" style="6" customWidth="1"/>
    <col min="2039" max="2039" width="15.85546875" style="6" customWidth="1"/>
    <col min="2040" max="2040" width="9.85546875" style="6" customWidth="1"/>
    <col min="2041" max="2041" width="6.85546875" style="6" customWidth="1"/>
    <col min="2042" max="2043" width="10.85546875" style="6" customWidth="1"/>
    <col min="2044" max="2044" width="5.7109375" style="6" customWidth="1"/>
    <col min="2045" max="2045" width="11.5703125" style="6" customWidth="1"/>
    <col min="2046" max="2046" width="9.140625" style="6"/>
    <col min="2047" max="2047" width="9.7109375" style="6" customWidth="1"/>
    <col min="2048" max="2048" width="8.5703125" style="6" customWidth="1"/>
    <col min="2049" max="2050" width="0" style="6" hidden="1" customWidth="1"/>
    <col min="2051" max="2051" width="8.28515625" style="6" customWidth="1"/>
    <col min="2052" max="2052" width="11.85546875" style="6" customWidth="1"/>
    <col min="2053" max="2053" width="11.42578125" style="6" customWidth="1"/>
    <col min="2054" max="2054" width="9.140625" style="6"/>
    <col min="2055" max="2055" width="7.85546875" style="6" customWidth="1"/>
    <col min="2056" max="2293" width="9.140625" style="6"/>
    <col min="2294" max="2294" width="14.85546875" style="6" customWidth="1"/>
    <col min="2295" max="2295" width="15.85546875" style="6" customWidth="1"/>
    <col min="2296" max="2296" width="9.85546875" style="6" customWidth="1"/>
    <col min="2297" max="2297" width="6.85546875" style="6" customWidth="1"/>
    <col min="2298" max="2299" width="10.85546875" style="6" customWidth="1"/>
    <col min="2300" max="2300" width="5.7109375" style="6" customWidth="1"/>
    <col min="2301" max="2301" width="11.5703125" style="6" customWidth="1"/>
    <col min="2302" max="2302" width="9.140625" style="6"/>
    <col min="2303" max="2303" width="9.7109375" style="6" customWidth="1"/>
    <col min="2304" max="2304" width="8.5703125" style="6" customWidth="1"/>
    <col min="2305" max="2306" width="0" style="6" hidden="1" customWidth="1"/>
    <col min="2307" max="2307" width="8.28515625" style="6" customWidth="1"/>
    <col min="2308" max="2308" width="11.85546875" style="6" customWidth="1"/>
    <col min="2309" max="2309" width="11.42578125" style="6" customWidth="1"/>
    <col min="2310" max="2310" width="9.140625" style="6"/>
    <col min="2311" max="2311" width="7.85546875" style="6" customWidth="1"/>
    <col min="2312" max="2549" width="9.140625" style="6"/>
    <col min="2550" max="2550" width="14.85546875" style="6" customWidth="1"/>
    <col min="2551" max="2551" width="15.85546875" style="6" customWidth="1"/>
    <col min="2552" max="2552" width="9.85546875" style="6" customWidth="1"/>
    <col min="2553" max="2553" width="6.85546875" style="6" customWidth="1"/>
    <col min="2554" max="2555" width="10.85546875" style="6" customWidth="1"/>
    <col min="2556" max="2556" width="5.7109375" style="6" customWidth="1"/>
    <col min="2557" max="2557" width="11.5703125" style="6" customWidth="1"/>
    <col min="2558" max="2558" width="9.140625" style="6"/>
    <col min="2559" max="2559" width="9.7109375" style="6" customWidth="1"/>
    <col min="2560" max="2560" width="8.5703125" style="6" customWidth="1"/>
    <col min="2561" max="2562" width="0" style="6" hidden="1" customWidth="1"/>
    <col min="2563" max="2563" width="8.28515625" style="6" customWidth="1"/>
    <col min="2564" max="2564" width="11.85546875" style="6" customWidth="1"/>
    <col min="2565" max="2565" width="11.42578125" style="6" customWidth="1"/>
    <col min="2566" max="2566" width="9.140625" style="6"/>
    <col min="2567" max="2567" width="7.85546875" style="6" customWidth="1"/>
    <col min="2568" max="2805" width="9.140625" style="6"/>
    <col min="2806" max="2806" width="14.85546875" style="6" customWidth="1"/>
    <col min="2807" max="2807" width="15.85546875" style="6" customWidth="1"/>
    <col min="2808" max="2808" width="9.85546875" style="6" customWidth="1"/>
    <col min="2809" max="2809" width="6.85546875" style="6" customWidth="1"/>
    <col min="2810" max="2811" width="10.85546875" style="6" customWidth="1"/>
    <col min="2812" max="2812" width="5.7109375" style="6" customWidth="1"/>
    <col min="2813" max="2813" width="11.5703125" style="6" customWidth="1"/>
    <col min="2814" max="2814" width="9.140625" style="6"/>
    <col min="2815" max="2815" width="9.7109375" style="6" customWidth="1"/>
    <col min="2816" max="2816" width="8.5703125" style="6" customWidth="1"/>
    <col min="2817" max="2818" width="0" style="6" hidden="1" customWidth="1"/>
    <col min="2819" max="2819" width="8.28515625" style="6" customWidth="1"/>
    <col min="2820" max="2820" width="11.85546875" style="6" customWidth="1"/>
    <col min="2821" max="2821" width="11.42578125" style="6" customWidth="1"/>
    <col min="2822" max="2822" width="9.140625" style="6"/>
    <col min="2823" max="2823" width="7.85546875" style="6" customWidth="1"/>
    <col min="2824" max="3061" width="9.140625" style="6"/>
    <col min="3062" max="3062" width="14.85546875" style="6" customWidth="1"/>
    <col min="3063" max="3063" width="15.85546875" style="6" customWidth="1"/>
    <col min="3064" max="3064" width="9.85546875" style="6" customWidth="1"/>
    <col min="3065" max="3065" width="6.85546875" style="6" customWidth="1"/>
    <col min="3066" max="3067" width="10.85546875" style="6" customWidth="1"/>
    <col min="3068" max="3068" width="5.7109375" style="6" customWidth="1"/>
    <col min="3069" max="3069" width="11.5703125" style="6" customWidth="1"/>
    <col min="3070" max="3070" width="9.140625" style="6"/>
    <col min="3071" max="3071" width="9.7109375" style="6" customWidth="1"/>
    <col min="3072" max="3072" width="8.5703125" style="6" customWidth="1"/>
    <col min="3073" max="3074" width="0" style="6" hidden="1" customWidth="1"/>
    <col min="3075" max="3075" width="8.28515625" style="6" customWidth="1"/>
    <col min="3076" max="3076" width="11.85546875" style="6" customWidth="1"/>
    <col min="3077" max="3077" width="11.42578125" style="6" customWidth="1"/>
    <col min="3078" max="3078" width="9.140625" style="6"/>
    <col min="3079" max="3079" width="7.85546875" style="6" customWidth="1"/>
    <col min="3080" max="3317" width="9.140625" style="6"/>
    <col min="3318" max="3318" width="14.85546875" style="6" customWidth="1"/>
    <col min="3319" max="3319" width="15.85546875" style="6" customWidth="1"/>
    <col min="3320" max="3320" width="9.85546875" style="6" customWidth="1"/>
    <col min="3321" max="3321" width="6.85546875" style="6" customWidth="1"/>
    <col min="3322" max="3323" width="10.85546875" style="6" customWidth="1"/>
    <col min="3324" max="3324" width="5.7109375" style="6" customWidth="1"/>
    <col min="3325" max="3325" width="11.5703125" style="6" customWidth="1"/>
    <col min="3326" max="3326" width="9.140625" style="6"/>
    <col min="3327" max="3327" width="9.7109375" style="6" customWidth="1"/>
    <col min="3328" max="3328" width="8.5703125" style="6" customWidth="1"/>
    <col min="3329" max="3330" width="0" style="6" hidden="1" customWidth="1"/>
    <col min="3331" max="3331" width="8.28515625" style="6" customWidth="1"/>
    <col min="3332" max="3332" width="11.85546875" style="6" customWidth="1"/>
    <col min="3333" max="3333" width="11.42578125" style="6" customWidth="1"/>
    <col min="3334" max="3334" width="9.140625" style="6"/>
    <col min="3335" max="3335" width="7.85546875" style="6" customWidth="1"/>
    <col min="3336" max="3573" width="9.140625" style="6"/>
    <col min="3574" max="3574" width="14.85546875" style="6" customWidth="1"/>
    <col min="3575" max="3575" width="15.85546875" style="6" customWidth="1"/>
    <col min="3576" max="3576" width="9.85546875" style="6" customWidth="1"/>
    <col min="3577" max="3577" width="6.85546875" style="6" customWidth="1"/>
    <col min="3578" max="3579" width="10.85546875" style="6" customWidth="1"/>
    <col min="3580" max="3580" width="5.7109375" style="6" customWidth="1"/>
    <col min="3581" max="3581" width="11.5703125" style="6" customWidth="1"/>
    <col min="3582" max="3582" width="9.140625" style="6"/>
    <col min="3583" max="3583" width="9.7109375" style="6" customWidth="1"/>
    <col min="3584" max="3584" width="8.5703125" style="6" customWidth="1"/>
    <col min="3585" max="3586" width="0" style="6" hidden="1" customWidth="1"/>
    <col min="3587" max="3587" width="8.28515625" style="6" customWidth="1"/>
    <col min="3588" max="3588" width="11.85546875" style="6" customWidth="1"/>
    <col min="3589" max="3589" width="11.42578125" style="6" customWidth="1"/>
    <col min="3590" max="3590" width="9.140625" style="6"/>
    <col min="3591" max="3591" width="7.85546875" style="6" customWidth="1"/>
    <col min="3592" max="3829" width="9.140625" style="6"/>
    <col min="3830" max="3830" width="14.85546875" style="6" customWidth="1"/>
    <col min="3831" max="3831" width="15.85546875" style="6" customWidth="1"/>
    <col min="3832" max="3832" width="9.85546875" style="6" customWidth="1"/>
    <col min="3833" max="3833" width="6.85546875" style="6" customWidth="1"/>
    <col min="3834" max="3835" width="10.85546875" style="6" customWidth="1"/>
    <col min="3836" max="3836" width="5.7109375" style="6" customWidth="1"/>
    <col min="3837" max="3837" width="11.5703125" style="6" customWidth="1"/>
    <col min="3838" max="3838" width="9.140625" style="6"/>
    <col min="3839" max="3839" width="9.7109375" style="6" customWidth="1"/>
    <col min="3840" max="3840" width="8.5703125" style="6" customWidth="1"/>
    <col min="3841" max="3842" width="0" style="6" hidden="1" customWidth="1"/>
    <col min="3843" max="3843" width="8.28515625" style="6" customWidth="1"/>
    <col min="3844" max="3844" width="11.85546875" style="6" customWidth="1"/>
    <col min="3845" max="3845" width="11.42578125" style="6" customWidth="1"/>
    <col min="3846" max="3846" width="9.140625" style="6"/>
    <col min="3847" max="3847" width="7.85546875" style="6" customWidth="1"/>
    <col min="3848" max="4085" width="9.140625" style="6"/>
    <col min="4086" max="4086" width="14.85546875" style="6" customWidth="1"/>
    <col min="4087" max="4087" width="15.85546875" style="6" customWidth="1"/>
    <col min="4088" max="4088" width="9.85546875" style="6" customWidth="1"/>
    <col min="4089" max="4089" width="6.85546875" style="6" customWidth="1"/>
    <col min="4090" max="4091" width="10.85546875" style="6" customWidth="1"/>
    <col min="4092" max="4092" width="5.7109375" style="6" customWidth="1"/>
    <col min="4093" max="4093" width="11.5703125" style="6" customWidth="1"/>
    <col min="4094" max="4094" width="9.140625" style="6"/>
    <col min="4095" max="4095" width="9.7109375" style="6" customWidth="1"/>
    <col min="4096" max="4096" width="8.5703125" style="6" customWidth="1"/>
    <col min="4097" max="4098" width="0" style="6" hidden="1" customWidth="1"/>
    <col min="4099" max="4099" width="8.28515625" style="6" customWidth="1"/>
    <col min="4100" max="4100" width="11.85546875" style="6" customWidth="1"/>
    <col min="4101" max="4101" width="11.42578125" style="6" customWidth="1"/>
    <col min="4102" max="4102" width="9.140625" style="6"/>
    <col min="4103" max="4103" width="7.85546875" style="6" customWidth="1"/>
    <col min="4104" max="4341" width="9.140625" style="6"/>
    <col min="4342" max="4342" width="14.85546875" style="6" customWidth="1"/>
    <col min="4343" max="4343" width="15.85546875" style="6" customWidth="1"/>
    <col min="4344" max="4344" width="9.85546875" style="6" customWidth="1"/>
    <col min="4345" max="4345" width="6.85546875" style="6" customWidth="1"/>
    <col min="4346" max="4347" width="10.85546875" style="6" customWidth="1"/>
    <col min="4348" max="4348" width="5.7109375" style="6" customWidth="1"/>
    <col min="4349" max="4349" width="11.5703125" style="6" customWidth="1"/>
    <col min="4350" max="4350" width="9.140625" style="6"/>
    <col min="4351" max="4351" width="9.7109375" style="6" customWidth="1"/>
    <col min="4352" max="4352" width="8.5703125" style="6" customWidth="1"/>
    <col min="4353" max="4354" width="0" style="6" hidden="1" customWidth="1"/>
    <col min="4355" max="4355" width="8.28515625" style="6" customWidth="1"/>
    <col min="4356" max="4356" width="11.85546875" style="6" customWidth="1"/>
    <col min="4357" max="4357" width="11.42578125" style="6" customWidth="1"/>
    <col min="4358" max="4358" width="9.140625" style="6"/>
    <col min="4359" max="4359" width="7.85546875" style="6" customWidth="1"/>
    <col min="4360" max="4597" width="9.140625" style="6"/>
    <col min="4598" max="4598" width="14.85546875" style="6" customWidth="1"/>
    <col min="4599" max="4599" width="15.85546875" style="6" customWidth="1"/>
    <col min="4600" max="4600" width="9.85546875" style="6" customWidth="1"/>
    <col min="4601" max="4601" width="6.85546875" style="6" customWidth="1"/>
    <col min="4602" max="4603" width="10.85546875" style="6" customWidth="1"/>
    <col min="4604" max="4604" width="5.7109375" style="6" customWidth="1"/>
    <col min="4605" max="4605" width="11.5703125" style="6" customWidth="1"/>
    <col min="4606" max="4606" width="9.140625" style="6"/>
    <col min="4607" max="4607" width="9.7109375" style="6" customWidth="1"/>
    <col min="4608" max="4608" width="8.5703125" style="6" customWidth="1"/>
    <col min="4609" max="4610" width="0" style="6" hidden="1" customWidth="1"/>
    <col min="4611" max="4611" width="8.28515625" style="6" customWidth="1"/>
    <col min="4612" max="4612" width="11.85546875" style="6" customWidth="1"/>
    <col min="4613" max="4613" width="11.42578125" style="6" customWidth="1"/>
    <col min="4614" max="4614" width="9.140625" style="6"/>
    <col min="4615" max="4615" width="7.85546875" style="6" customWidth="1"/>
    <col min="4616" max="4853" width="9.140625" style="6"/>
    <col min="4854" max="4854" width="14.85546875" style="6" customWidth="1"/>
    <col min="4855" max="4855" width="15.85546875" style="6" customWidth="1"/>
    <col min="4856" max="4856" width="9.85546875" style="6" customWidth="1"/>
    <col min="4857" max="4857" width="6.85546875" style="6" customWidth="1"/>
    <col min="4858" max="4859" width="10.85546875" style="6" customWidth="1"/>
    <col min="4860" max="4860" width="5.7109375" style="6" customWidth="1"/>
    <col min="4861" max="4861" width="11.5703125" style="6" customWidth="1"/>
    <col min="4862" max="4862" width="9.140625" style="6"/>
    <col min="4863" max="4863" width="9.7109375" style="6" customWidth="1"/>
    <col min="4864" max="4864" width="8.5703125" style="6" customWidth="1"/>
    <col min="4865" max="4866" width="0" style="6" hidden="1" customWidth="1"/>
    <col min="4867" max="4867" width="8.28515625" style="6" customWidth="1"/>
    <col min="4868" max="4868" width="11.85546875" style="6" customWidth="1"/>
    <col min="4869" max="4869" width="11.42578125" style="6" customWidth="1"/>
    <col min="4870" max="4870" width="9.140625" style="6"/>
    <col min="4871" max="4871" width="7.85546875" style="6" customWidth="1"/>
    <col min="4872" max="5109" width="9.140625" style="6"/>
    <col min="5110" max="5110" width="14.85546875" style="6" customWidth="1"/>
    <col min="5111" max="5111" width="15.85546875" style="6" customWidth="1"/>
    <col min="5112" max="5112" width="9.85546875" style="6" customWidth="1"/>
    <col min="5113" max="5113" width="6.85546875" style="6" customWidth="1"/>
    <col min="5114" max="5115" width="10.85546875" style="6" customWidth="1"/>
    <col min="5116" max="5116" width="5.7109375" style="6" customWidth="1"/>
    <col min="5117" max="5117" width="11.5703125" style="6" customWidth="1"/>
    <col min="5118" max="5118" width="9.140625" style="6"/>
    <col min="5119" max="5119" width="9.7109375" style="6" customWidth="1"/>
    <col min="5120" max="5120" width="8.5703125" style="6" customWidth="1"/>
    <col min="5121" max="5122" width="0" style="6" hidden="1" customWidth="1"/>
    <col min="5123" max="5123" width="8.28515625" style="6" customWidth="1"/>
    <col min="5124" max="5124" width="11.85546875" style="6" customWidth="1"/>
    <col min="5125" max="5125" width="11.42578125" style="6" customWidth="1"/>
    <col min="5126" max="5126" width="9.140625" style="6"/>
    <col min="5127" max="5127" width="7.85546875" style="6" customWidth="1"/>
    <col min="5128" max="5365" width="9.140625" style="6"/>
    <col min="5366" max="5366" width="14.85546875" style="6" customWidth="1"/>
    <col min="5367" max="5367" width="15.85546875" style="6" customWidth="1"/>
    <col min="5368" max="5368" width="9.85546875" style="6" customWidth="1"/>
    <col min="5369" max="5369" width="6.85546875" style="6" customWidth="1"/>
    <col min="5370" max="5371" width="10.85546875" style="6" customWidth="1"/>
    <col min="5372" max="5372" width="5.7109375" style="6" customWidth="1"/>
    <col min="5373" max="5373" width="11.5703125" style="6" customWidth="1"/>
    <col min="5374" max="5374" width="9.140625" style="6"/>
    <col min="5375" max="5375" width="9.7109375" style="6" customWidth="1"/>
    <col min="5376" max="5376" width="8.5703125" style="6" customWidth="1"/>
    <col min="5377" max="5378" width="0" style="6" hidden="1" customWidth="1"/>
    <col min="5379" max="5379" width="8.28515625" style="6" customWidth="1"/>
    <col min="5380" max="5380" width="11.85546875" style="6" customWidth="1"/>
    <col min="5381" max="5381" width="11.42578125" style="6" customWidth="1"/>
    <col min="5382" max="5382" width="9.140625" style="6"/>
    <col min="5383" max="5383" width="7.85546875" style="6" customWidth="1"/>
    <col min="5384" max="5621" width="9.140625" style="6"/>
    <col min="5622" max="5622" width="14.85546875" style="6" customWidth="1"/>
    <col min="5623" max="5623" width="15.85546875" style="6" customWidth="1"/>
    <col min="5624" max="5624" width="9.85546875" style="6" customWidth="1"/>
    <col min="5625" max="5625" width="6.85546875" style="6" customWidth="1"/>
    <col min="5626" max="5627" width="10.85546875" style="6" customWidth="1"/>
    <col min="5628" max="5628" width="5.7109375" style="6" customWidth="1"/>
    <col min="5629" max="5629" width="11.5703125" style="6" customWidth="1"/>
    <col min="5630" max="5630" width="9.140625" style="6"/>
    <col min="5631" max="5631" width="9.7109375" style="6" customWidth="1"/>
    <col min="5632" max="5632" width="8.5703125" style="6" customWidth="1"/>
    <col min="5633" max="5634" width="0" style="6" hidden="1" customWidth="1"/>
    <col min="5635" max="5635" width="8.28515625" style="6" customWidth="1"/>
    <col min="5636" max="5636" width="11.85546875" style="6" customWidth="1"/>
    <col min="5637" max="5637" width="11.42578125" style="6" customWidth="1"/>
    <col min="5638" max="5638" width="9.140625" style="6"/>
    <col min="5639" max="5639" width="7.85546875" style="6" customWidth="1"/>
    <col min="5640" max="5877" width="9.140625" style="6"/>
    <col min="5878" max="5878" width="14.85546875" style="6" customWidth="1"/>
    <col min="5879" max="5879" width="15.85546875" style="6" customWidth="1"/>
    <col min="5880" max="5880" width="9.85546875" style="6" customWidth="1"/>
    <col min="5881" max="5881" width="6.85546875" style="6" customWidth="1"/>
    <col min="5882" max="5883" width="10.85546875" style="6" customWidth="1"/>
    <col min="5884" max="5884" width="5.7109375" style="6" customWidth="1"/>
    <col min="5885" max="5885" width="11.5703125" style="6" customWidth="1"/>
    <col min="5886" max="5886" width="9.140625" style="6"/>
    <col min="5887" max="5887" width="9.7109375" style="6" customWidth="1"/>
    <col min="5888" max="5888" width="8.5703125" style="6" customWidth="1"/>
    <col min="5889" max="5890" width="0" style="6" hidden="1" customWidth="1"/>
    <col min="5891" max="5891" width="8.28515625" style="6" customWidth="1"/>
    <col min="5892" max="5892" width="11.85546875" style="6" customWidth="1"/>
    <col min="5893" max="5893" width="11.42578125" style="6" customWidth="1"/>
    <col min="5894" max="5894" width="9.140625" style="6"/>
    <col min="5895" max="5895" width="7.85546875" style="6" customWidth="1"/>
    <col min="5896" max="6133" width="9.140625" style="6"/>
    <col min="6134" max="6134" width="14.85546875" style="6" customWidth="1"/>
    <col min="6135" max="6135" width="15.85546875" style="6" customWidth="1"/>
    <col min="6136" max="6136" width="9.85546875" style="6" customWidth="1"/>
    <col min="6137" max="6137" width="6.85546875" style="6" customWidth="1"/>
    <col min="6138" max="6139" width="10.85546875" style="6" customWidth="1"/>
    <col min="6140" max="6140" width="5.7109375" style="6" customWidth="1"/>
    <col min="6141" max="6141" width="11.5703125" style="6" customWidth="1"/>
    <col min="6142" max="6142" width="9.140625" style="6"/>
    <col min="6143" max="6143" width="9.7109375" style="6" customWidth="1"/>
    <col min="6144" max="6144" width="8.5703125" style="6" customWidth="1"/>
    <col min="6145" max="6146" width="0" style="6" hidden="1" customWidth="1"/>
    <col min="6147" max="6147" width="8.28515625" style="6" customWidth="1"/>
    <col min="6148" max="6148" width="11.85546875" style="6" customWidth="1"/>
    <col min="6149" max="6149" width="11.42578125" style="6" customWidth="1"/>
    <col min="6150" max="6150" width="9.140625" style="6"/>
    <col min="6151" max="6151" width="7.85546875" style="6" customWidth="1"/>
    <col min="6152" max="6389" width="9.140625" style="6"/>
    <col min="6390" max="6390" width="14.85546875" style="6" customWidth="1"/>
    <col min="6391" max="6391" width="15.85546875" style="6" customWidth="1"/>
    <col min="6392" max="6392" width="9.85546875" style="6" customWidth="1"/>
    <col min="6393" max="6393" width="6.85546875" style="6" customWidth="1"/>
    <col min="6394" max="6395" width="10.85546875" style="6" customWidth="1"/>
    <col min="6396" max="6396" width="5.7109375" style="6" customWidth="1"/>
    <col min="6397" max="6397" width="11.5703125" style="6" customWidth="1"/>
    <col min="6398" max="6398" width="9.140625" style="6"/>
    <col min="6399" max="6399" width="9.7109375" style="6" customWidth="1"/>
    <col min="6400" max="6400" width="8.5703125" style="6" customWidth="1"/>
    <col min="6401" max="6402" width="0" style="6" hidden="1" customWidth="1"/>
    <col min="6403" max="6403" width="8.28515625" style="6" customWidth="1"/>
    <col min="6404" max="6404" width="11.85546875" style="6" customWidth="1"/>
    <col min="6405" max="6405" width="11.42578125" style="6" customWidth="1"/>
    <col min="6406" max="6406" width="9.140625" style="6"/>
    <col min="6407" max="6407" width="7.85546875" style="6" customWidth="1"/>
    <col min="6408" max="6645" width="9.140625" style="6"/>
    <col min="6646" max="6646" width="14.85546875" style="6" customWidth="1"/>
    <col min="6647" max="6647" width="15.85546875" style="6" customWidth="1"/>
    <col min="6648" max="6648" width="9.85546875" style="6" customWidth="1"/>
    <col min="6649" max="6649" width="6.85546875" style="6" customWidth="1"/>
    <col min="6650" max="6651" width="10.85546875" style="6" customWidth="1"/>
    <col min="6652" max="6652" width="5.7109375" style="6" customWidth="1"/>
    <col min="6653" max="6653" width="11.5703125" style="6" customWidth="1"/>
    <col min="6654" max="6654" width="9.140625" style="6"/>
    <col min="6655" max="6655" width="9.7109375" style="6" customWidth="1"/>
    <col min="6656" max="6656" width="8.5703125" style="6" customWidth="1"/>
    <col min="6657" max="6658" width="0" style="6" hidden="1" customWidth="1"/>
    <col min="6659" max="6659" width="8.28515625" style="6" customWidth="1"/>
    <col min="6660" max="6660" width="11.85546875" style="6" customWidth="1"/>
    <col min="6661" max="6661" width="11.42578125" style="6" customWidth="1"/>
    <col min="6662" max="6662" width="9.140625" style="6"/>
    <col min="6663" max="6663" width="7.85546875" style="6" customWidth="1"/>
    <col min="6664" max="6901" width="9.140625" style="6"/>
    <col min="6902" max="6902" width="14.85546875" style="6" customWidth="1"/>
    <col min="6903" max="6903" width="15.85546875" style="6" customWidth="1"/>
    <col min="6904" max="6904" width="9.85546875" style="6" customWidth="1"/>
    <col min="6905" max="6905" width="6.85546875" style="6" customWidth="1"/>
    <col min="6906" max="6907" width="10.85546875" style="6" customWidth="1"/>
    <col min="6908" max="6908" width="5.7109375" style="6" customWidth="1"/>
    <col min="6909" max="6909" width="11.5703125" style="6" customWidth="1"/>
    <col min="6910" max="6910" width="9.140625" style="6"/>
    <col min="6911" max="6911" width="9.7109375" style="6" customWidth="1"/>
    <col min="6912" max="6912" width="8.5703125" style="6" customWidth="1"/>
    <col min="6913" max="6914" width="0" style="6" hidden="1" customWidth="1"/>
    <col min="6915" max="6915" width="8.28515625" style="6" customWidth="1"/>
    <col min="6916" max="6916" width="11.85546875" style="6" customWidth="1"/>
    <col min="6917" max="6917" width="11.42578125" style="6" customWidth="1"/>
    <col min="6918" max="6918" width="9.140625" style="6"/>
    <col min="6919" max="6919" width="7.85546875" style="6" customWidth="1"/>
    <col min="6920" max="7157" width="9.140625" style="6"/>
    <col min="7158" max="7158" width="14.85546875" style="6" customWidth="1"/>
    <col min="7159" max="7159" width="15.85546875" style="6" customWidth="1"/>
    <col min="7160" max="7160" width="9.85546875" style="6" customWidth="1"/>
    <col min="7161" max="7161" width="6.85546875" style="6" customWidth="1"/>
    <col min="7162" max="7163" width="10.85546875" style="6" customWidth="1"/>
    <col min="7164" max="7164" width="5.7109375" style="6" customWidth="1"/>
    <col min="7165" max="7165" width="11.5703125" style="6" customWidth="1"/>
    <col min="7166" max="7166" width="9.140625" style="6"/>
    <col min="7167" max="7167" width="9.7109375" style="6" customWidth="1"/>
    <col min="7168" max="7168" width="8.5703125" style="6" customWidth="1"/>
    <col min="7169" max="7170" width="0" style="6" hidden="1" customWidth="1"/>
    <col min="7171" max="7171" width="8.28515625" style="6" customWidth="1"/>
    <col min="7172" max="7172" width="11.85546875" style="6" customWidth="1"/>
    <col min="7173" max="7173" width="11.42578125" style="6" customWidth="1"/>
    <col min="7174" max="7174" width="9.140625" style="6"/>
    <col min="7175" max="7175" width="7.85546875" style="6" customWidth="1"/>
    <col min="7176" max="7413" width="9.140625" style="6"/>
    <col min="7414" max="7414" width="14.85546875" style="6" customWidth="1"/>
    <col min="7415" max="7415" width="15.85546875" style="6" customWidth="1"/>
    <col min="7416" max="7416" width="9.85546875" style="6" customWidth="1"/>
    <col min="7417" max="7417" width="6.85546875" style="6" customWidth="1"/>
    <col min="7418" max="7419" width="10.85546875" style="6" customWidth="1"/>
    <col min="7420" max="7420" width="5.7109375" style="6" customWidth="1"/>
    <col min="7421" max="7421" width="11.5703125" style="6" customWidth="1"/>
    <col min="7422" max="7422" width="9.140625" style="6"/>
    <col min="7423" max="7423" width="9.7109375" style="6" customWidth="1"/>
    <col min="7424" max="7424" width="8.5703125" style="6" customWidth="1"/>
    <col min="7425" max="7426" width="0" style="6" hidden="1" customWidth="1"/>
    <col min="7427" max="7427" width="8.28515625" style="6" customWidth="1"/>
    <col min="7428" max="7428" width="11.85546875" style="6" customWidth="1"/>
    <col min="7429" max="7429" width="11.42578125" style="6" customWidth="1"/>
    <col min="7430" max="7430" width="9.140625" style="6"/>
    <col min="7431" max="7431" width="7.85546875" style="6" customWidth="1"/>
    <col min="7432" max="7669" width="9.140625" style="6"/>
    <col min="7670" max="7670" width="14.85546875" style="6" customWidth="1"/>
    <col min="7671" max="7671" width="15.85546875" style="6" customWidth="1"/>
    <col min="7672" max="7672" width="9.85546875" style="6" customWidth="1"/>
    <col min="7673" max="7673" width="6.85546875" style="6" customWidth="1"/>
    <col min="7674" max="7675" width="10.85546875" style="6" customWidth="1"/>
    <col min="7676" max="7676" width="5.7109375" style="6" customWidth="1"/>
    <col min="7677" max="7677" width="11.5703125" style="6" customWidth="1"/>
    <col min="7678" max="7678" width="9.140625" style="6"/>
    <col min="7679" max="7679" width="9.7109375" style="6" customWidth="1"/>
    <col min="7680" max="7680" width="8.5703125" style="6" customWidth="1"/>
    <col min="7681" max="7682" width="0" style="6" hidden="1" customWidth="1"/>
    <col min="7683" max="7683" width="8.28515625" style="6" customWidth="1"/>
    <col min="7684" max="7684" width="11.85546875" style="6" customWidth="1"/>
    <col min="7685" max="7685" width="11.42578125" style="6" customWidth="1"/>
    <col min="7686" max="7686" width="9.140625" style="6"/>
    <col min="7687" max="7687" width="7.85546875" style="6" customWidth="1"/>
    <col min="7688" max="7925" width="9.140625" style="6"/>
    <col min="7926" max="7926" width="14.85546875" style="6" customWidth="1"/>
    <col min="7927" max="7927" width="15.85546875" style="6" customWidth="1"/>
    <col min="7928" max="7928" width="9.85546875" style="6" customWidth="1"/>
    <col min="7929" max="7929" width="6.85546875" style="6" customWidth="1"/>
    <col min="7930" max="7931" width="10.85546875" style="6" customWidth="1"/>
    <col min="7932" max="7932" width="5.7109375" style="6" customWidth="1"/>
    <col min="7933" max="7933" width="11.5703125" style="6" customWidth="1"/>
    <col min="7934" max="7934" width="9.140625" style="6"/>
    <col min="7935" max="7935" width="9.7109375" style="6" customWidth="1"/>
    <col min="7936" max="7936" width="8.5703125" style="6" customWidth="1"/>
    <col min="7937" max="7938" width="0" style="6" hidden="1" customWidth="1"/>
    <col min="7939" max="7939" width="8.28515625" style="6" customWidth="1"/>
    <col min="7940" max="7940" width="11.85546875" style="6" customWidth="1"/>
    <col min="7941" max="7941" width="11.42578125" style="6" customWidth="1"/>
    <col min="7942" max="7942" width="9.140625" style="6"/>
    <col min="7943" max="7943" width="7.85546875" style="6" customWidth="1"/>
    <col min="7944" max="8181" width="9.140625" style="6"/>
    <col min="8182" max="8182" width="14.85546875" style="6" customWidth="1"/>
    <col min="8183" max="8183" width="15.85546875" style="6" customWidth="1"/>
    <col min="8184" max="8184" width="9.85546875" style="6" customWidth="1"/>
    <col min="8185" max="8185" width="6.85546875" style="6" customWidth="1"/>
    <col min="8186" max="8187" width="10.85546875" style="6" customWidth="1"/>
    <col min="8188" max="8188" width="5.7109375" style="6" customWidth="1"/>
    <col min="8189" max="8189" width="11.5703125" style="6" customWidth="1"/>
    <col min="8190" max="8190" width="9.140625" style="6"/>
    <col min="8191" max="8191" width="9.7109375" style="6" customWidth="1"/>
    <col min="8192" max="8192" width="8.5703125" style="6" customWidth="1"/>
    <col min="8193" max="8194" width="0" style="6" hidden="1" customWidth="1"/>
    <col min="8195" max="8195" width="8.28515625" style="6" customWidth="1"/>
    <col min="8196" max="8196" width="11.85546875" style="6" customWidth="1"/>
    <col min="8197" max="8197" width="11.42578125" style="6" customWidth="1"/>
    <col min="8198" max="8198" width="9.140625" style="6"/>
    <col min="8199" max="8199" width="7.85546875" style="6" customWidth="1"/>
    <col min="8200" max="8437" width="9.140625" style="6"/>
    <col min="8438" max="8438" width="14.85546875" style="6" customWidth="1"/>
    <col min="8439" max="8439" width="15.85546875" style="6" customWidth="1"/>
    <col min="8440" max="8440" width="9.85546875" style="6" customWidth="1"/>
    <col min="8441" max="8441" width="6.85546875" style="6" customWidth="1"/>
    <col min="8442" max="8443" width="10.85546875" style="6" customWidth="1"/>
    <col min="8444" max="8444" width="5.7109375" style="6" customWidth="1"/>
    <col min="8445" max="8445" width="11.5703125" style="6" customWidth="1"/>
    <col min="8446" max="8446" width="9.140625" style="6"/>
    <col min="8447" max="8447" width="9.7109375" style="6" customWidth="1"/>
    <col min="8448" max="8448" width="8.5703125" style="6" customWidth="1"/>
    <col min="8449" max="8450" width="0" style="6" hidden="1" customWidth="1"/>
    <col min="8451" max="8451" width="8.28515625" style="6" customWidth="1"/>
    <col min="8452" max="8452" width="11.85546875" style="6" customWidth="1"/>
    <col min="8453" max="8453" width="11.42578125" style="6" customWidth="1"/>
    <col min="8454" max="8454" width="9.140625" style="6"/>
    <col min="8455" max="8455" width="7.85546875" style="6" customWidth="1"/>
    <col min="8456" max="8693" width="9.140625" style="6"/>
    <col min="8694" max="8694" width="14.85546875" style="6" customWidth="1"/>
    <col min="8695" max="8695" width="15.85546875" style="6" customWidth="1"/>
    <col min="8696" max="8696" width="9.85546875" style="6" customWidth="1"/>
    <col min="8697" max="8697" width="6.85546875" style="6" customWidth="1"/>
    <col min="8698" max="8699" width="10.85546875" style="6" customWidth="1"/>
    <col min="8700" max="8700" width="5.7109375" style="6" customWidth="1"/>
    <col min="8701" max="8701" width="11.5703125" style="6" customWidth="1"/>
    <col min="8702" max="8702" width="9.140625" style="6"/>
    <col min="8703" max="8703" width="9.7109375" style="6" customWidth="1"/>
    <col min="8704" max="8704" width="8.5703125" style="6" customWidth="1"/>
    <col min="8705" max="8706" width="0" style="6" hidden="1" customWidth="1"/>
    <col min="8707" max="8707" width="8.28515625" style="6" customWidth="1"/>
    <col min="8708" max="8708" width="11.85546875" style="6" customWidth="1"/>
    <col min="8709" max="8709" width="11.42578125" style="6" customWidth="1"/>
    <col min="8710" max="8710" width="9.140625" style="6"/>
    <col min="8711" max="8711" width="7.85546875" style="6" customWidth="1"/>
    <col min="8712" max="8949" width="9.140625" style="6"/>
    <col min="8950" max="8950" width="14.85546875" style="6" customWidth="1"/>
    <col min="8951" max="8951" width="15.85546875" style="6" customWidth="1"/>
    <col min="8952" max="8952" width="9.85546875" style="6" customWidth="1"/>
    <col min="8953" max="8953" width="6.85546875" style="6" customWidth="1"/>
    <col min="8954" max="8955" width="10.85546875" style="6" customWidth="1"/>
    <col min="8956" max="8956" width="5.7109375" style="6" customWidth="1"/>
    <col min="8957" max="8957" width="11.5703125" style="6" customWidth="1"/>
    <col min="8958" max="8958" width="9.140625" style="6"/>
    <col min="8959" max="8959" width="9.7109375" style="6" customWidth="1"/>
    <col min="8960" max="8960" width="8.5703125" style="6" customWidth="1"/>
    <col min="8961" max="8962" width="0" style="6" hidden="1" customWidth="1"/>
    <col min="8963" max="8963" width="8.28515625" style="6" customWidth="1"/>
    <col min="8964" max="8964" width="11.85546875" style="6" customWidth="1"/>
    <col min="8965" max="8965" width="11.42578125" style="6" customWidth="1"/>
    <col min="8966" max="8966" width="9.140625" style="6"/>
    <col min="8967" max="8967" width="7.85546875" style="6" customWidth="1"/>
    <col min="8968" max="9205" width="9.140625" style="6"/>
    <col min="9206" max="9206" width="14.85546875" style="6" customWidth="1"/>
    <col min="9207" max="9207" width="15.85546875" style="6" customWidth="1"/>
    <col min="9208" max="9208" width="9.85546875" style="6" customWidth="1"/>
    <col min="9209" max="9209" width="6.85546875" style="6" customWidth="1"/>
    <col min="9210" max="9211" width="10.85546875" style="6" customWidth="1"/>
    <col min="9212" max="9212" width="5.7109375" style="6" customWidth="1"/>
    <col min="9213" max="9213" width="11.5703125" style="6" customWidth="1"/>
    <col min="9214" max="9214" width="9.140625" style="6"/>
    <col min="9215" max="9215" width="9.7109375" style="6" customWidth="1"/>
    <col min="9216" max="9216" width="8.5703125" style="6" customWidth="1"/>
    <col min="9217" max="9218" width="0" style="6" hidden="1" customWidth="1"/>
    <col min="9219" max="9219" width="8.28515625" style="6" customWidth="1"/>
    <col min="9220" max="9220" width="11.85546875" style="6" customWidth="1"/>
    <col min="9221" max="9221" width="11.42578125" style="6" customWidth="1"/>
    <col min="9222" max="9222" width="9.140625" style="6"/>
    <col min="9223" max="9223" width="7.85546875" style="6" customWidth="1"/>
    <col min="9224" max="9461" width="9.140625" style="6"/>
    <col min="9462" max="9462" width="14.85546875" style="6" customWidth="1"/>
    <col min="9463" max="9463" width="15.85546875" style="6" customWidth="1"/>
    <col min="9464" max="9464" width="9.85546875" style="6" customWidth="1"/>
    <col min="9465" max="9465" width="6.85546875" style="6" customWidth="1"/>
    <col min="9466" max="9467" width="10.85546875" style="6" customWidth="1"/>
    <col min="9468" max="9468" width="5.7109375" style="6" customWidth="1"/>
    <col min="9469" max="9469" width="11.5703125" style="6" customWidth="1"/>
    <col min="9470" max="9470" width="9.140625" style="6"/>
    <col min="9471" max="9471" width="9.7109375" style="6" customWidth="1"/>
    <col min="9472" max="9472" width="8.5703125" style="6" customWidth="1"/>
    <col min="9473" max="9474" width="0" style="6" hidden="1" customWidth="1"/>
    <col min="9475" max="9475" width="8.28515625" style="6" customWidth="1"/>
    <col min="9476" max="9476" width="11.85546875" style="6" customWidth="1"/>
    <col min="9477" max="9477" width="11.42578125" style="6" customWidth="1"/>
    <col min="9478" max="9478" width="9.140625" style="6"/>
    <col min="9479" max="9479" width="7.85546875" style="6" customWidth="1"/>
    <col min="9480" max="9717" width="9.140625" style="6"/>
    <col min="9718" max="9718" width="14.85546875" style="6" customWidth="1"/>
    <col min="9719" max="9719" width="15.85546875" style="6" customWidth="1"/>
    <col min="9720" max="9720" width="9.85546875" style="6" customWidth="1"/>
    <col min="9721" max="9721" width="6.85546875" style="6" customWidth="1"/>
    <col min="9722" max="9723" width="10.85546875" style="6" customWidth="1"/>
    <col min="9724" max="9724" width="5.7109375" style="6" customWidth="1"/>
    <col min="9725" max="9725" width="11.5703125" style="6" customWidth="1"/>
    <col min="9726" max="9726" width="9.140625" style="6"/>
    <col min="9727" max="9727" width="9.7109375" style="6" customWidth="1"/>
    <col min="9728" max="9728" width="8.5703125" style="6" customWidth="1"/>
    <col min="9729" max="9730" width="0" style="6" hidden="1" customWidth="1"/>
    <col min="9731" max="9731" width="8.28515625" style="6" customWidth="1"/>
    <col min="9732" max="9732" width="11.85546875" style="6" customWidth="1"/>
    <col min="9733" max="9733" width="11.42578125" style="6" customWidth="1"/>
    <col min="9734" max="9734" width="9.140625" style="6"/>
    <col min="9735" max="9735" width="7.85546875" style="6" customWidth="1"/>
    <col min="9736" max="9973" width="9.140625" style="6"/>
    <col min="9974" max="9974" width="14.85546875" style="6" customWidth="1"/>
    <col min="9975" max="9975" width="15.85546875" style="6" customWidth="1"/>
    <col min="9976" max="9976" width="9.85546875" style="6" customWidth="1"/>
    <col min="9977" max="9977" width="6.85546875" style="6" customWidth="1"/>
    <col min="9978" max="9979" width="10.85546875" style="6" customWidth="1"/>
    <col min="9980" max="9980" width="5.7109375" style="6" customWidth="1"/>
    <col min="9981" max="9981" width="11.5703125" style="6" customWidth="1"/>
    <col min="9982" max="9982" width="9.140625" style="6"/>
    <col min="9983" max="9983" width="9.7109375" style="6" customWidth="1"/>
    <col min="9984" max="9984" width="8.5703125" style="6" customWidth="1"/>
    <col min="9985" max="9986" width="0" style="6" hidden="1" customWidth="1"/>
    <col min="9987" max="9987" width="8.28515625" style="6" customWidth="1"/>
    <col min="9988" max="9988" width="11.85546875" style="6" customWidth="1"/>
    <col min="9989" max="9989" width="11.42578125" style="6" customWidth="1"/>
    <col min="9990" max="9990" width="9.140625" style="6"/>
    <col min="9991" max="9991" width="7.85546875" style="6" customWidth="1"/>
    <col min="9992" max="10229" width="9.140625" style="6"/>
    <col min="10230" max="10230" width="14.85546875" style="6" customWidth="1"/>
    <col min="10231" max="10231" width="15.85546875" style="6" customWidth="1"/>
    <col min="10232" max="10232" width="9.85546875" style="6" customWidth="1"/>
    <col min="10233" max="10233" width="6.85546875" style="6" customWidth="1"/>
    <col min="10234" max="10235" width="10.85546875" style="6" customWidth="1"/>
    <col min="10236" max="10236" width="5.7109375" style="6" customWidth="1"/>
    <col min="10237" max="10237" width="11.5703125" style="6" customWidth="1"/>
    <col min="10238" max="10238" width="9.140625" style="6"/>
    <col min="10239" max="10239" width="9.7109375" style="6" customWidth="1"/>
    <col min="10240" max="10240" width="8.5703125" style="6" customWidth="1"/>
    <col min="10241" max="10242" width="0" style="6" hidden="1" customWidth="1"/>
    <col min="10243" max="10243" width="8.28515625" style="6" customWidth="1"/>
    <col min="10244" max="10244" width="11.85546875" style="6" customWidth="1"/>
    <col min="10245" max="10245" width="11.42578125" style="6" customWidth="1"/>
    <col min="10246" max="10246" width="9.140625" style="6"/>
    <col min="10247" max="10247" width="7.85546875" style="6" customWidth="1"/>
    <col min="10248" max="10485" width="9.140625" style="6"/>
    <col min="10486" max="10486" width="14.85546875" style="6" customWidth="1"/>
    <col min="10487" max="10487" width="15.85546875" style="6" customWidth="1"/>
    <col min="10488" max="10488" width="9.85546875" style="6" customWidth="1"/>
    <col min="10489" max="10489" width="6.85546875" style="6" customWidth="1"/>
    <col min="10490" max="10491" width="10.85546875" style="6" customWidth="1"/>
    <col min="10492" max="10492" width="5.7109375" style="6" customWidth="1"/>
    <col min="10493" max="10493" width="11.5703125" style="6" customWidth="1"/>
    <col min="10494" max="10494" width="9.140625" style="6"/>
    <col min="10495" max="10495" width="9.7109375" style="6" customWidth="1"/>
    <col min="10496" max="10496" width="8.5703125" style="6" customWidth="1"/>
    <col min="10497" max="10498" width="0" style="6" hidden="1" customWidth="1"/>
    <col min="10499" max="10499" width="8.28515625" style="6" customWidth="1"/>
    <col min="10500" max="10500" width="11.85546875" style="6" customWidth="1"/>
    <col min="10501" max="10501" width="11.42578125" style="6" customWidth="1"/>
    <col min="10502" max="10502" width="9.140625" style="6"/>
    <col min="10503" max="10503" width="7.85546875" style="6" customWidth="1"/>
    <col min="10504" max="10741" width="9.140625" style="6"/>
    <col min="10742" max="10742" width="14.85546875" style="6" customWidth="1"/>
    <col min="10743" max="10743" width="15.85546875" style="6" customWidth="1"/>
    <col min="10744" max="10744" width="9.85546875" style="6" customWidth="1"/>
    <col min="10745" max="10745" width="6.85546875" style="6" customWidth="1"/>
    <col min="10746" max="10747" width="10.85546875" style="6" customWidth="1"/>
    <col min="10748" max="10748" width="5.7109375" style="6" customWidth="1"/>
    <col min="10749" max="10749" width="11.5703125" style="6" customWidth="1"/>
    <col min="10750" max="10750" width="9.140625" style="6"/>
    <col min="10751" max="10751" width="9.7109375" style="6" customWidth="1"/>
    <col min="10752" max="10752" width="8.5703125" style="6" customWidth="1"/>
    <col min="10753" max="10754" width="0" style="6" hidden="1" customWidth="1"/>
    <col min="10755" max="10755" width="8.28515625" style="6" customWidth="1"/>
    <col min="10756" max="10756" width="11.85546875" style="6" customWidth="1"/>
    <col min="10757" max="10757" width="11.42578125" style="6" customWidth="1"/>
    <col min="10758" max="10758" width="9.140625" style="6"/>
    <col min="10759" max="10759" width="7.85546875" style="6" customWidth="1"/>
    <col min="10760" max="10997" width="9.140625" style="6"/>
    <col min="10998" max="10998" width="14.85546875" style="6" customWidth="1"/>
    <col min="10999" max="10999" width="15.85546875" style="6" customWidth="1"/>
    <col min="11000" max="11000" width="9.85546875" style="6" customWidth="1"/>
    <col min="11001" max="11001" width="6.85546875" style="6" customWidth="1"/>
    <col min="11002" max="11003" width="10.85546875" style="6" customWidth="1"/>
    <col min="11004" max="11004" width="5.7109375" style="6" customWidth="1"/>
    <col min="11005" max="11005" width="11.5703125" style="6" customWidth="1"/>
    <col min="11006" max="11006" width="9.140625" style="6"/>
    <col min="11007" max="11007" width="9.7109375" style="6" customWidth="1"/>
    <col min="11008" max="11008" width="8.5703125" style="6" customWidth="1"/>
    <col min="11009" max="11010" width="0" style="6" hidden="1" customWidth="1"/>
    <col min="11011" max="11011" width="8.28515625" style="6" customWidth="1"/>
    <col min="11012" max="11012" width="11.85546875" style="6" customWidth="1"/>
    <col min="11013" max="11013" width="11.42578125" style="6" customWidth="1"/>
    <col min="11014" max="11014" width="9.140625" style="6"/>
    <col min="11015" max="11015" width="7.85546875" style="6" customWidth="1"/>
    <col min="11016" max="11253" width="9.140625" style="6"/>
    <col min="11254" max="11254" width="14.85546875" style="6" customWidth="1"/>
    <col min="11255" max="11255" width="15.85546875" style="6" customWidth="1"/>
    <col min="11256" max="11256" width="9.85546875" style="6" customWidth="1"/>
    <col min="11257" max="11257" width="6.85546875" style="6" customWidth="1"/>
    <col min="11258" max="11259" width="10.85546875" style="6" customWidth="1"/>
    <col min="11260" max="11260" width="5.7109375" style="6" customWidth="1"/>
    <col min="11261" max="11261" width="11.5703125" style="6" customWidth="1"/>
    <col min="11262" max="11262" width="9.140625" style="6"/>
    <col min="11263" max="11263" width="9.7109375" style="6" customWidth="1"/>
    <col min="11264" max="11264" width="8.5703125" style="6" customWidth="1"/>
    <col min="11265" max="11266" width="0" style="6" hidden="1" customWidth="1"/>
    <col min="11267" max="11267" width="8.28515625" style="6" customWidth="1"/>
    <col min="11268" max="11268" width="11.85546875" style="6" customWidth="1"/>
    <col min="11269" max="11269" width="11.42578125" style="6" customWidth="1"/>
    <col min="11270" max="11270" width="9.140625" style="6"/>
    <col min="11271" max="11271" width="7.85546875" style="6" customWidth="1"/>
    <col min="11272" max="11509" width="9.140625" style="6"/>
    <col min="11510" max="11510" width="14.85546875" style="6" customWidth="1"/>
    <col min="11511" max="11511" width="15.85546875" style="6" customWidth="1"/>
    <col min="11512" max="11512" width="9.85546875" style="6" customWidth="1"/>
    <col min="11513" max="11513" width="6.85546875" style="6" customWidth="1"/>
    <col min="11514" max="11515" width="10.85546875" style="6" customWidth="1"/>
    <col min="11516" max="11516" width="5.7109375" style="6" customWidth="1"/>
    <col min="11517" max="11517" width="11.5703125" style="6" customWidth="1"/>
    <col min="11518" max="11518" width="9.140625" style="6"/>
    <col min="11519" max="11519" width="9.7109375" style="6" customWidth="1"/>
    <col min="11520" max="11520" width="8.5703125" style="6" customWidth="1"/>
    <col min="11521" max="11522" width="0" style="6" hidden="1" customWidth="1"/>
    <col min="11523" max="11523" width="8.28515625" style="6" customWidth="1"/>
    <col min="11524" max="11524" width="11.85546875" style="6" customWidth="1"/>
    <col min="11525" max="11525" width="11.42578125" style="6" customWidth="1"/>
    <col min="11526" max="11526" width="9.140625" style="6"/>
    <col min="11527" max="11527" width="7.85546875" style="6" customWidth="1"/>
    <col min="11528" max="11765" width="9.140625" style="6"/>
    <col min="11766" max="11766" width="14.85546875" style="6" customWidth="1"/>
    <col min="11767" max="11767" width="15.85546875" style="6" customWidth="1"/>
    <col min="11768" max="11768" width="9.85546875" style="6" customWidth="1"/>
    <col min="11769" max="11769" width="6.85546875" style="6" customWidth="1"/>
    <col min="11770" max="11771" width="10.85546875" style="6" customWidth="1"/>
    <col min="11772" max="11772" width="5.7109375" style="6" customWidth="1"/>
    <col min="11773" max="11773" width="11.5703125" style="6" customWidth="1"/>
    <col min="11774" max="11774" width="9.140625" style="6"/>
    <col min="11775" max="11775" width="9.7109375" style="6" customWidth="1"/>
    <col min="11776" max="11776" width="8.5703125" style="6" customWidth="1"/>
    <col min="11777" max="11778" width="0" style="6" hidden="1" customWidth="1"/>
    <col min="11779" max="11779" width="8.28515625" style="6" customWidth="1"/>
    <col min="11780" max="11780" width="11.85546875" style="6" customWidth="1"/>
    <col min="11781" max="11781" width="11.42578125" style="6" customWidth="1"/>
    <col min="11782" max="11782" width="9.140625" style="6"/>
    <col min="11783" max="11783" width="7.85546875" style="6" customWidth="1"/>
    <col min="11784" max="12021" width="9.140625" style="6"/>
    <col min="12022" max="12022" width="14.85546875" style="6" customWidth="1"/>
    <col min="12023" max="12023" width="15.85546875" style="6" customWidth="1"/>
    <col min="12024" max="12024" width="9.85546875" style="6" customWidth="1"/>
    <col min="12025" max="12025" width="6.85546875" style="6" customWidth="1"/>
    <col min="12026" max="12027" width="10.85546875" style="6" customWidth="1"/>
    <col min="12028" max="12028" width="5.7109375" style="6" customWidth="1"/>
    <col min="12029" max="12029" width="11.5703125" style="6" customWidth="1"/>
    <col min="12030" max="12030" width="9.140625" style="6"/>
    <col min="12031" max="12031" width="9.7109375" style="6" customWidth="1"/>
    <col min="12032" max="12032" width="8.5703125" style="6" customWidth="1"/>
    <col min="12033" max="12034" width="0" style="6" hidden="1" customWidth="1"/>
    <col min="12035" max="12035" width="8.28515625" style="6" customWidth="1"/>
    <col min="12036" max="12036" width="11.85546875" style="6" customWidth="1"/>
    <col min="12037" max="12037" width="11.42578125" style="6" customWidth="1"/>
    <col min="12038" max="12038" width="9.140625" style="6"/>
    <col min="12039" max="12039" width="7.85546875" style="6" customWidth="1"/>
    <col min="12040" max="12277" width="9.140625" style="6"/>
    <col min="12278" max="12278" width="14.85546875" style="6" customWidth="1"/>
    <col min="12279" max="12279" width="15.85546875" style="6" customWidth="1"/>
    <col min="12280" max="12280" width="9.85546875" style="6" customWidth="1"/>
    <col min="12281" max="12281" width="6.85546875" style="6" customWidth="1"/>
    <col min="12282" max="12283" width="10.85546875" style="6" customWidth="1"/>
    <col min="12284" max="12284" width="5.7109375" style="6" customWidth="1"/>
    <col min="12285" max="12285" width="11.5703125" style="6" customWidth="1"/>
    <col min="12286" max="12286" width="9.140625" style="6"/>
    <col min="12287" max="12287" width="9.7109375" style="6" customWidth="1"/>
    <col min="12288" max="12288" width="8.5703125" style="6" customWidth="1"/>
    <col min="12289" max="12290" width="0" style="6" hidden="1" customWidth="1"/>
    <col min="12291" max="12291" width="8.28515625" style="6" customWidth="1"/>
    <col min="12292" max="12292" width="11.85546875" style="6" customWidth="1"/>
    <col min="12293" max="12293" width="11.42578125" style="6" customWidth="1"/>
    <col min="12294" max="12294" width="9.140625" style="6"/>
    <col min="12295" max="12295" width="7.85546875" style="6" customWidth="1"/>
    <col min="12296" max="12533" width="9.140625" style="6"/>
    <col min="12534" max="12534" width="14.85546875" style="6" customWidth="1"/>
    <col min="12535" max="12535" width="15.85546875" style="6" customWidth="1"/>
    <col min="12536" max="12536" width="9.85546875" style="6" customWidth="1"/>
    <col min="12537" max="12537" width="6.85546875" style="6" customWidth="1"/>
    <col min="12538" max="12539" width="10.85546875" style="6" customWidth="1"/>
    <col min="12540" max="12540" width="5.7109375" style="6" customWidth="1"/>
    <col min="12541" max="12541" width="11.5703125" style="6" customWidth="1"/>
    <col min="12542" max="12542" width="9.140625" style="6"/>
    <col min="12543" max="12543" width="9.7109375" style="6" customWidth="1"/>
    <col min="12544" max="12544" width="8.5703125" style="6" customWidth="1"/>
    <col min="12545" max="12546" width="0" style="6" hidden="1" customWidth="1"/>
    <col min="12547" max="12547" width="8.28515625" style="6" customWidth="1"/>
    <col min="12548" max="12548" width="11.85546875" style="6" customWidth="1"/>
    <col min="12549" max="12549" width="11.42578125" style="6" customWidth="1"/>
    <col min="12550" max="12550" width="9.140625" style="6"/>
    <col min="12551" max="12551" width="7.85546875" style="6" customWidth="1"/>
    <col min="12552" max="12789" width="9.140625" style="6"/>
    <col min="12790" max="12790" width="14.85546875" style="6" customWidth="1"/>
    <col min="12791" max="12791" width="15.85546875" style="6" customWidth="1"/>
    <col min="12792" max="12792" width="9.85546875" style="6" customWidth="1"/>
    <col min="12793" max="12793" width="6.85546875" style="6" customWidth="1"/>
    <col min="12794" max="12795" width="10.85546875" style="6" customWidth="1"/>
    <col min="12796" max="12796" width="5.7109375" style="6" customWidth="1"/>
    <col min="12797" max="12797" width="11.5703125" style="6" customWidth="1"/>
    <col min="12798" max="12798" width="9.140625" style="6"/>
    <col min="12799" max="12799" width="9.7109375" style="6" customWidth="1"/>
    <col min="12800" max="12800" width="8.5703125" style="6" customWidth="1"/>
    <col min="12801" max="12802" width="0" style="6" hidden="1" customWidth="1"/>
    <col min="12803" max="12803" width="8.28515625" style="6" customWidth="1"/>
    <col min="12804" max="12804" width="11.85546875" style="6" customWidth="1"/>
    <col min="12805" max="12805" width="11.42578125" style="6" customWidth="1"/>
    <col min="12806" max="12806" width="9.140625" style="6"/>
    <col min="12807" max="12807" width="7.85546875" style="6" customWidth="1"/>
    <col min="12808" max="13045" width="9.140625" style="6"/>
    <col min="13046" max="13046" width="14.85546875" style="6" customWidth="1"/>
    <col min="13047" max="13047" width="15.85546875" style="6" customWidth="1"/>
    <col min="13048" max="13048" width="9.85546875" style="6" customWidth="1"/>
    <col min="13049" max="13049" width="6.85546875" style="6" customWidth="1"/>
    <col min="13050" max="13051" width="10.85546875" style="6" customWidth="1"/>
    <col min="13052" max="13052" width="5.7109375" style="6" customWidth="1"/>
    <col min="13053" max="13053" width="11.5703125" style="6" customWidth="1"/>
    <col min="13054" max="13054" width="9.140625" style="6"/>
    <col min="13055" max="13055" width="9.7109375" style="6" customWidth="1"/>
    <col min="13056" max="13056" width="8.5703125" style="6" customWidth="1"/>
    <col min="13057" max="13058" width="0" style="6" hidden="1" customWidth="1"/>
    <col min="13059" max="13059" width="8.28515625" style="6" customWidth="1"/>
    <col min="13060" max="13060" width="11.85546875" style="6" customWidth="1"/>
    <col min="13061" max="13061" width="11.42578125" style="6" customWidth="1"/>
    <col min="13062" max="13062" width="9.140625" style="6"/>
    <col min="13063" max="13063" width="7.85546875" style="6" customWidth="1"/>
    <col min="13064" max="13301" width="9.140625" style="6"/>
    <col min="13302" max="13302" width="14.85546875" style="6" customWidth="1"/>
    <col min="13303" max="13303" width="15.85546875" style="6" customWidth="1"/>
    <col min="13304" max="13304" width="9.85546875" style="6" customWidth="1"/>
    <col min="13305" max="13305" width="6.85546875" style="6" customWidth="1"/>
    <col min="13306" max="13307" width="10.85546875" style="6" customWidth="1"/>
    <col min="13308" max="13308" width="5.7109375" style="6" customWidth="1"/>
    <col min="13309" max="13309" width="11.5703125" style="6" customWidth="1"/>
    <col min="13310" max="13310" width="9.140625" style="6"/>
    <col min="13311" max="13311" width="9.7109375" style="6" customWidth="1"/>
    <col min="13312" max="13312" width="8.5703125" style="6" customWidth="1"/>
    <col min="13313" max="13314" width="0" style="6" hidden="1" customWidth="1"/>
    <col min="13315" max="13315" width="8.28515625" style="6" customWidth="1"/>
    <col min="13316" max="13316" width="11.85546875" style="6" customWidth="1"/>
    <col min="13317" max="13317" width="11.42578125" style="6" customWidth="1"/>
    <col min="13318" max="13318" width="9.140625" style="6"/>
    <col min="13319" max="13319" width="7.85546875" style="6" customWidth="1"/>
    <col min="13320" max="13557" width="9.140625" style="6"/>
    <col min="13558" max="13558" width="14.85546875" style="6" customWidth="1"/>
    <col min="13559" max="13559" width="15.85546875" style="6" customWidth="1"/>
    <col min="13560" max="13560" width="9.85546875" style="6" customWidth="1"/>
    <col min="13561" max="13561" width="6.85546875" style="6" customWidth="1"/>
    <col min="13562" max="13563" width="10.85546875" style="6" customWidth="1"/>
    <col min="13564" max="13564" width="5.7109375" style="6" customWidth="1"/>
    <col min="13565" max="13565" width="11.5703125" style="6" customWidth="1"/>
    <col min="13566" max="13566" width="9.140625" style="6"/>
    <col min="13567" max="13567" width="9.7109375" style="6" customWidth="1"/>
    <col min="13568" max="13568" width="8.5703125" style="6" customWidth="1"/>
    <col min="13569" max="13570" width="0" style="6" hidden="1" customWidth="1"/>
    <col min="13571" max="13571" width="8.28515625" style="6" customWidth="1"/>
    <col min="13572" max="13572" width="11.85546875" style="6" customWidth="1"/>
    <col min="13573" max="13573" width="11.42578125" style="6" customWidth="1"/>
    <col min="13574" max="13574" width="9.140625" style="6"/>
    <col min="13575" max="13575" width="7.85546875" style="6" customWidth="1"/>
    <col min="13576" max="13813" width="9.140625" style="6"/>
    <col min="13814" max="13814" width="14.85546875" style="6" customWidth="1"/>
    <col min="13815" max="13815" width="15.85546875" style="6" customWidth="1"/>
    <col min="13816" max="13816" width="9.85546875" style="6" customWidth="1"/>
    <col min="13817" max="13817" width="6.85546875" style="6" customWidth="1"/>
    <col min="13818" max="13819" width="10.85546875" style="6" customWidth="1"/>
    <col min="13820" max="13820" width="5.7109375" style="6" customWidth="1"/>
    <col min="13821" max="13821" width="11.5703125" style="6" customWidth="1"/>
    <col min="13822" max="13822" width="9.140625" style="6"/>
    <col min="13823" max="13823" width="9.7109375" style="6" customWidth="1"/>
    <col min="13824" max="13824" width="8.5703125" style="6" customWidth="1"/>
    <col min="13825" max="13826" width="0" style="6" hidden="1" customWidth="1"/>
    <col min="13827" max="13827" width="8.28515625" style="6" customWidth="1"/>
    <col min="13828" max="13828" width="11.85546875" style="6" customWidth="1"/>
    <col min="13829" max="13829" width="11.42578125" style="6" customWidth="1"/>
    <col min="13830" max="13830" width="9.140625" style="6"/>
    <col min="13831" max="13831" width="7.85546875" style="6" customWidth="1"/>
    <col min="13832" max="14069" width="9.140625" style="6"/>
    <col min="14070" max="14070" width="14.85546875" style="6" customWidth="1"/>
    <col min="14071" max="14071" width="15.85546875" style="6" customWidth="1"/>
    <col min="14072" max="14072" width="9.85546875" style="6" customWidth="1"/>
    <col min="14073" max="14073" width="6.85546875" style="6" customWidth="1"/>
    <col min="14074" max="14075" width="10.85546875" style="6" customWidth="1"/>
    <col min="14076" max="14076" width="5.7109375" style="6" customWidth="1"/>
    <col min="14077" max="14077" width="11.5703125" style="6" customWidth="1"/>
    <col min="14078" max="14078" width="9.140625" style="6"/>
    <col min="14079" max="14079" width="9.7109375" style="6" customWidth="1"/>
    <col min="14080" max="14080" width="8.5703125" style="6" customWidth="1"/>
    <col min="14081" max="14082" width="0" style="6" hidden="1" customWidth="1"/>
    <col min="14083" max="14083" width="8.28515625" style="6" customWidth="1"/>
    <col min="14084" max="14084" width="11.85546875" style="6" customWidth="1"/>
    <col min="14085" max="14085" width="11.42578125" style="6" customWidth="1"/>
    <col min="14086" max="14086" width="9.140625" style="6"/>
    <col min="14087" max="14087" width="7.85546875" style="6" customWidth="1"/>
    <col min="14088" max="14325" width="9.140625" style="6"/>
    <col min="14326" max="14326" width="14.85546875" style="6" customWidth="1"/>
    <col min="14327" max="14327" width="15.85546875" style="6" customWidth="1"/>
    <col min="14328" max="14328" width="9.85546875" style="6" customWidth="1"/>
    <col min="14329" max="14329" width="6.85546875" style="6" customWidth="1"/>
    <col min="14330" max="14331" width="10.85546875" style="6" customWidth="1"/>
    <col min="14332" max="14332" width="5.7109375" style="6" customWidth="1"/>
    <col min="14333" max="14333" width="11.5703125" style="6" customWidth="1"/>
    <col min="14334" max="14334" width="9.140625" style="6"/>
    <col min="14335" max="14335" width="9.7109375" style="6" customWidth="1"/>
    <col min="14336" max="14336" width="8.5703125" style="6" customWidth="1"/>
    <col min="14337" max="14338" width="0" style="6" hidden="1" customWidth="1"/>
    <col min="14339" max="14339" width="8.28515625" style="6" customWidth="1"/>
    <col min="14340" max="14340" width="11.85546875" style="6" customWidth="1"/>
    <col min="14341" max="14341" width="11.42578125" style="6" customWidth="1"/>
    <col min="14342" max="14342" width="9.140625" style="6"/>
    <col min="14343" max="14343" width="7.85546875" style="6" customWidth="1"/>
    <col min="14344" max="14581" width="9.140625" style="6"/>
    <col min="14582" max="14582" width="14.85546875" style="6" customWidth="1"/>
    <col min="14583" max="14583" width="15.85546875" style="6" customWidth="1"/>
    <col min="14584" max="14584" width="9.85546875" style="6" customWidth="1"/>
    <col min="14585" max="14585" width="6.85546875" style="6" customWidth="1"/>
    <col min="14586" max="14587" width="10.85546875" style="6" customWidth="1"/>
    <col min="14588" max="14588" width="5.7109375" style="6" customWidth="1"/>
    <col min="14589" max="14589" width="11.5703125" style="6" customWidth="1"/>
    <col min="14590" max="14590" width="9.140625" style="6"/>
    <col min="14591" max="14591" width="9.7109375" style="6" customWidth="1"/>
    <col min="14592" max="14592" width="8.5703125" style="6" customWidth="1"/>
    <col min="14593" max="14594" width="0" style="6" hidden="1" customWidth="1"/>
    <col min="14595" max="14595" width="8.28515625" style="6" customWidth="1"/>
    <col min="14596" max="14596" width="11.85546875" style="6" customWidth="1"/>
    <col min="14597" max="14597" width="11.42578125" style="6" customWidth="1"/>
    <col min="14598" max="14598" width="9.140625" style="6"/>
    <col min="14599" max="14599" width="7.85546875" style="6" customWidth="1"/>
    <col min="14600" max="14837" width="9.140625" style="6"/>
    <col min="14838" max="14838" width="14.85546875" style="6" customWidth="1"/>
    <col min="14839" max="14839" width="15.85546875" style="6" customWidth="1"/>
    <col min="14840" max="14840" width="9.85546875" style="6" customWidth="1"/>
    <col min="14841" max="14841" width="6.85546875" style="6" customWidth="1"/>
    <col min="14842" max="14843" width="10.85546875" style="6" customWidth="1"/>
    <col min="14844" max="14844" width="5.7109375" style="6" customWidth="1"/>
    <col min="14845" max="14845" width="11.5703125" style="6" customWidth="1"/>
    <col min="14846" max="14846" width="9.140625" style="6"/>
    <col min="14847" max="14847" width="9.7109375" style="6" customWidth="1"/>
    <col min="14848" max="14848" width="8.5703125" style="6" customWidth="1"/>
    <col min="14849" max="14850" width="0" style="6" hidden="1" customWidth="1"/>
    <col min="14851" max="14851" width="8.28515625" style="6" customWidth="1"/>
    <col min="14852" max="14852" width="11.85546875" style="6" customWidth="1"/>
    <col min="14853" max="14853" width="11.42578125" style="6" customWidth="1"/>
    <col min="14854" max="14854" width="9.140625" style="6"/>
    <col min="14855" max="14855" width="7.85546875" style="6" customWidth="1"/>
    <col min="14856" max="15093" width="9.140625" style="6"/>
    <col min="15094" max="15094" width="14.85546875" style="6" customWidth="1"/>
    <col min="15095" max="15095" width="15.85546875" style="6" customWidth="1"/>
    <col min="15096" max="15096" width="9.85546875" style="6" customWidth="1"/>
    <col min="15097" max="15097" width="6.85546875" style="6" customWidth="1"/>
    <col min="15098" max="15099" width="10.85546875" style="6" customWidth="1"/>
    <col min="15100" max="15100" width="5.7109375" style="6" customWidth="1"/>
    <col min="15101" max="15101" width="11.5703125" style="6" customWidth="1"/>
    <col min="15102" max="15102" width="9.140625" style="6"/>
    <col min="15103" max="15103" width="9.7109375" style="6" customWidth="1"/>
    <col min="15104" max="15104" width="8.5703125" style="6" customWidth="1"/>
    <col min="15105" max="15106" width="0" style="6" hidden="1" customWidth="1"/>
    <col min="15107" max="15107" width="8.28515625" style="6" customWidth="1"/>
    <col min="15108" max="15108" width="11.85546875" style="6" customWidth="1"/>
    <col min="15109" max="15109" width="11.42578125" style="6" customWidth="1"/>
    <col min="15110" max="15110" width="9.140625" style="6"/>
    <col min="15111" max="15111" width="7.85546875" style="6" customWidth="1"/>
    <col min="15112" max="15349" width="9.140625" style="6"/>
    <col min="15350" max="15350" width="14.85546875" style="6" customWidth="1"/>
    <col min="15351" max="15351" width="15.85546875" style="6" customWidth="1"/>
    <col min="15352" max="15352" width="9.85546875" style="6" customWidth="1"/>
    <col min="15353" max="15353" width="6.85546875" style="6" customWidth="1"/>
    <col min="15354" max="15355" width="10.85546875" style="6" customWidth="1"/>
    <col min="15356" max="15356" width="5.7109375" style="6" customWidth="1"/>
    <col min="15357" max="15357" width="11.5703125" style="6" customWidth="1"/>
    <col min="15358" max="15358" width="9.140625" style="6"/>
    <col min="15359" max="15359" width="9.7109375" style="6" customWidth="1"/>
    <col min="15360" max="15360" width="8.5703125" style="6" customWidth="1"/>
    <col min="15361" max="15362" width="0" style="6" hidden="1" customWidth="1"/>
    <col min="15363" max="15363" width="8.28515625" style="6" customWidth="1"/>
    <col min="15364" max="15364" width="11.85546875" style="6" customWidth="1"/>
    <col min="15365" max="15365" width="11.42578125" style="6" customWidth="1"/>
    <col min="15366" max="15366" width="9.140625" style="6"/>
    <col min="15367" max="15367" width="7.85546875" style="6" customWidth="1"/>
    <col min="15368" max="15605" width="9.140625" style="6"/>
    <col min="15606" max="15606" width="14.85546875" style="6" customWidth="1"/>
    <col min="15607" max="15607" width="15.85546875" style="6" customWidth="1"/>
    <col min="15608" max="15608" width="9.85546875" style="6" customWidth="1"/>
    <col min="15609" max="15609" width="6.85546875" style="6" customWidth="1"/>
    <col min="15610" max="15611" width="10.85546875" style="6" customWidth="1"/>
    <col min="15612" max="15612" width="5.7109375" style="6" customWidth="1"/>
    <col min="15613" max="15613" width="11.5703125" style="6" customWidth="1"/>
    <col min="15614" max="15614" width="9.140625" style="6"/>
    <col min="15615" max="15615" width="9.7109375" style="6" customWidth="1"/>
    <col min="15616" max="15616" width="8.5703125" style="6" customWidth="1"/>
    <col min="15617" max="15618" width="0" style="6" hidden="1" customWidth="1"/>
    <col min="15619" max="15619" width="8.28515625" style="6" customWidth="1"/>
    <col min="15620" max="15620" width="11.85546875" style="6" customWidth="1"/>
    <col min="15621" max="15621" width="11.42578125" style="6" customWidth="1"/>
    <col min="15622" max="15622" width="9.140625" style="6"/>
    <col min="15623" max="15623" width="7.85546875" style="6" customWidth="1"/>
    <col min="15624" max="15861" width="9.140625" style="6"/>
    <col min="15862" max="15862" width="14.85546875" style="6" customWidth="1"/>
    <col min="15863" max="15863" width="15.85546875" style="6" customWidth="1"/>
    <col min="15864" max="15864" width="9.85546875" style="6" customWidth="1"/>
    <col min="15865" max="15865" width="6.85546875" style="6" customWidth="1"/>
    <col min="15866" max="15867" width="10.85546875" style="6" customWidth="1"/>
    <col min="15868" max="15868" width="5.7109375" style="6" customWidth="1"/>
    <col min="15869" max="15869" width="11.5703125" style="6" customWidth="1"/>
    <col min="15870" max="15870" width="9.140625" style="6"/>
    <col min="15871" max="15871" width="9.7109375" style="6" customWidth="1"/>
    <col min="15872" max="15872" width="8.5703125" style="6" customWidth="1"/>
    <col min="15873" max="15874" width="0" style="6" hidden="1" customWidth="1"/>
    <col min="15875" max="15875" width="8.28515625" style="6" customWidth="1"/>
    <col min="15876" max="15876" width="11.85546875" style="6" customWidth="1"/>
    <col min="15877" max="15877" width="11.42578125" style="6" customWidth="1"/>
    <col min="15878" max="15878" width="9.140625" style="6"/>
    <col min="15879" max="15879" width="7.85546875" style="6" customWidth="1"/>
    <col min="15880" max="16117" width="9.140625" style="6"/>
    <col min="16118" max="16118" width="14.85546875" style="6" customWidth="1"/>
    <col min="16119" max="16119" width="15.85546875" style="6" customWidth="1"/>
    <col min="16120" max="16120" width="9.85546875" style="6" customWidth="1"/>
    <col min="16121" max="16121" width="6.85546875" style="6" customWidth="1"/>
    <col min="16122" max="16123" width="10.85546875" style="6" customWidth="1"/>
    <col min="16124" max="16124" width="5.7109375" style="6" customWidth="1"/>
    <col min="16125" max="16125" width="11.5703125" style="6" customWidth="1"/>
    <col min="16126" max="16126" width="9.140625" style="6"/>
    <col min="16127" max="16127" width="9.7109375" style="6" customWidth="1"/>
    <col min="16128" max="16128" width="8.5703125" style="6" customWidth="1"/>
    <col min="16129" max="16130" width="0" style="6" hidden="1" customWidth="1"/>
    <col min="16131" max="16131" width="8.28515625" style="6" customWidth="1"/>
    <col min="16132" max="16132" width="11.85546875" style="6" customWidth="1"/>
    <col min="16133" max="16133" width="11.42578125" style="6" customWidth="1"/>
    <col min="16134" max="16134" width="9.140625" style="6"/>
    <col min="16135" max="16135" width="7.85546875" style="6" customWidth="1"/>
    <col min="16136" max="16384" width="9.140625" style="6"/>
  </cols>
  <sheetData>
    <row r="1" spans="2:20" s="9" customFormat="1" x14ac:dyDescent="0.25">
      <c r="D1" s="9" t="s">
        <v>67</v>
      </c>
      <c r="E1" s="39" t="s">
        <v>68</v>
      </c>
      <c r="N1" s="18"/>
      <c r="O1" s="18"/>
      <c r="T1" s="37"/>
    </row>
    <row r="2" spans="2:20" s="9" customFormat="1" x14ac:dyDescent="0.25">
      <c r="B2" s="2" t="s">
        <v>43</v>
      </c>
      <c r="C2" s="47"/>
      <c r="D2" s="3"/>
      <c r="E2" s="3"/>
      <c r="F2" s="10"/>
      <c r="G2" s="10"/>
      <c r="H2" s="10"/>
      <c r="I2" s="10"/>
      <c r="J2" s="10"/>
      <c r="K2" s="48"/>
      <c r="L2" s="2" t="s">
        <v>9</v>
      </c>
      <c r="M2" s="15"/>
      <c r="N2" s="15"/>
      <c r="O2" s="75"/>
      <c r="T2" s="37"/>
    </row>
    <row r="3" spans="2:20" s="9" customFormat="1" x14ac:dyDescent="0.25">
      <c r="B3" s="4"/>
      <c r="C3" s="1"/>
      <c r="D3" s="1"/>
      <c r="E3" s="1"/>
      <c r="F3" s="6"/>
      <c r="G3" s="6"/>
      <c r="H3" s="6"/>
      <c r="I3" s="6"/>
      <c r="J3" s="6"/>
      <c r="K3" s="49"/>
      <c r="L3" s="4"/>
      <c r="M3" s="17"/>
      <c r="N3" s="17"/>
      <c r="O3" s="83" t="s">
        <v>69</v>
      </c>
      <c r="T3" s="37"/>
    </row>
    <row r="4" spans="2:20" s="9" customFormat="1" x14ac:dyDescent="0.25">
      <c r="B4" s="5" t="s">
        <v>6</v>
      </c>
      <c r="C4" s="6"/>
      <c r="D4" s="6"/>
      <c r="E4" s="38">
        <v>70</v>
      </c>
      <c r="F4" s="6" t="s">
        <v>51</v>
      </c>
      <c r="G4" s="6"/>
      <c r="H4" s="6"/>
      <c r="I4" s="6"/>
      <c r="J4" s="6"/>
      <c r="K4" s="49"/>
      <c r="L4" s="4"/>
      <c r="M4" s="17"/>
      <c r="N4" s="17"/>
      <c r="O4" s="83" t="s">
        <v>55</v>
      </c>
      <c r="T4" s="37"/>
    </row>
    <row r="5" spans="2:20" s="9" customFormat="1" x14ac:dyDescent="0.25">
      <c r="B5" s="5" t="s">
        <v>0</v>
      </c>
      <c r="C5" s="6"/>
      <c r="D5" s="6"/>
      <c r="E5" s="39" t="s">
        <v>33</v>
      </c>
      <c r="F5" s="6" t="s">
        <v>30</v>
      </c>
      <c r="G5" s="6"/>
      <c r="H5" s="6"/>
      <c r="I5" s="6"/>
      <c r="J5" s="6"/>
      <c r="K5" s="49"/>
      <c r="L5" s="4"/>
      <c r="M5" s="17"/>
      <c r="N5" s="17"/>
      <c r="O5" s="82">
        <v>42735</v>
      </c>
      <c r="T5" s="37"/>
    </row>
    <row r="6" spans="2:20" s="9" customFormat="1" x14ac:dyDescent="0.25">
      <c r="B6" s="5" t="s">
        <v>10</v>
      </c>
      <c r="C6" s="6"/>
      <c r="D6" s="6"/>
      <c r="E6" s="40">
        <v>40000</v>
      </c>
      <c r="F6" s="6" t="s">
        <v>50</v>
      </c>
      <c r="G6" s="6"/>
      <c r="H6" s="6"/>
      <c r="I6" s="6"/>
      <c r="J6" s="6"/>
      <c r="K6" s="49"/>
      <c r="L6" s="4" t="s">
        <v>34</v>
      </c>
      <c r="M6" s="6"/>
      <c r="N6" s="6"/>
      <c r="O6" s="43">
        <v>2500000000</v>
      </c>
      <c r="P6" s="105">
        <f>O6</f>
        <v>2500000000</v>
      </c>
      <c r="T6" s="37"/>
    </row>
    <row r="7" spans="2:20" s="9" customFormat="1" x14ac:dyDescent="0.25">
      <c r="B7" s="5" t="s">
        <v>11</v>
      </c>
      <c r="C7" s="6"/>
      <c r="D7" s="6"/>
      <c r="E7" s="40">
        <v>5000</v>
      </c>
      <c r="F7" s="6" t="s">
        <v>35</v>
      </c>
      <c r="G7" s="6"/>
      <c r="H7" s="6"/>
      <c r="I7" s="6"/>
      <c r="J7" s="6"/>
      <c r="K7" s="49"/>
      <c r="L7" s="4" t="s">
        <v>20</v>
      </c>
      <c r="M7" s="6"/>
      <c r="N7" s="6"/>
      <c r="O7" s="43">
        <v>500000000</v>
      </c>
      <c r="P7" s="105">
        <f t="shared" ref="P7:P10" si="0">O7</f>
        <v>500000000</v>
      </c>
      <c r="T7" s="37"/>
    </row>
    <row r="8" spans="2:20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49"/>
      <c r="L8" s="4" t="s">
        <v>19</v>
      </c>
      <c r="M8" s="6"/>
      <c r="N8" s="6"/>
      <c r="O8" s="43">
        <v>50000000</v>
      </c>
      <c r="P8" s="105">
        <f t="shared" si="0"/>
        <v>50000000</v>
      </c>
      <c r="T8" s="37"/>
    </row>
    <row r="9" spans="2:20" s="9" customFormat="1" x14ac:dyDescent="0.25">
      <c r="B9" s="5" t="s">
        <v>16</v>
      </c>
      <c r="C9" s="6"/>
      <c r="D9" s="6"/>
      <c r="E9" s="40">
        <v>40</v>
      </c>
      <c r="F9" s="6" t="s">
        <v>1</v>
      </c>
      <c r="G9" s="6"/>
      <c r="H9" s="6"/>
      <c r="I9" s="6"/>
      <c r="J9" s="6"/>
      <c r="K9" s="49"/>
      <c r="L9" s="4" t="s">
        <v>14</v>
      </c>
      <c r="M9" s="6"/>
      <c r="N9" s="6"/>
      <c r="O9" s="78" t="s">
        <v>36</v>
      </c>
      <c r="P9" s="105" t="str">
        <f t="shared" si="0"/>
        <v>To be determined in part a)</v>
      </c>
      <c r="T9" s="37"/>
    </row>
    <row r="10" spans="2:20" s="9" customFormat="1" x14ac:dyDescent="0.25">
      <c r="B10" s="5" t="s">
        <v>7</v>
      </c>
      <c r="C10" s="6"/>
      <c r="D10" s="6"/>
      <c r="E10" s="41">
        <v>0.05</v>
      </c>
      <c r="F10" s="6" t="s">
        <v>31</v>
      </c>
      <c r="G10" s="6"/>
      <c r="H10" s="6"/>
      <c r="I10" s="6"/>
      <c r="J10" s="6"/>
      <c r="K10" s="49"/>
      <c r="L10" s="76" t="s">
        <v>39</v>
      </c>
      <c r="M10" s="8"/>
      <c r="N10" s="8"/>
      <c r="O10" s="44">
        <v>150000000</v>
      </c>
      <c r="P10" s="105">
        <f t="shared" si="0"/>
        <v>150000000</v>
      </c>
      <c r="T10" s="37"/>
    </row>
    <row r="11" spans="2:20" s="9" customFormat="1" x14ac:dyDescent="0.25">
      <c r="B11" s="5" t="s">
        <v>12</v>
      </c>
      <c r="C11" s="6"/>
      <c r="D11" s="6"/>
      <c r="E11" s="41">
        <v>0.1</v>
      </c>
      <c r="F11" s="6" t="s">
        <v>31</v>
      </c>
      <c r="G11" s="6"/>
      <c r="H11" s="6"/>
      <c r="I11" s="6"/>
      <c r="J11" s="6"/>
      <c r="K11" s="49"/>
      <c r="T11" s="37"/>
    </row>
    <row r="12" spans="2:20" s="9" customFormat="1" x14ac:dyDescent="0.25">
      <c r="B12" s="5" t="s">
        <v>13</v>
      </c>
      <c r="C12" s="6"/>
      <c r="D12" s="6"/>
      <c r="E12" s="41">
        <v>0.03</v>
      </c>
      <c r="F12" s="6" t="s">
        <v>31</v>
      </c>
      <c r="G12" s="6"/>
      <c r="H12" s="6"/>
      <c r="I12" s="6"/>
      <c r="J12" s="6"/>
      <c r="K12" s="49"/>
      <c r="L12" s="77" t="s">
        <v>46</v>
      </c>
      <c r="M12" s="10"/>
      <c r="N12" s="10"/>
      <c r="O12" s="45">
        <v>0.1</v>
      </c>
      <c r="T12" s="37"/>
    </row>
    <row r="13" spans="2:20" s="9" customFormat="1" x14ac:dyDescent="0.25">
      <c r="B13" s="5" t="s">
        <v>17</v>
      </c>
      <c r="C13" s="6"/>
      <c r="D13" s="6"/>
      <c r="E13" s="41">
        <v>0.3</v>
      </c>
      <c r="F13" s="6"/>
      <c r="G13" s="6"/>
      <c r="H13" s="6"/>
      <c r="I13" s="6"/>
      <c r="J13" s="6"/>
      <c r="K13" s="49"/>
      <c r="L13" s="76" t="s">
        <v>21</v>
      </c>
      <c r="M13" s="8"/>
      <c r="N13" s="8"/>
      <c r="O13" s="46">
        <v>0</v>
      </c>
      <c r="T13" s="37"/>
    </row>
    <row r="14" spans="2:20" s="9" customFormat="1" x14ac:dyDescent="0.25">
      <c r="B14" s="5" t="s">
        <v>18</v>
      </c>
      <c r="C14" s="6"/>
      <c r="D14" s="6"/>
      <c r="E14" s="41">
        <v>0</v>
      </c>
      <c r="F14" s="6"/>
      <c r="G14" s="6"/>
      <c r="H14" s="6"/>
      <c r="I14" s="6"/>
      <c r="J14" s="6"/>
      <c r="K14" s="49"/>
      <c r="N14" s="18"/>
      <c r="O14" s="98" t="s">
        <v>69</v>
      </c>
      <c r="P14" s="110" t="s">
        <v>69</v>
      </c>
      <c r="T14" s="37"/>
    </row>
    <row r="15" spans="2:20" s="9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49"/>
      <c r="N15" s="18"/>
      <c r="O15" s="98" t="s">
        <v>55</v>
      </c>
      <c r="P15" s="98" t="s">
        <v>55</v>
      </c>
      <c r="T15" s="37"/>
    </row>
    <row r="16" spans="2:20" s="9" customFormat="1" x14ac:dyDescent="0.25">
      <c r="B16" s="5" t="s">
        <v>5</v>
      </c>
      <c r="C16" s="6"/>
      <c r="D16" s="6"/>
      <c r="E16" s="41">
        <v>0.02</v>
      </c>
      <c r="F16" s="6" t="s">
        <v>32</v>
      </c>
      <c r="G16" s="6"/>
      <c r="H16" s="6"/>
      <c r="I16" s="6"/>
      <c r="J16" s="6"/>
      <c r="K16" s="49"/>
      <c r="N16" s="18"/>
      <c r="O16" s="99">
        <v>42735</v>
      </c>
      <c r="P16" s="99">
        <v>43100</v>
      </c>
      <c r="T16" s="37"/>
    </row>
    <row r="17" spans="1:27" s="9" customFormat="1" x14ac:dyDescent="0.25">
      <c r="B17" s="5" t="s">
        <v>52</v>
      </c>
      <c r="C17" s="6"/>
      <c r="D17" s="1"/>
      <c r="E17" s="42">
        <v>1200</v>
      </c>
      <c r="F17" s="6" t="s">
        <v>53</v>
      </c>
      <c r="G17" s="6"/>
      <c r="H17" s="6"/>
      <c r="I17" s="6"/>
      <c r="J17" s="6"/>
      <c r="K17" s="49"/>
      <c r="N17" s="9" t="s">
        <v>27</v>
      </c>
      <c r="O17" s="37">
        <f>T26</f>
        <v>377186956.86689848</v>
      </c>
      <c r="P17" s="37">
        <f>T27</f>
        <v>357623906.35242003</v>
      </c>
      <c r="T17" s="37"/>
    </row>
    <row r="18" spans="1:27" s="9" customFormat="1" x14ac:dyDescent="0.25">
      <c r="B18" s="5" t="s">
        <v>2</v>
      </c>
      <c r="C18" s="6"/>
      <c r="D18" s="6"/>
      <c r="E18" s="41">
        <v>1</v>
      </c>
      <c r="F18" s="6" t="s">
        <v>54</v>
      </c>
      <c r="G18" s="6"/>
      <c r="H18" s="6"/>
      <c r="I18" s="6"/>
      <c r="J18" s="6"/>
      <c r="K18" s="49"/>
      <c r="N18" s="9" t="s">
        <v>28</v>
      </c>
      <c r="O18" s="33">
        <f>O6+O7+O8-O10-N26-P26-Q26</f>
        <v>9116081.290678978</v>
      </c>
      <c r="P18" s="105">
        <f>P6+P7+P8-P10-N27-P27-Q27-(K27+L27)*(1-$E$13)+R27-(N27-N26)*-$E$13</f>
        <v>66397827.491847269</v>
      </c>
      <c r="S18" s="117" t="s">
        <v>45</v>
      </c>
      <c r="T18" s="37"/>
    </row>
    <row r="19" spans="1:27" s="9" customFormat="1" x14ac:dyDescent="0.25">
      <c r="B19" s="5" t="s">
        <v>3</v>
      </c>
      <c r="C19" s="6"/>
      <c r="D19" s="6"/>
      <c r="E19" s="79" t="s">
        <v>49</v>
      </c>
      <c r="F19" s="6"/>
      <c r="G19" s="6"/>
      <c r="H19" s="6"/>
      <c r="I19" s="6"/>
      <c r="J19" s="6"/>
      <c r="K19" s="49"/>
      <c r="N19" s="11" t="s">
        <v>37</v>
      </c>
      <c r="O19" s="97">
        <f>SUM(O17:O18)</f>
        <v>386303038.15757746</v>
      </c>
      <c r="P19" s="97">
        <f>SUM(P17:P18)</f>
        <v>424021733.84426731</v>
      </c>
      <c r="S19" s="37">
        <f>S27-'Model (a) '!S27</f>
        <v>-1029840</v>
      </c>
      <c r="T19" s="37"/>
    </row>
    <row r="20" spans="1:27" s="9" customFormat="1" x14ac:dyDescent="0.25">
      <c r="B20" s="7" t="s">
        <v>8</v>
      </c>
      <c r="C20" s="8"/>
      <c r="D20" s="8"/>
      <c r="E20" s="80">
        <v>0</v>
      </c>
      <c r="F20" s="8" t="s">
        <v>31</v>
      </c>
      <c r="G20" s="8"/>
      <c r="H20" s="8"/>
      <c r="I20" s="8"/>
      <c r="J20" s="8"/>
      <c r="K20" s="50"/>
      <c r="N20" s="18"/>
      <c r="O20" s="18"/>
    </row>
    <row r="21" spans="1:27" s="9" customFormat="1" x14ac:dyDescent="0.25">
      <c r="B21" s="6"/>
      <c r="C21" s="6"/>
      <c r="D21" s="6"/>
      <c r="E21" s="21"/>
      <c r="N21" s="18"/>
      <c r="O21" s="18"/>
      <c r="U21" s="37"/>
      <c r="W21" s="37"/>
    </row>
    <row r="22" spans="1:27" s="9" customFormat="1" x14ac:dyDescent="0.25"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5"/>
      <c r="O22" s="15"/>
      <c r="P22" s="10"/>
      <c r="Q22" s="10"/>
      <c r="R22" s="10"/>
      <c r="S22" s="10"/>
      <c r="T22" s="48"/>
    </row>
    <row r="23" spans="1:27" s="9" customFormat="1" ht="16.5" x14ac:dyDescent="0.25">
      <c r="B23" s="16" t="s">
        <v>4</v>
      </c>
      <c r="C23" s="22"/>
      <c r="D23" s="22"/>
      <c r="E23" s="22"/>
      <c r="F23" s="22"/>
      <c r="G23" s="22"/>
      <c r="H23" s="22"/>
      <c r="I23" s="22"/>
      <c r="J23" s="22"/>
      <c r="K23" s="6"/>
      <c r="L23" s="6"/>
      <c r="M23" s="6"/>
      <c r="N23" s="17"/>
      <c r="O23" s="17"/>
      <c r="P23" s="6"/>
      <c r="Q23" s="6"/>
      <c r="R23" s="6"/>
      <c r="S23" s="6"/>
      <c r="T23" s="49"/>
      <c r="V23" s="25"/>
      <c r="AA23" s="25"/>
    </row>
    <row r="24" spans="1:27" s="9" customFormat="1" x14ac:dyDescent="0.25">
      <c r="B24" s="12"/>
      <c r="C24" s="11"/>
      <c r="D24" s="100" t="s">
        <v>65</v>
      </c>
      <c r="E24" s="26" t="s">
        <v>22</v>
      </c>
      <c r="F24" s="26" t="s">
        <v>22</v>
      </c>
      <c r="G24" s="26" t="s">
        <v>22</v>
      </c>
      <c r="H24" s="26"/>
      <c r="I24" s="26"/>
      <c r="J24" s="26"/>
      <c r="K24" s="26" t="s">
        <v>22</v>
      </c>
      <c r="L24" s="26" t="s">
        <v>22</v>
      </c>
      <c r="M24" s="26" t="s">
        <v>22</v>
      </c>
      <c r="N24" s="26" t="s">
        <v>22</v>
      </c>
      <c r="O24" s="26" t="s">
        <v>22</v>
      </c>
      <c r="P24" s="26" t="s">
        <v>22</v>
      </c>
      <c r="Q24" s="56" t="s">
        <v>22</v>
      </c>
      <c r="R24" s="26" t="s">
        <v>22</v>
      </c>
      <c r="S24" s="26" t="s">
        <v>22</v>
      </c>
      <c r="T24" s="85" t="s">
        <v>22</v>
      </c>
    </row>
    <row r="25" spans="1:27" s="29" customFormat="1" ht="40.5" x14ac:dyDescent="0.25">
      <c r="A25" s="13"/>
      <c r="B25" s="23" t="s">
        <v>47</v>
      </c>
      <c r="C25" s="93" t="s">
        <v>48</v>
      </c>
      <c r="D25" s="93" t="s">
        <v>15</v>
      </c>
      <c r="E25" s="93" t="s">
        <v>56</v>
      </c>
      <c r="F25" s="93" t="s">
        <v>66</v>
      </c>
      <c r="G25" s="93" t="s">
        <v>58</v>
      </c>
      <c r="H25" s="93" t="s">
        <v>23</v>
      </c>
      <c r="I25" s="93" t="s">
        <v>57</v>
      </c>
      <c r="J25" s="93" t="s">
        <v>24</v>
      </c>
      <c r="K25" s="93" t="s">
        <v>59</v>
      </c>
      <c r="L25" s="93" t="s">
        <v>60</v>
      </c>
      <c r="M25" s="93" t="s">
        <v>25</v>
      </c>
      <c r="N25" s="93" t="s">
        <v>61</v>
      </c>
      <c r="O25" s="93" t="s">
        <v>41</v>
      </c>
      <c r="P25" s="93" t="s">
        <v>26</v>
      </c>
      <c r="Q25" s="103" t="s">
        <v>38</v>
      </c>
      <c r="R25" s="93" t="s">
        <v>62</v>
      </c>
      <c r="S25" s="93" t="s">
        <v>63</v>
      </c>
      <c r="T25" s="104" t="s">
        <v>64</v>
      </c>
    </row>
    <row r="26" spans="1:27" s="29" customFormat="1" x14ac:dyDescent="0.25">
      <c r="A26" s="13"/>
      <c r="B26" s="102">
        <v>0</v>
      </c>
      <c r="C26" s="56"/>
      <c r="D26" s="26"/>
      <c r="E26" s="26"/>
      <c r="F26" s="26"/>
      <c r="G26" s="73">
        <f>$E$7</f>
        <v>5000</v>
      </c>
      <c r="H26" s="26"/>
      <c r="I26" s="26"/>
      <c r="J26" s="26"/>
      <c r="K26" s="27"/>
      <c r="L26" s="28"/>
      <c r="M26" s="70">
        <f>'Model (a) '!M26</f>
        <v>2628076289.7357464</v>
      </c>
      <c r="N26" s="70">
        <f xml:space="preserve"> M26</f>
        <v>2628076289.7357464</v>
      </c>
      <c r="O26" s="34"/>
      <c r="P26" s="34">
        <f t="shared" ref="P26:P66" si="1" xml:space="preserve"> $O$12 * M26</f>
        <v>262807628.97357464</v>
      </c>
      <c r="Q26" s="34">
        <f t="shared" ref="Q26:Q66" si="2">+$O$13*P26</f>
        <v>0</v>
      </c>
      <c r="R26" s="34"/>
      <c r="S26" s="30"/>
      <c r="T26" s="86">
        <f xml:space="preserve"> SUM( S27:T27 ) / ( 1 + $E$11 )</f>
        <v>377186956.86689848</v>
      </c>
      <c r="U26" s="30"/>
      <c r="X26" s="31"/>
      <c r="Y26" s="31"/>
      <c r="Z26" s="30"/>
    </row>
    <row r="27" spans="1:27" x14ac:dyDescent="0.25">
      <c r="B27" s="24">
        <f t="shared" ref="B27:C42" si="3">B26+1</f>
        <v>1</v>
      </c>
      <c r="C27" s="94">
        <v>2017</v>
      </c>
      <c r="D27" s="95">
        <f>E4</f>
        <v>70</v>
      </c>
      <c r="E27" s="71">
        <f xml:space="preserve"> $E$6</f>
        <v>40000</v>
      </c>
      <c r="F27" s="70">
        <v>1500</v>
      </c>
      <c r="G27" s="35">
        <f t="shared" ref="G27:G66" si="4" xml:space="preserve"> G26 * ( 1 - J27 )</f>
        <v>4904</v>
      </c>
      <c r="H27" s="72">
        <f xml:space="preserve"> VLOOKUP( $D27, 'Mortality table'!$A$2:$B$111, 2, 0 ) * $E$18</f>
        <v>1.9199999999999998E-2</v>
      </c>
      <c r="I27" s="36">
        <f xml:space="preserve"> 1</f>
        <v>1</v>
      </c>
      <c r="J27" s="36">
        <f xml:space="preserve"> H27 * I27</f>
        <v>1.9199999999999998E-2</v>
      </c>
      <c r="K27" s="34">
        <f t="shared" ref="K27:L66" si="5" xml:space="preserve"> E27 * $G27</f>
        <v>196160000</v>
      </c>
      <c r="L27" s="34">
        <f t="shared" si="5"/>
        <v>7356000</v>
      </c>
      <c r="M27" s="34">
        <f t="shared" ref="M27:M65" si="6" xml:space="preserve"> SUM( K28:M28 ) / ( 1 + $E$12 )</f>
        <v>2504873778.4278188</v>
      </c>
      <c r="N27" s="34">
        <f t="shared" ref="N27:N66" si="7" xml:space="preserve"> M27</f>
        <v>2504873778.4278188</v>
      </c>
      <c r="O27" s="34">
        <f>( - K27 - L27 - ( N27 - N26 ) ) * ( 1 - $E$13 )</f>
        <v>-56219442.08445067</v>
      </c>
      <c r="P27" s="34">
        <f t="shared" si="1"/>
        <v>250487377.8427819</v>
      </c>
      <c r="Q27" s="34">
        <f t="shared" si="2"/>
        <v>0</v>
      </c>
      <c r="R27" s="34">
        <f xml:space="preserve"> ( M26 + P26 + Q26 ) * $E$10 * ( 1 - $E$13 )</f>
        <v>101180937.15482622</v>
      </c>
      <c r="S27" s="34">
        <f xml:space="preserve"> O27 + R27 - ( P27 + Q27 - P26 - Q26 )</f>
        <v>57281746.201168291</v>
      </c>
      <c r="T27" s="87">
        <f xml:space="preserve"> SUM( S28:T28 ) / ( 1 + $E$11 )</f>
        <v>357623906.35242003</v>
      </c>
      <c r="U27" s="30"/>
      <c r="V27" s="32"/>
      <c r="X27" s="31"/>
      <c r="Y27" s="31"/>
      <c r="Z27" s="30"/>
      <c r="AA27" s="33"/>
    </row>
    <row r="28" spans="1:27" x14ac:dyDescent="0.25">
      <c r="B28" s="24">
        <f t="shared" si="3"/>
        <v>2</v>
      </c>
      <c r="C28" s="95">
        <f t="shared" si="3"/>
        <v>2018</v>
      </c>
      <c r="D28" s="95">
        <f>D27+B28-B27</f>
        <v>71</v>
      </c>
      <c r="E28" s="34">
        <f xml:space="preserve"> E27 * ( 1 + $E$16 )</f>
        <v>40800</v>
      </c>
      <c r="F28" s="34">
        <f xml:space="preserve"> E17 * ( 1 + $E$16 )</f>
        <v>1224</v>
      </c>
      <c r="G28" s="35">
        <f t="shared" si="4"/>
        <v>4801.0159999999996</v>
      </c>
      <c r="H28" s="36">
        <f xml:space="preserve"> VLOOKUP( $D28, 'Mortality table'!$A$2:$B$111, 2, 0 ) * $E$18</f>
        <v>2.1000000000000001E-2</v>
      </c>
      <c r="I28" s="36">
        <f xml:space="preserve"> I27 * ( 1 - $E$20 )</f>
        <v>1</v>
      </c>
      <c r="J28" s="36">
        <f t="shared" ref="J28:J66" si="8" xml:space="preserve"> H28 * I28</f>
        <v>2.1000000000000001E-2</v>
      </c>
      <c r="K28" s="34">
        <f t="shared" si="5"/>
        <v>195881452.79999998</v>
      </c>
      <c r="L28" s="34">
        <f t="shared" si="5"/>
        <v>5876443.5839999998</v>
      </c>
      <c r="M28" s="34">
        <f t="shared" si="6"/>
        <v>2378262095.3966537</v>
      </c>
      <c r="N28" s="34">
        <f t="shared" si="7"/>
        <v>2378262095.3966537</v>
      </c>
      <c r="O28" s="34">
        <f t="shared" ref="O28:O66" si="9">( - K28 - L28 - ( N28 - N27 ) ) * ( 1 - $E$13 )</f>
        <v>-52602349.346984394</v>
      </c>
      <c r="P28" s="34">
        <f t="shared" si="1"/>
        <v>237826209.53966537</v>
      </c>
      <c r="Q28" s="34">
        <f t="shared" si="2"/>
        <v>0</v>
      </c>
      <c r="R28" s="34">
        <f t="shared" ref="R28:R66" si="10" xml:space="preserve"> ( M27 + P27 + Q27 ) * $E$10 * ( 1 - $E$13 )</f>
        <v>96437640.469471037</v>
      </c>
      <c r="S28" s="34">
        <f t="shared" ref="S28:S66" si="11" xml:space="preserve"> O28 + R28 - ( P28 + Q28 - P27 - Q27 )</f>
        <v>56496459.425603174</v>
      </c>
      <c r="T28" s="87">
        <f t="shared" ref="T28:T65" si="12" xml:space="preserve"> SUM( S29:T29 ) / ( 1 + $E$11 )</f>
        <v>336889837.56205893</v>
      </c>
      <c r="U28" s="30"/>
      <c r="V28" s="32"/>
      <c r="X28" s="31"/>
      <c r="Y28" s="31"/>
      <c r="Z28" s="30"/>
      <c r="AA28" s="33"/>
    </row>
    <row r="29" spans="1:27" x14ac:dyDescent="0.25">
      <c r="B29" s="24">
        <f t="shared" si="3"/>
        <v>3</v>
      </c>
      <c r="C29" s="95">
        <f t="shared" si="3"/>
        <v>2019</v>
      </c>
      <c r="D29" s="95">
        <f t="shared" ref="D29:D66" si="13">D28+B29-B28</f>
        <v>72</v>
      </c>
      <c r="E29" s="34">
        <f t="shared" ref="E29:F44" si="14" xml:space="preserve"> E28 * ( 1 + $E$16 )</f>
        <v>41616</v>
      </c>
      <c r="F29" s="34">
        <f t="shared" si="14"/>
        <v>1248.48</v>
      </c>
      <c r="G29" s="35">
        <f t="shared" si="4"/>
        <v>4689.6324287999996</v>
      </c>
      <c r="H29" s="36">
        <f xml:space="preserve"> VLOOKUP( $D29, 'Mortality table'!$A$2:$B$111, 2, 0 ) * $E$18</f>
        <v>2.3199999999999998E-2</v>
      </c>
      <c r="I29" s="36">
        <f t="shared" ref="I29:I66" si="15" xml:space="preserve"> I28 * ( 1 - $E$20 )</f>
        <v>1</v>
      </c>
      <c r="J29" s="36">
        <f t="shared" si="8"/>
        <v>2.3199999999999998E-2</v>
      </c>
      <c r="K29" s="34">
        <f t="shared" si="5"/>
        <v>195163743.15694079</v>
      </c>
      <c r="L29" s="34">
        <f t="shared" si="5"/>
        <v>5854912.294708224</v>
      </c>
      <c r="M29" s="34">
        <f t="shared" si="6"/>
        <v>2248591302.8069043</v>
      </c>
      <c r="N29" s="34">
        <f t="shared" si="7"/>
        <v>2248591302.8069043</v>
      </c>
      <c r="O29" s="34">
        <f t="shared" si="9"/>
        <v>-49943504.003329769</v>
      </c>
      <c r="P29" s="34">
        <f t="shared" si="1"/>
        <v>224859130.28069043</v>
      </c>
      <c r="Q29" s="34">
        <f t="shared" si="2"/>
        <v>0</v>
      </c>
      <c r="R29" s="34">
        <f t="shared" si="10"/>
        <v>91563090.672771156</v>
      </c>
      <c r="S29" s="34">
        <f t="shared" si="11"/>
        <v>54586665.928416327</v>
      </c>
      <c r="T29" s="87">
        <f t="shared" si="12"/>
        <v>315992155.38984853</v>
      </c>
      <c r="U29" s="30"/>
      <c r="V29" s="32"/>
      <c r="X29" s="31"/>
      <c r="Y29" s="31"/>
      <c r="Z29" s="30"/>
      <c r="AA29" s="33"/>
    </row>
    <row r="30" spans="1:27" x14ac:dyDescent="0.25">
      <c r="B30" s="24">
        <f t="shared" si="3"/>
        <v>4</v>
      </c>
      <c r="C30" s="95">
        <f t="shared" si="3"/>
        <v>2020</v>
      </c>
      <c r="D30" s="95">
        <f t="shared" si="13"/>
        <v>73</v>
      </c>
      <c r="E30" s="34">
        <f t="shared" si="14"/>
        <v>42448.32</v>
      </c>
      <c r="F30" s="34">
        <f t="shared" si="14"/>
        <v>1273.4496000000001</v>
      </c>
      <c r="G30" s="35">
        <f t="shared" si="4"/>
        <v>4567.608193002623</v>
      </c>
      <c r="H30" s="36">
        <f xml:space="preserve"> VLOOKUP( $D30, 'Mortality table'!$A$2:$B$111, 2, 0 ) * $E$18</f>
        <v>2.6020000000000001E-2</v>
      </c>
      <c r="I30" s="36">
        <f t="shared" si="15"/>
        <v>1</v>
      </c>
      <c r="J30" s="36">
        <f t="shared" si="8"/>
        <v>2.6020000000000001E-2</v>
      </c>
      <c r="K30" s="34">
        <f t="shared" si="5"/>
        <v>193887294.21119711</v>
      </c>
      <c r="L30" s="34">
        <f t="shared" si="5"/>
        <v>5816618.8263359135</v>
      </c>
      <c r="M30" s="34">
        <f t="shared" si="6"/>
        <v>2116345128.8535783</v>
      </c>
      <c r="N30" s="34">
        <f t="shared" si="7"/>
        <v>2116345128.8535783</v>
      </c>
      <c r="O30" s="34">
        <f t="shared" si="9"/>
        <v>-47220417.358944915</v>
      </c>
      <c r="P30" s="34">
        <f t="shared" si="1"/>
        <v>211634512.88535786</v>
      </c>
      <c r="Q30" s="34">
        <f t="shared" si="2"/>
        <v>0</v>
      </c>
      <c r="R30" s="34">
        <f t="shared" si="10"/>
        <v>86570765.158065826</v>
      </c>
      <c r="S30" s="34">
        <f t="shared" si="11"/>
        <v>52574965.194453485</v>
      </c>
      <c r="T30" s="87">
        <f t="shared" si="12"/>
        <v>295016405.73437995</v>
      </c>
      <c r="U30" s="30"/>
      <c r="V30" s="32"/>
      <c r="X30" s="31"/>
      <c r="Y30" s="31"/>
      <c r="Z30" s="30"/>
      <c r="AA30" s="33"/>
    </row>
    <row r="31" spans="1:27" x14ac:dyDescent="0.25">
      <c r="B31" s="24">
        <f t="shared" si="3"/>
        <v>5</v>
      </c>
      <c r="C31" s="95">
        <f t="shared" si="3"/>
        <v>2021</v>
      </c>
      <c r="D31" s="95">
        <f t="shared" si="13"/>
        <v>74</v>
      </c>
      <c r="E31" s="34">
        <f t="shared" si="14"/>
        <v>43297.286399999997</v>
      </c>
      <c r="F31" s="34">
        <f t="shared" si="14"/>
        <v>1298.9185920000002</v>
      </c>
      <c r="G31" s="35">
        <f t="shared" si="4"/>
        <v>4433.4118642922058</v>
      </c>
      <c r="H31" s="36">
        <f xml:space="preserve"> VLOOKUP( $D31, 'Mortality table'!$A$2:$B$111, 2, 0 ) * $E$18</f>
        <v>2.938E-2</v>
      </c>
      <c r="I31" s="36">
        <f t="shared" si="15"/>
        <v>1</v>
      </c>
      <c r="J31" s="36">
        <f t="shared" si="8"/>
        <v>2.938E-2</v>
      </c>
      <c r="K31" s="34">
        <f t="shared" si="5"/>
        <v>191954703.21741757</v>
      </c>
      <c r="L31" s="34">
        <f t="shared" si="5"/>
        <v>5758641.0965225277</v>
      </c>
      <c r="M31" s="34">
        <f t="shared" si="6"/>
        <v>1982122138.4052458</v>
      </c>
      <c r="N31" s="34">
        <f t="shared" si="7"/>
        <v>1982122138.4052458</v>
      </c>
      <c r="O31" s="34">
        <f t="shared" si="9"/>
        <v>-44443247.705925286</v>
      </c>
      <c r="P31" s="34">
        <f t="shared" si="1"/>
        <v>198212213.84052458</v>
      </c>
      <c r="Q31" s="34">
        <f t="shared" si="2"/>
        <v>0</v>
      </c>
      <c r="R31" s="34">
        <f t="shared" si="10"/>
        <v>81479287.460862771</v>
      </c>
      <c r="S31" s="34">
        <f t="shared" si="11"/>
        <v>50458338.799770758</v>
      </c>
      <c r="T31" s="87">
        <f t="shared" si="12"/>
        <v>274059707.50804716</v>
      </c>
      <c r="U31" s="30"/>
      <c r="V31" s="32"/>
      <c r="X31" s="31"/>
      <c r="Y31" s="31"/>
      <c r="Z31" s="30"/>
      <c r="AA31" s="33"/>
    </row>
    <row r="32" spans="1:27" x14ac:dyDescent="0.25">
      <c r="B32" s="24">
        <f t="shared" si="3"/>
        <v>6</v>
      </c>
      <c r="C32" s="95">
        <f t="shared" si="3"/>
        <v>2022</v>
      </c>
      <c r="D32" s="95">
        <f t="shared" si="13"/>
        <v>75</v>
      </c>
      <c r="E32" s="34">
        <f t="shared" si="14"/>
        <v>44163.232127999996</v>
      </c>
      <c r="F32" s="34">
        <f t="shared" si="14"/>
        <v>1324.8969638400004</v>
      </c>
      <c r="G32" s="35">
        <f t="shared" si="4"/>
        <v>4286.5772633468478</v>
      </c>
      <c r="H32" s="36">
        <f xml:space="preserve"> VLOOKUP( $D32, 'Mortality table'!$A$2:$B$111, 2, 0 ) * $E$18</f>
        <v>3.3119999999999997E-2</v>
      </c>
      <c r="I32" s="36">
        <f t="shared" si="15"/>
        <v>1</v>
      </c>
      <c r="J32" s="36">
        <f t="shared" si="8"/>
        <v>3.3119999999999997E-2</v>
      </c>
      <c r="K32" s="34">
        <f t="shared" si="5"/>
        <v>189309106.71579382</v>
      </c>
      <c r="L32" s="34">
        <f t="shared" si="5"/>
        <v>5679273.2014738163</v>
      </c>
      <c r="M32" s="34">
        <f t="shared" si="6"/>
        <v>1846597422.6401358</v>
      </c>
      <c r="N32" s="34">
        <f t="shared" si="7"/>
        <v>1846597422.6401358</v>
      </c>
      <c r="O32" s="34">
        <f t="shared" si="9"/>
        <v>-41624564.906510323</v>
      </c>
      <c r="P32" s="34">
        <f t="shared" si="1"/>
        <v>184659742.26401359</v>
      </c>
      <c r="Q32" s="34">
        <f t="shared" si="2"/>
        <v>0</v>
      </c>
      <c r="R32" s="34">
        <f t="shared" si="10"/>
        <v>76311702.328601971</v>
      </c>
      <c r="S32" s="34">
        <f t="shared" si="11"/>
        <v>48239608.998602644</v>
      </c>
      <c r="T32" s="87">
        <f t="shared" si="12"/>
        <v>253226069.26024923</v>
      </c>
      <c r="U32" s="30"/>
      <c r="V32" s="32"/>
      <c r="X32" s="31"/>
      <c r="Y32" s="31"/>
      <c r="Z32" s="30"/>
      <c r="AA32" s="33"/>
    </row>
    <row r="33" spans="2:27" x14ac:dyDescent="0.25">
      <c r="B33" s="24">
        <f t="shared" si="3"/>
        <v>7</v>
      </c>
      <c r="C33" s="95">
        <f t="shared" si="3"/>
        <v>2023</v>
      </c>
      <c r="D33" s="95">
        <f t="shared" si="13"/>
        <v>76</v>
      </c>
      <c r="E33" s="34">
        <f t="shared" si="14"/>
        <v>45046.496770559999</v>
      </c>
      <c r="F33" s="34">
        <f t="shared" si="14"/>
        <v>1351.3949031168004</v>
      </c>
      <c r="G33" s="35">
        <f t="shared" si="4"/>
        <v>4127.2880522408786</v>
      </c>
      <c r="H33" s="36">
        <f xml:space="preserve"> VLOOKUP( $D33, 'Mortality table'!$A$2:$B$111, 2, 0 ) * $E$18</f>
        <v>3.7159999999999999E-2</v>
      </c>
      <c r="I33" s="36">
        <f t="shared" si="15"/>
        <v>1</v>
      </c>
      <c r="J33" s="36">
        <f t="shared" si="8"/>
        <v>3.7159999999999999E-2</v>
      </c>
      <c r="K33" s="34">
        <f t="shared" si="5"/>
        <v>185919867.91643962</v>
      </c>
      <c r="L33" s="34">
        <f t="shared" si="5"/>
        <v>5577596.0374931898</v>
      </c>
      <c r="M33" s="34">
        <f t="shared" si="6"/>
        <v>1710497881.3654072</v>
      </c>
      <c r="N33" s="34">
        <f t="shared" si="7"/>
        <v>1710497881.3654072</v>
      </c>
      <c r="O33" s="34">
        <f t="shared" si="9"/>
        <v>-38778545.875442997</v>
      </c>
      <c r="P33" s="34">
        <f t="shared" si="1"/>
        <v>171049788.13654074</v>
      </c>
      <c r="Q33" s="34">
        <f t="shared" si="2"/>
        <v>0</v>
      </c>
      <c r="R33" s="34">
        <f t="shared" si="10"/>
        <v>71094000.771645233</v>
      </c>
      <c r="S33" s="34">
        <f t="shared" si="11"/>
        <v>45925409.023675084</v>
      </c>
      <c r="T33" s="87">
        <f t="shared" si="12"/>
        <v>232623267.16259912</v>
      </c>
      <c r="U33" s="30"/>
      <c r="V33" s="32"/>
      <c r="X33" s="31"/>
      <c r="Y33" s="31"/>
      <c r="Z33" s="30"/>
      <c r="AA33" s="33"/>
    </row>
    <row r="34" spans="2:27" x14ac:dyDescent="0.25">
      <c r="B34" s="24">
        <f t="shared" si="3"/>
        <v>8</v>
      </c>
      <c r="C34" s="95">
        <f t="shared" si="3"/>
        <v>2024</v>
      </c>
      <c r="D34" s="95">
        <f t="shared" si="13"/>
        <v>77</v>
      </c>
      <c r="E34" s="34">
        <f t="shared" si="14"/>
        <v>45947.4267059712</v>
      </c>
      <c r="F34" s="34">
        <f t="shared" si="14"/>
        <v>1378.4228011791365</v>
      </c>
      <c r="G34" s="35">
        <f t="shared" si="4"/>
        <v>3955.881779431315</v>
      </c>
      <c r="H34" s="36">
        <f xml:space="preserve"> VLOOKUP( $D34, 'Mortality table'!$A$2:$B$111, 2, 0 ) * $E$18</f>
        <v>4.1529999999999997E-2</v>
      </c>
      <c r="I34" s="36">
        <f t="shared" si="15"/>
        <v>1</v>
      </c>
      <c r="J34" s="36">
        <f t="shared" si="8"/>
        <v>4.1529999999999997E-2</v>
      </c>
      <c r="K34" s="34">
        <f t="shared" si="5"/>
        <v>181762588.11790729</v>
      </c>
      <c r="L34" s="34">
        <f t="shared" si="5"/>
        <v>5452877.6435372205</v>
      </c>
      <c r="M34" s="34">
        <f t="shared" si="6"/>
        <v>1574597352.044925</v>
      </c>
      <c r="N34" s="34">
        <f t="shared" si="7"/>
        <v>1574597352.044925</v>
      </c>
      <c r="O34" s="34">
        <f t="shared" si="9"/>
        <v>-35920455.508673579</v>
      </c>
      <c r="P34" s="34">
        <f t="shared" si="1"/>
        <v>157459735.20449251</v>
      </c>
      <c r="Q34" s="34">
        <f t="shared" si="2"/>
        <v>0</v>
      </c>
      <c r="R34" s="34">
        <f t="shared" si="10"/>
        <v>65854168.432568178</v>
      </c>
      <c r="S34" s="34">
        <f t="shared" si="11"/>
        <v>43523765.85594283</v>
      </c>
      <c r="T34" s="87">
        <f t="shared" si="12"/>
        <v>212361828.0229162</v>
      </c>
      <c r="U34" s="30"/>
      <c r="V34" s="32"/>
      <c r="X34" s="31"/>
      <c r="Y34" s="31"/>
      <c r="Z34" s="30"/>
      <c r="AA34" s="33"/>
    </row>
    <row r="35" spans="2:27" x14ac:dyDescent="0.25">
      <c r="B35" s="24">
        <f t="shared" si="3"/>
        <v>9</v>
      </c>
      <c r="C35" s="95">
        <f t="shared" si="3"/>
        <v>2025</v>
      </c>
      <c r="D35" s="95">
        <f t="shared" si="13"/>
        <v>78</v>
      </c>
      <c r="E35" s="34">
        <f t="shared" si="14"/>
        <v>46866.375240090623</v>
      </c>
      <c r="F35" s="34">
        <f t="shared" si="14"/>
        <v>1405.9912572027192</v>
      </c>
      <c r="G35" s="35">
        <f t="shared" si="4"/>
        <v>3772.5662177724676</v>
      </c>
      <c r="H35" s="36">
        <f xml:space="preserve"> VLOOKUP( $D35, 'Mortality table'!$A$2:$B$111, 2, 0 ) * $E$18</f>
        <v>4.6339999999999999E-2</v>
      </c>
      <c r="I35" s="36">
        <f t="shared" si="15"/>
        <v>1</v>
      </c>
      <c r="J35" s="36">
        <f t="shared" si="8"/>
        <v>4.6339999999999999E-2</v>
      </c>
      <c r="K35" s="34">
        <f t="shared" si="5"/>
        <v>176806503.98021391</v>
      </c>
      <c r="L35" s="34">
        <f t="shared" si="5"/>
        <v>5304195.1194064189</v>
      </c>
      <c r="M35" s="34">
        <f t="shared" si="6"/>
        <v>1439724573.5066524</v>
      </c>
      <c r="N35" s="34">
        <f t="shared" si="7"/>
        <v>1439724573.5066524</v>
      </c>
      <c r="O35" s="34">
        <f t="shared" si="9"/>
        <v>-33066544.392943405</v>
      </c>
      <c r="P35" s="34">
        <f t="shared" si="1"/>
        <v>143972457.35066524</v>
      </c>
      <c r="Q35" s="34">
        <f t="shared" si="2"/>
        <v>0</v>
      </c>
      <c r="R35" s="34">
        <f t="shared" si="10"/>
        <v>60621998.053729609</v>
      </c>
      <c r="S35" s="34">
        <f t="shared" si="11"/>
        <v>41042731.514613472</v>
      </c>
      <c r="T35" s="87">
        <f t="shared" si="12"/>
        <v>192555279.31059435</v>
      </c>
      <c r="U35" s="30"/>
      <c r="V35" s="32"/>
      <c r="X35" s="31"/>
      <c r="Y35" s="31"/>
      <c r="Z35" s="30"/>
      <c r="AA35" s="33"/>
    </row>
    <row r="36" spans="2:27" x14ac:dyDescent="0.25">
      <c r="B36" s="24">
        <f t="shared" si="3"/>
        <v>10</v>
      </c>
      <c r="C36" s="95">
        <f t="shared" si="3"/>
        <v>2026</v>
      </c>
      <c r="D36" s="95">
        <f t="shared" si="13"/>
        <v>79</v>
      </c>
      <c r="E36" s="34">
        <f t="shared" si="14"/>
        <v>47803.702744892435</v>
      </c>
      <c r="F36" s="34">
        <f t="shared" si="14"/>
        <v>1434.1110823467736</v>
      </c>
      <c r="G36" s="35">
        <f t="shared" si="4"/>
        <v>3577.6377213001642</v>
      </c>
      <c r="H36" s="36">
        <f xml:space="preserve"> VLOOKUP( $D36, 'Mortality table'!$A$2:$B$111, 2, 0 ) * $E$18</f>
        <v>5.1670000000000001E-2</v>
      </c>
      <c r="I36" s="36">
        <f t="shared" si="15"/>
        <v>1</v>
      </c>
      <c r="J36" s="36">
        <f t="shared" si="8"/>
        <v>5.1670000000000001E-2</v>
      </c>
      <c r="K36" s="34">
        <f t="shared" si="5"/>
        <v>171024330.15794736</v>
      </c>
      <c r="L36" s="34">
        <f t="shared" si="5"/>
        <v>5130729.9047384234</v>
      </c>
      <c r="M36" s="34">
        <f t="shared" si="6"/>
        <v>1306761250.6491663</v>
      </c>
      <c r="N36" s="34">
        <f t="shared" si="7"/>
        <v>1306761250.6491663</v>
      </c>
      <c r="O36" s="34">
        <f t="shared" si="9"/>
        <v>-30234216.043639842</v>
      </c>
      <c r="P36" s="34">
        <f t="shared" si="1"/>
        <v>130676125.06491664</v>
      </c>
      <c r="Q36" s="34">
        <f t="shared" si="2"/>
        <v>0</v>
      </c>
      <c r="R36" s="34">
        <f t="shared" si="10"/>
        <v>55429396.080006115</v>
      </c>
      <c r="S36" s="34">
        <f t="shared" si="11"/>
        <v>38491512.32211487</v>
      </c>
      <c r="T36" s="87">
        <f t="shared" si="12"/>
        <v>173319294.91953892</v>
      </c>
      <c r="U36" s="30"/>
      <c r="V36" s="32"/>
      <c r="X36" s="31"/>
      <c r="Y36" s="31"/>
      <c r="Z36" s="30"/>
      <c r="AA36" s="33"/>
    </row>
    <row r="37" spans="2:27" x14ac:dyDescent="0.25">
      <c r="B37" s="24">
        <f t="shared" si="3"/>
        <v>11</v>
      </c>
      <c r="C37" s="95">
        <f t="shared" si="3"/>
        <v>2027</v>
      </c>
      <c r="D37" s="95">
        <f t="shared" si="13"/>
        <v>80</v>
      </c>
      <c r="E37" s="34">
        <f t="shared" si="14"/>
        <v>48759.776799790285</v>
      </c>
      <c r="F37" s="34">
        <f t="shared" si="14"/>
        <v>1462.7933039937091</v>
      </c>
      <c r="G37" s="35">
        <f t="shared" si="4"/>
        <v>3371.5657885532746</v>
      </c>
      <c r="H37" s="36">
        <f xml:space="preserve"> VLOOKUP( $D37, 'Mortality table'!$A$2:$B$111, 2, 0 ) * $E$18</f>
        <v>5.7599999999999998E-2</v>
      </c>
      <c r="I37" s="36">
        <f t="shared" si="15"/>
        <v>1</v>
      </c>
      <c r="J37" s="36">
        <f t="shared" si="8"/>
        <v>5.7599999999999998E-2</v>
      </c>
      <c r="K37" s="34">
        <f t="shared" si="5"/>
        <v>164396795.31566659</v>
      </c>
      <c r="L37" s="34">
        <f t="shared" si="5"/>
        <v>4931903.8594699996</v>
      </c>
      <c r="M37" s="34">
        <f t="shared" si="6"/>
        <v>1176635388.9935048</v>
      </c>
      <c r="N37" s="34">
        <f t="shared" si="7"/>
        <v>1176635388.9935048</v>
      </c>
      <c r="O37" s="34">
        <f t="shared" si="9"/>
        <v>-27441986.263632506</v>
      </c>
      <c r="P37" s="34">
        <f t="shared" si="1"/>
        <v>117663538.89935048</v>
      </c>
      <c r="Q37" s="34">
        <f t="shared" si="2"/>
        <v>0</v>
      </c>
      <c r="R37" s="34">
        <f t="shared" si="10"/>
        <v>50310308.149992906</v>
      </c>
      <c r="S37" s="34">
        <f t="shared" si="11"/>
        <v>35880908.051926561</v>
      </c>
      <c r="T37" s="87">
        <f t="shared" si="12"/>
        <v>154770316.35956627</v>
      </c>
      <c r="U37" s="30"/>
      <c r="V37" s="32"/>
      <c r="X37" s="31"/>
      <c r="Y37" s="31"/>
      <c r="Z37" s="30"/>
      <c r="AA37" s="33"/>
    </row>
    <row r="38" spans="2:27" x14ac:dyDescent="0.25">
      <c r="B38" s="24">
        <f t="shared" si="3"/>
        <v>12</v>
      </c>
      <c r="C38" s="95">
        <f t="shared" si="3"/>
        <v>2028</v>
      </c>
      <c r="D38" s="95">
        <f t="shared" si="13"/>
        <v>81</v>
      </c>
      <c r="E38" s="34">
        <f t="shared" si="14"/>
        <v>49734.972335786093</v>
      </c>
      <c r="F38" s="34">
        <f t="shared" si="14"/>
        <v>1492.0491700735834</v>
      </c>
      <c r="G38" s="35">
        <f t="shared" si="4"/>
        <v>3155.0438336123834</v>
      </c>
      <c r="H38" s="36">
        <f xml:space="preserve"> VLOOKUP( $D38, 'Mortality table'!$A$2:$B$111, 2, 0 ) * $E$18</f>
        <v>6.4219999999999999E-2</v>
      </c>
      <c r="I38" s="36">
        <f t="shared" si="15"/>
        <v>1</v>
      </c>
      <c r="J38" s="36">
        <f t="shared" si="8"/>
        <v>6.4219999999999999E-2</v>
      </c>
      <c r="K38" s="34">
        <f t="shared" si="5"/>
        <v>156916017.78290439</v>
      </c>
      <c r="L38" s="34">
        <f t="shared" si="5"/>
        <v>4707480.5334871337</v>
      </c>
      <c r="M38" s="34">
        <f t="shared" si="6"/>
        <v>1050310952.3469186</v>
      </c>
      <c r="N38" s="34">
        <f t="shared" si="7"/>
        <v>1050310952.3469186</v>
      </c>
      <c r="O38" s="34">
        <f t="shared" si="9"/>
        <v>-24709343.168863744</v>
      </c>
      <c r="P38" s="34">
        <f t="shared" si="1"/>
        <v>105031095.23469186</v>
      </c>
      <c r="Q38" s="34">
        <f t="shared" si="2"/>
        <v>0</v>
      </c>
      <c r="R38" s="34">
        <f t="shared" si="10"/>
        <v>45300462.476249933</v>
      </c>
      <c r="S38" s="34">
        <f t="shared" si="11"/>
        <v>33223562.972044811</v>
      </c>
      <c r="T38" s="87">
        <f t="shared" si="12"/>
        <v>137023785.02347809</v>
      </c>
      <c r="U38" s="30"/>
      <c r="V38" s="32"/>
      <c r="X38" s="31"/>
      <c r="Y38" s="31"/>
      <c r="Z38" s="30"/>
      <c r="AA38" s="33"/>
    </row>
    <row r="39" spans="2:27" x14ac:dyDescent="0.25">
      <c r="B39" s="24">
        <f t="shared" si="3"/>
        <v>13</v>
      </c>
      <c r="C39" s="95">
        <f t="shared" si="3"/>
        <v>2029</v>
      </c>
      <c r="D39" s="95">
        <f t="shared" si="13"/>
        <v>82</v>
      </c>
      <c r="E39" s="34">
        <f t="shared" si="14"/>
        <v>50729.671782501813</v>
      </c>
      <c r="F39" s="34">
        <f t="shared" si="14"/>
        <v>1521.8901534750551</v>
      </c>
      <c r="G39" s="35">
        <f t="shared" si="4"/>
        <v>2929.1426951257367</v>
      </c>
      <c r="H39" s="36">
        <f xml:space="preserve"> VLOOKUP( $D39, 'Mortality table'!$A$2:$B$111, 2, 0 ) * $E$18</f>
        <v>7.1599999999999997E-2</v>
      </c>
      <c r="I39" s="36">
        <f t="shared" si="15"/>
        <v>1</v>
      </c>
      <c r="J39" s="36">
        <f t="shared" si="8"/>
        <v>7.1599999999999997E-2</v>
      </c>
      <c r="K39" s="34">
        <f t="shared" si="5"/>
        <v>148594447.52784139</v>
      </c>
      <c r="L39" s="34">
        <f t="shared" si="5"/>
        <v>4457833.4258352434</v>
      </c>
      <c r="M39" s="34">
        <f t="shared" si="6"/>
        <v>928767999.96364951</v>
      </c>
      <c r="N39" s="34">
        <f t="shared" si="7"/>
        <v>928767999.96364951</v>
      </c>
      <c r="O39" s="34">
        <f t="shared" si="9"/>
        <v>-22056529.999285296</v>
      </c>
      <c r="P39" s="34">
        <f t="shared" si="1"/>
        <v>92876799.996364951</v>
      </c>
      <c r="Q39" s="34">
        <f t="shared" si="2"/>
        <v>0</v>
      </c>
      <c r="R39" s="34">
        <f t="shared" si="10"/>
        <v>40436971.665356368</v>
      </c>
      <c r="S39" s="34">
        <f t="shared" si="11"/>
        <v>30534736.904397979</v>
      </c>
      <c r="T39" s="87">
        <f t="shared" si="12"/>
        <v>120191426.62142795</v>
      </c>
      <c r="U39" s="30"/>
      <c r="V39" s="32"/>
      <c r="X39" s="31"/>
      <c r="Y39" s="31"/>
      <c r="Z39" s="30"/>
      <c r="AA39" s="33"/>
    </row>
    <row r="40" spans="2:27" x14ac:dyDescent="0.25">
      <c r="B40" s="24">
        <f t="shared" si="3"/>
        <v>14</v>
      </c>
      <c r="C40" s="95">
        <f t="shared" si="3"/>
        <v>2030</v>
      </c>
      <c r="D40" s="95">
        <f t="shared" si="13"/>
        <v>83</v>
      </c>
      <c r="E40" s="34">
        <f t="shared" si="14"/>
        <v>51744.26521815185</v>
      </c>
      <c r="F40" s="34">
        <f t="shared" si="14"/>
        <v>1552.3279565445562</v>
      </c>
      <c r="G40" s="35">
        <f t="shared" si="4"/>
        <v>2695.3092337738494</v>
      </c>
      <c r="H40" s="36">
        <f xml:space="preserve"> VLOOKUP( $D40, 'Mortality table'!$A$2:$B$111, 2, 0 ) * $E$18</f>
        <v>7.9829999999999998E-2</v>
      </c>
      <c r="I40" s="36">
        <f t="shared" si="15"/>
        <v>1</v>
      </c>
      <c r="J40" s="36">
        <f t="shared" si="8"/>
        <v>7.9829999999999998E-2</v>
      </c>
      <c r="K40" s="34">
        <f t="shared" si="5"/>
        <v>139466795.83732772</v>
      </c>
      <c r="L40" s="34">
        <f t="shared" si="5"/>
        <v>4184003.8751198333</v>
      </c>
      <c r="M40" s="34">
        <f t="shared" si="6"/>
        <v>812980240.25011146</v>
      </c>
      <c r="N40" s="34">
        <f t="shared" si="7"/>
        <v>812980240.25011146</v>
      </c>
      <c r="O40" s="34">
        <f t="shared" si="9"/>
        <v>-19504127.999236651</v>
      </c>
      <c r="P40" s="34">
        <f t="shared" si="1"/>
        <v>81298024.025011152</v>
      </c>
      <c r="Q40" s="34">
        <f t="shared" si="2"/>
        <v>0</v>
      </c>
      <c r="R40" s="34">
        <f t="shared" si="10"/>
        <v>35757567.998600505</v>
      </c>
      <c r="S40" s="34">
        <f t="shared" si="11"/>
        <v>27832215.970717654</v>
      </c>
      <c r="T40" s="87">
        <f t="shared" si="12"/>
        <v>104378353.31285311</v>
      </c>
      <c r="U40" s="30"/>
      <c r="V40" s="32"/>
      <c r="X40" s="31"/>
      <c r="Y40" s="31"/>
      <c r="Z40" s="30"/>
      <c r="AA40" s="33"/>
    </row>
    <row r="41" spans="2:27" x14ac:dyDescent="0.25">
      <c r="B41" s="24">
        <f t="shared" si="3"/>
        <v>15</v>
      </c>
      <c r="C41" s="95">
        <f t="shared" si="3"/>
        <v>2031</v>
      </c>
      <c r="D41" s="95">
        <f t="shared" si="13"/>
        <v>84</v>
      </c>
      <c r="E41" s="34">
        <f t="shared" si="14"/>
        <v>52779.150522514887</v>
      </c>
      <c r="F41" s="34">
        <f t="shared" si="14"/>
        <v>1583.3745156754474</v>
      </c>
      <c r="G41" s="35">
        <f t="shared" si="4"/>
        <v>2455.5345243373276</v>
      </c>
      <c r="H41" s="36">
        <f xml:space="preserve"> VLOOKUP( $D41, 'Mortality table'!$A$2:$B$111, 2, 0 ) * $E$18</f>
        <v>8.8959999999999997E-2</v>
      </c>
      <c r="I41" s="36">
        <f t="shared" si="15"/>
        <v>1</v>
      </c>
      <c r="J41" s="36">
        <f t="shared" si="8"/>
        <v>8.8959999999999997E-2</v>
      </c>
      <c r="K41" s="34">
        <f t="shared" si="5"/>
        <v>129601026.2732318</v>
      </c>
      <c r="L41" s="34">
        <f t="shared" si="5"/>
        <v>3888030.7881969563</v>
      </c>
      <c r="M41" s="34">
        <f t="shared" si="6"/>
        <v>703880590.39618599</v>
      </c>
      <c r="N41" s="34">
        <f t="shared" si="7"/>
        <v>703880590.39618599</v>
      </c>
      <c r="O41" s="34">
        <f t="shared" si="9"/>
        <v>-17072585.045252301</v>
      </c>
      <c r="P41" s="34">
        <f t="shared" si="1"/>
        <v>70388059.039618596</v>
      </c>
      <c r="Q41" s="34">
        <f t="shared" si="2"/>
        <v>0</v>
      </c>
      <c r="R41" s="34">
        <f t="shared" si="10"/>
        <v>31299739.249629293</v>
      </c>
      <c r="S41" s="34">
        <f t="shared" si="11"/>
        <v>25137119.189769547</v>
      </c>
      <c r="T41" s="87">
        <f t="shared" si="12"/>
        <v>89679069.454368889</v>
      </c>
      <c r="U41" s="30"/>
      <c r="V41" s="32"/>
      <c r="X41" s="31"/>
      <c r="Y41" s="31"/>
      <c r="Z41" s="30"/>
      <c r="AA41" s="33"/>
    </row>
    <row r="42" spans="2:27" x14ac:dyDescent="0.25">
      <c r="B42" s="24">
        <f t="shared" si="3"/>
        <v>16</v>
      </c>
      <c r="C42" s="95">
        <f t="shared" si="3"/>
        <v>2032</v>
      </c>
      <c r="D42" s="95">
        <f t="shared" si="13"/>
        <v>85</v>
      </c>
      <c r="E42" s="34">
        <f t="shared" si="14"/>
        <v>53834.733532965183</v>
      </c>
      <c r="F42" s="34">
        <f t="shared" si="14"/>
        <v>1615.0420059889564</v>
      </c>
      <c r="G42" s="35">
        <f t="shared" si="4"/>
        <v>2212.2647190112284</v>
      </c>
      <c r="H42" s="36">
        <f xml:space="preserve"> VLOOKUP( $D42, 'Mortality table'!$A$2:$B$111, 2, 0 ) * $E$18</f>
        <v>9.9070000000000005E-2</v>
      </c>
      <c r="I42" s="36">
        <f t="shared" si="15"/>
        <v>1</v>
      </c>
      <c r="J42" s="36">
        <f t="shared" si="8"/>
        <v>9.9070000000000005E-2</v>
      </c>
      <c r="K42" s="34">
        <f t="shared" si="5"/>
        <v>119096681.65234958</v>
      </c>
      <c r="L42" s="34">
        <f t="shared" si="5"/>
        <v>3572900.4495704891</v>
      </c>
      <c r="M42" s="34">
        <f t="shared" si="6"/>
        <v>602327426.00615156</v>
      </c>
      <c r="N42" s="34">
        <f t="shared" si="7"/>
        <v>602327426.00615156</v>
      </c>
      <c r="O42" s="34">
        <f t="shared" si="9"/>
        <v>-14781492.398319941</v>
      </c>
      <c r="P42" s="34">
        <f t="shared" si="1"/>
        <v>60232742.600615159</v>
      </c>
      <c r="Q42" s="34">
        <f t="shared" si="2"/>
        <v>0</v>
      </c>
      <c r="R42" s="34">
        <f t="shared" si="10"/>
        <v>27099402.73025316</v>
      </c>
      <c r="S42" s="34">
        <f t="shared" si="11"/>
        <v>22473226.770936657</v>
      </c>
      <c r="T42" s="87">
        <f t="shared" si="12"/>
        <v>76173749.628869131</v>
      </c>
      <c r="U42" s="30"/>
      <c r="V42" s="32"/>
      <c r="X42" s="31"/>
      <c r="Y42" s="31"/>
      <c r="Z42" s="30"/>
      <c r="AA42" s="33"/>
    </row>
    <row r="43" spans="2:27" x14ac:dyDescent="0.25">
      <c r="B43" s="24">
        <f t="shared" ref="B43:C58" si="16">B42+1</f>
        <v>17</v>
      </c>
      <c r="C43" s="95">
        <f t="shared" si="16"/>
        <v>2033</v>
      </c>
      <c r="D43" s="95">
        <f t="shared" si="13"/>
        <v>86</v>
      </c>
      <c r="E43" s="34">
        <f t="shared" si="14"/>
        <v>54911.428203624491</v>
      </c>
      <c r="F43" s="34">
        <f t="shared" si="14"/>
        <v>1647.3428461087356</v>
      </c>
      <c r="G43" s="35">
        <f t="shared" si="4"/>
        <v>1968.4731469761912</v>
      </c>
      <c r="H43" s="36">
        <f xml:space="preserve"> VLOOKUP( $D43, 'Mortality table'!$A$2:$B$111, 2, 0 ) * $E$18</f>
        <v>0.11020000000000001</v>
      </c>
      <c r="I43" s="36">
        <f t="shared" si="15"/>
        <v>1</v>
      </c>
      <c r="J43" s="36">
        <f t="shared" si="8"/>
        <v>0.11020000000000001</v>
      </c>
      <c r="K43" s="34">
        <f t="shared" si="5"/>
        <v>108091671.88094588</v>
      </c>
      <c r="L43" s="34">
        <f t="shared" si="5"/>
        <v>3242750.1564283781</v>
      </c>
      <c r="M43" s="34">
        <f t="shared" si="6"/>
        <v>509062826.74896181</v>
      </c>
      <c r="N43" s="34">
        <f t="shared" si="7"/>
        <v>509062826.74896181</v>
      </c>
      <c r="O43" s="34">
        <f t="shared" si="9"/>
        <v>-12648875.946129154</v>
      </c>
      <c r="P43" s="34">
        <f t="shared" si="1"/>
        <v>50906282.674896181</v>
      </c>
      <c r="Q43" s="34">
        <f t="shared" si="2"/>
        <v>0</v>
      </c>
      <c r="R43" s="34">
        <f t="shared" si="10"/>
        <v>23189605.901236836</v>
      </c>
      <c r="S43" s="34">
        <f t="shared" si="11"/>
        <v>19867189.88082666</v>
      </c>
      <c r="T43" s="87">
        <f t="shared" si="12"/>
        <v>63923934.710929386</v>
      </c>
      <c r="U43" s="30"/>
      <c r="V43" s="32"/>
      <c r="X43" s="31"/>
      <c r="Y43" s="31"/>
      <c r="Z43" s="30"/>
      <c r="AA43" s="33"/>
    </row>
    <row r="44" spans="2:27" x14ac:dyDescent="0.25">
      <c r="B44" s="24">
        <f t="shared" si="16"/>
        <v>18</v>
      </c>
      <c r="C44" s="95">
        <f t="shared" si="16"/>
        <v>2034</v>
      </c>
      <c r="D44" s="95">
        <f t="shared" si="13"/>
        <v>87</v>
      </c>
      <c r="E44" s="34">
        <f t="shared" si="14"/>
        <v>56009.656767696979</v>
      </c>
      <c r="F44" s="34">
        <f t="shared" si="14"/>
        <v>1680.2897030309102</v>
      </c>
      <c r="G44" s="35">
        <f t="shared" si="4"/>
        <v>1727.6107727121844</v>
      </c>
      <c r="H44" s="36">
        <f xml:space="preserve"> VLOOKUP( $D44, 'Mortality table'!$A$2:$B$111, 2, 0 ) * $E$18</f>
        <v>0.12236</v>
      </c>
      <c r="I44" s="36">
        <f t="shared" si="15"/>
        <v>1</v>
      </c>
      <c r="J44" s="36">
        <f t="shared" si="8"/>
        <v>0.12236</v>
      </c>
      <c r="K44" s="34">
        <f t="shared" si="5"/>
        <v>96762886.407785207</v>
      </c>
      <c r="L44" s="34">
        <f t="shared" si="5"/>
        <v>2902886.5922335577</v>
      </c>
      <c r="M44" s="34">
        <f t="shared" si="6"/>
        <v>424668938.55141193</v>
      </c>
      <c r="N44" s="34">
        <f t="shared" si="7"/>
        <v>424668938.55141193</v>
      </c>
      <c r="O44" s="34">
        <f t="shared" si="9"/>
        <v>-10690319.361728216</v>
      </c>
      <c r="P44" s="34">
        <f t="shared" si="1"/>
        <v>42466893.855141193</v>
      </c>
      <c r="Q44" s="34">
        <f t="shared" si="2"/>
        <v>0</v>
      </c>
      <c r="R44" s="34">
        <f t="shared" si="10"/>
        <v>19598918.829835027</v>
      </c>
      <c r="S44" s="34">
        <f t="shared" si="11"/>
        <v>17347988.287861802</v>
      </c>
      <c r="T44" s="87">
        <f t="shared" si="12"/>
        <v>52968339.894160524</v>
      </c>
      <c r="U44" s="30"/>
      <c r="V44" s="32"/>
      <c r="X44" s="31"/>
      <c r="Y44" s="31"/>
      <c r="Z44" s="30"/>
      <c r="AA44" s="33"/>
    </row>
    <row r="45" spans="2:27" x14ac:dyDescent="0.25">
      <c r="B45" s="24">
        <f t="shared" si="16"/>
        <v>19</v>
      </c>
      <c r="C45" s="95">
        <f t="shared" si="16"/>
        <v>2035</v>
      </c>
      <c r="D45" s="95">
        <f t="shared" si="13"/>
        <v>88</v>
      </c>
      <c r="E45" s="34">
        <f t="shared" ref="E45:F60" si="17" xml:space="preserve"> E44 * ( 1 + $E$16 )</f>
        <v>57129.849903050919</v>
      </c>
      <c r="F45" s="34">
        <f t="shared" si="17"/>
        <v>1713.8954970915286</v>
      </c>
      <c r="G45" s="35">
        <f t="shared" si="4"/>
        <v>1493.7959307333174</v>
      </c>
      <c r="H45" s="36">
        <f xml:space="preserve"> VLOOKUP( $D45, 'Mortality table'!$A$2:$B$111, 2, 0 ) * $E$18</f>
        <v>0.13533999999999999</v>
      </c>
      <c r="I45" s="36">
        <f t="shared" si="15"/>
        <v>1</v>
      </c>
      <c r="J45" s="36">
        <f t="shared" si="8"/>
        <v>0.13533999999999999</v>
      </c>
      <c r="K45" s="34">
        <f t="shared" si="5"/>
        <v>85340337.308582664</v>
      </c>
      <c r="L45" s="34">
        <f t="shared" si="5"/>
        <v>2560210.1192574818</v>
      </c>
      <c r="M45" s="34">
        <f t="shared" si="6"/>
        <v>349508459.28011411</v>
      </c>
      <c r="N45" s="34">
        <f t="shared" si="7"/>
        <v>349508459.28011411</v>
      </c>
      <c r="O45" s="34">
        <f t="shared" si="9"/>
        <v>-8918047.7095796317</v>
      </c>
      <c r="P45" s="34">
        <f t="shared" si="1"/>
        <v>34950845.92801141</v>
      </c>
      <c r="Q45" s="34">
        <f t="shared" si="2"/>
        <v>0</v>
      </c>
      <c r="R45" s="34">
        <f t="shared" si="10"/>
        <v>16349754.13422936</v>
      </c>
      <c r="S45" s="34">
        <f t="shared" si="11"/>
        <v>14947754.351779511</v>
      </c>
      <c r="T45" s="87">
        <f t="shared" si="12"/>
        <v>43317419.531797066</v>
      </c>
      <c r="U45" s="30"/>
      <c r="V45" s="32"/>
      <c r="X45" s="31"/>
      <c r="Y45" s="31"/>
      <c r="Z45" s="30"/>
      <c r="AA45" s="33"/>
    </row>
    <row r="46" spans="2:27" x14ac:dyDescent="0.25">
      <c r="B46" s="24">
        <f t="shared" si="16"/>
        <v>20</v>
      </c>
      <c r="C46" s="95">
        <f t="shared" si="16"/>
        <v>2036</v>
      </c>
      <c r="D46" s="95">
        <f t="shared" si="13"/>
        <v>89</v>
      </c>
      <c r="E46" s="34">
        <f t="shared" si="17"/>
        <v>58272.446901111936</v>
      </c>
      <c r="F46" s="34">
        <f t="shared" si="17"/>
        <v>1748.1734070333591</v>
      </c>
      <c r="G46" s="35">
        <f t="shared" si="4"/>
        <v>1271.3398407285119</v>
      </c>
      <c r="H46" s="36">
        <f xml:space="preserve"> VLOOKUP( $D46, 'Mortality table'!$A$2:$B$111, 2, 0 ) * $E$18</f>
        <v>0.14892</v>
      </c>
      <c r="I46" s="36">
        <f t="shared" si="15"/>
        <v>1</v>
      </c>
      <c r="J46" s="36">
        <f t="shared" si="8"/>
        <v>0.14892</v>
      </c>
      <c r="K46" s="34">
        <f t="shared" si="5"/>
        <v>74084083.362120315</v>
      </c>
      <c r="L46" s="34">
        <f t="shared" si="5"/>
        <v>2222522.5008636108</v>
      </c>
      <c r="M46" s="34">
        <f t="shared" si="6"/>
        <v>283687107.19553363</v>
      </c>
      <c r="N46" s="34">
        <f t="shared" si="7"/>
        <v>283687107.19553363</v>
      </c>
      <c r="O46" s="34">
        <f t="shared" si="9"/>
        <v>-7339677.6448824117</v>
      </c>
      <c r="P46" s="34">
        <f t="shared" si="1"/>
        <v>28368710.719553366</v>
      </c>
      <c r="Q46" s="34">
        <f t="shared" si="2"/>
        <v>0</v>
      </c>
      <c r="R46" s="34">
        <f t="shared" si="10"/>
        <v>13456075.682284394</v>
      </c>
      <c r="S46" s="34">
        <f t="shared" si="11"/>
        <v>12698533.245860025</v>
      </c>
      <c r="T46" s="87">
        <f t="shared" si="12"/>
        <v>34950628.239116751</v>
      </c>
      <c r="U46" s="30"/>
      <c r="V46" s="32"/>
      <c r="X46" s="31"/>
      <c r="Y46" s="31"/>
      <c r="Z46" s="30"/>
      <c r="AA46" s="33"/>
    </row>
    <row r="47" spans="2:27" x14ac:dyDescent="0.25">
      <c r="B47" s="24">
        <f t="shared" si="16"/>
        <v>21</v>
      </c>
      <c r="C47" s="95">
        <f t="shared" si="16"/>
        <v>2037</v>
      </c>
      <c r="D47" s="95">
        <f t="shared" si="13"/>
        <v>90</v>
      </c>
      <c r="E47" s="34">
        <f t="shared" si="17"/>
        <v>59437.895839134173</v>
      </c>
      <c r="F47" s="34">
        <f t="shared" si="17"/>
        <v>1783.1368751740263</v>
      </c>
      <c r="G47" s="35">
        <f t="shared" si="4"/>
        <v>1064.2894342674665</v>
      </c>
      <c r="H47" s="36">
        <f xml:space="preserve"> VLOOKUP( $D47, 'Mortality table'!$A$2:$B$111, 2, 0 ) * $E$18</f>
        <v>0.16286</v>
      </c>
      <c r="I47" s="36">
        <f t="shared" si="15"/>
        <v>1</v>
      </c>
      <c r="J47" s="36">
        <f t="shared" si="8"/>
        <v>0.16286</v>
      </c>
      <c r="K47" s="34">
        <f t="shared" si="5"/>
        <v>63259124.536680713</v>
      </c>
      <c r="L47" s="34">
        <f t="shared" si="5"/>
        <v>1897773.7361004225</v>
      </c>
      <c r="M47" s="34">
        <f t="shared" si="6"/>
        <v>227040822.13861853</v>
      </c>
      <c r="N47" s="34">
        <f t="shared" si="7"/>
        <v>227040822.13861853</v>
      </c>
      <c r="O47" s="34">
        <f t="shared" si="9"/>
        <v>-5957429.2511062203</v>
      </c>
      <c r="P47" s="34">
        <f t="shared" si="1"/>
        <v>22704082.213861853</v>
      </c>
      <c r="Q47" s="34">
        <f t="shared" si="2"/>
        <v>0</v>
      </c>
      <c r="R47" s="34">
        <f t="shared" si="10"/>
        <v>10921953.627028044</v>
      </c>
      <c r="S47" s="34">
        <f t="shared" si="11"/>
        <v>10629152.881613337</v>
      </c>
      <c r="T47" s="87">
        <f t="shared" si="12"/>
        <v>27816538.181415096</v>
      </c>
      <c r="U47" s="30"/>
      <c r="V47" s="32"/>
      <c r="X47" s="31"/>
      <c r="Y47" s="31"/>
      <c r="Z47" s="30"/>
      <c r="AA47" s="33"/>
    </row>
    <row r="48" spans="2:27" x14ac:dyDescent="0.25">
      <c r="B48" s="24">
        <f t="shared" si="16"/>
        <v>22</v>
      </c>
      <c r="C48" s="95">
        <f t="shared" si="16"/>
        <v>2038</v>
      </c>
      <c r="D48" s="95">
        <f t="shared" si="13"/>
        <v>91</v>
      </c>
      <c r="E48" s="34">
        <f t="shared" si="17"/>
        <v>60626.653755916857</v>
      </c>
      <c r="F48" s="34">
        <f t="shared" si="17"/>
        <v>1818.7996126775067</v>
      </c>
      <c r="G48" s="35">
        <f t="shared" si="4"/>
        <v>875.95277597949564</v>
      </c>
      <c r="H48" s="36">
        <f xml:space="preserve"> VLOOKUP( $D48, 'Mortality table'!$A$2:$B$111, 2, 0 ) * $E$18</f>
        <v>0.17696000000000001</v>
      </c>
      <c r="I48" s="36">
        <f t="shared" si="15"/>
        <v>1</v>
      </c>
      <c r="J48" s="36">
        <f t="shared" si="8"/>
        <v>0.17696000000000001</v>
      </c>
      <c r="K48" s="34">
        <f t="shared" si="5"/>
        <v>53106085.655843087</v>
      </c>
      <c r="L48" s="34">
        <f t="shared" si="5"/>
        <v>1593182.5696752935</v>
      </c>
      <c r="M48" s="34">
        <f t="shared" si="6"/>
        <v>179152778.57725871</v>
      </c>
      <c r="N48" s="34">
        <f t="shared" si="7"/>
        <v>179152778.57725871</v>
      </c>
      <c r="O48" s="34">
        <f t="shared" si="9"/>
        <v>-4767857.2649109922</v>
      </c>
      <c r="P48" s="34">
        <f t="shared" si="1"/>
        <v>17915277.85772587</v>
      </c>
      <c r="Q48" s="34">
        <f t="shared" si="2"/>
        <v>0</v>
      </c>
      <c r="R48" s="34">
        <f t="shared" si="10"/>
        <v>8741071.6523368135</v>
      </c>
      <c r="S48" s="34">
        <f t="shared" si="11"/>
        <v>8762018.7435618043</v>
      </c>
      <c r="T48" s="87">
        <f t="shared" si="12"/>
        <v>21836173.255994804</v>
      </c>
      <c r="U48" s="30"/>
      <c r="V48" s="32"/>
      <c r="X48" s="31"/>
      <c r="Y48" s="31"/>
      <c r="Z48" s="30"/>
      <c r="AA48" s="33"/>
    </row>
    <row r="49" spans="2:27" x14ac:dyDescent="0.25">
      <c r="B49" s="24">
        <f t="shared" si="16"/>
        <v>23</v>
      </c>
      <c r="C49" s="95">
        <f t="shared" si="16"/>
        <v>2039</v>
      </c>
      <c r="D49" s="95">
        <f t="shared" si="13"/>
        <v>92</v>
      </c>
      <c r="E49" s="34">
        <f t="shared" si="17"/>
        <v>61839.186831035193</v>
      </c>
      <c r="F49" s="34">
        <f t="shared" si="17"/>
        <v>1855.1756049310568</v>
      </c>
      <c r="G49" s="35">
        <f t="shared" si="4"/>
        <v>708.62827671189245</v>
      </c>
      <c r="H49" s="36">
        <f xml:space="preserve"> VLOOKUP( $D49, 'Mortality table'!$A$2:$B$111, 2, 0 ) * $E$18</f>
        <v>0.19102</v>
      </c>
      <c r="I49" s="36">
        <f t="shared" si="15"/>
        <v>1</v>
      </c>
      <c r="J49" s="36">
        <f t="shared" si="8"/>
        <v>0.19102</v>
      </c>
      <c r="K49" s="34">
        <f t="shared" si="5"/>
        <v>43820996.397341222</v>
      </c>
      <c r="L49" s="34">
        <f t="shared" si="5"/>
        <v>1314629.8919202373</v>
      </c>
      <c r="M49" s="34">
        <f t="shared" si="6"/>
        <v>139391735.64531502</v>
      </c>
      <c r="N49" s="34">
        <f t="shared" si="7"/>
        <v>139391735.64531502</v>
      </c>
      <c r="O49" s="34">
        <f t="shared" si="9"/>
        <v>-3762208.3501224425</v>
      </c>
      <c r="P49" s="34">
        <f t="shared" si="1"/>
        <v>13939173.564531503</v>
      </c>
      <c r="Q49" s="34">
        <f t="shared" si="2"/>
        <v>0</v>
      </c>
      <c r="R49" s="34">
        <f t="shared" si="10"/>
        <v>6897381.9752244595</v>
      </c>
      <c r="S49" s="34">
        <f t="shared" si="11"/>
        <v>7111277.9182963837</v>
      </c>
      <c r="T49" s="87">
        <f t="shared" si="12"/>
        <v>16908512.663297903</v>
      </c>
      <c r="U49" s="30"/>
      <c r="V49" s="32"/>
      <c r="X49" s="31"/>
      <c r="Y49" s="31"/>
      <c r="Z49" s="30"/>
      <c r="AA49" s="33"/>
    </row>
    <row r="50" spans="2:27" x14ac:dyDescent="0.25">
      <c r="B50" s="24">
        <f t="shared" si="16"/>
        <v>24</v>
      </c>
      <c r="C50" s="95">
        <f t="shared" si="16"/>
        <v>2040</v>
      </c>
      <c r="D50" s="95">
        <f t="shared" si="13"/>
        <v>93</v>
      </c>
      <c r="E50" s="34">
        <f t="shared" si="17"/>
        <v>63075.970567655895</v>
      </c>
      <c r="F50" s="34">
        <f t="shared" si="17"/>
        <v>1892.279117029678</v>
      </c>
      <c r="G50" s="35">
        <f t="shared" si="4"/>
        <v>563.47286051022843</v>
      </c>
      <c r="H50" s="36">
        <f xml:space="preserve"> VLOOKUP( $D50, 'Mortality table'!$A$2:$B$111, 2, 0 ) * $E$18</f>
        <v>0.20483999999999999</v>
      </c>
      <c r="I50" s="36">
        <f t="shared" si="15"/>
        <v>1</v>
      </c>
      <c r="J50" s="36">
        <f t="shared" si="8"/>
        <v>0.20483999999999999</v>
      </c>
      <c r="K50" s="34">
        <f t="shared" si="5"/>
        <v>35541597.565216042</v>
      </c>
      <c r="L50" s="34">
        <f t="shared" si="5"/>
        <v>1066247.926956482</v>
      </c>
      <c r="M50" s="34">
        <f t="shared" si="6"/>
        <v>106965642.22250195</v>
      </c>
      <c r="N50" s="34">
        <f t="shared" si="7"/>
        <v>106965642.22250195</v>
      </c>
      <c r="O50" s="34">
        <f t="shared" si="9"/>
        <v>-2927226.4485516157</v>
      </c>
      <c r="P50" s="34">
        <f t="shared" si="1"/>
        <v>10696564.222250195</v>
      </c>
      <c r="Q50" s="34">
        <f t="shared" si="2"/>
        <v>0</v>
      </c>
      <c r="R50" s="34">
        <f t="shared" si="10"/>
        <v>5366581.8223446282</v>
      </c>
      <c r="S50" s="34">
        <f t="shared" si="11"/>
        <v>5681964.7160743205</v>
      </c>
      <c r="T50" s="87">
        <f t="shared" si="12"/>
        <v>12917399.213553375</v>
      </c>
      <c r="U50" s="30"/>
      <c r="V50" s="32"/>
      <c r="X50" s="31"/>
      <c r="Y50" s="31"/>
      <c r="Z50" s="30"/>
      <c r="AA50" s="33"/>
    </row>
    <row r="51" spans="2:27" x14ac:dyDescent="0.25">
      <c r="B51" s="24">
        <f t="shared" si="16"/>
        <v>25</v>
      </c>
      <c r="C51" s="95">
        <f t="shared" si="16"/>
        <v>2041</v>
      </c>
      <c r="D51" s="95">
        <f t="shared" si="13"/>
        <v>94</v>
      </c>
      <c r="E51" s="34">
        <f t="shared" si="17"/>
        <v>64337.489979009013</v>
      </c>
      <c r="F51" s="34">
        <f t="shared" si="17"/>
        <v>1930.1246993702716</v>
      </c>
      <c r="G51" s="35">
        <f t="shared" si="4"/>
        <v>440.50054343247621</v>
      </c>
      <c r="H51" s="36">
        <f xml:space="preserve"> VLOOKUP( $D51, 'Mortality table'!$A$2:$B$111, 2, 0 ) * $E$18</f>
        <v>0.21823999999999999</v>
      </c>
      <c r="I51" s="36">
        <f t="shared" si="15"/>
        <v>1</v>
      </c>
      <c r="J51" s="36">
        <f t="shared" si="8"/>
        <v>0.21823999999999999</v>
      </c>
      <c r="K51" s="34">
        <f t="shared" si="5"/>
        <v>28340699.298834961</v>
      </c>
      <c r="L51" s="34">
        <f t="shared" si="5"/>
        <v>850220.97896504938</v>
      </c>
      <c r="M51" s="34">
        <f t="shared" si="6"/>
        <v>80983691.211376995</v>
      </c>
      <c r="N51" s="34">
        <f t="shared" si="7"/>
        <v>80983691.211376995</v>
      </c>
      <c r="O51" s="34">
        <f t="shared" si="9"/>
        <v>-2246278.4866725383</v>
      </c>
      <c r="P51" s="34">
        <f t="shared" si="1"/>
        <v>8098369.1211377</v>
      </c>
      <c r="Q51" s="34">
        <f t="shared" si="2"/>
        <v>0</v>
      </c>
      <c r="R51" s="34">
        <f t="shared" si="10"/>
        <v>4118177.2255663248</v>
      </c>
      <c r="S51" s="34">
        <f t="shared" si="11"/>
        <v>4470093.8400062816</v>
      </c>
      <c r="T51" s="87">
        <f t="shared" si="12"/>
        <v>9739045.2949024308</v>
      </c>
      <c r="U51" s="30"/>
      <c r="V51" s="32"/>
      <c r="X51" s="31"/>
      <c r="Y51" s="31"/>
      <c r="Z51" s="30"/>
      <c r="AA51" s="33"/>
    </row>
    <row r="52" spans="2:27" x14ac:dyDescent="0.25">
      <c r="B52" s="24">
        <f t="shared" si="16"/>
        <v>26</v>
      </c>
      <c r="C52" s="95">
        <f t="shared" si="16"/>
        <v>2042</v>
      </c>
      <c r="D52" s="95">
        <f t="shared" si="13"/>
        <v>95</v>
      </c>
      <c r="E52" s="34">
        <f t="shared" si="17"/>
        <v>65624.239778589195</v>
      </c>
      <c r="F52" s="34">
        <f t="shared" si="17"/>
        <v>1968.7271933576772</v>
      </c>
      <c r="G52" s="35">
        <f t="shared" si="4"/>
        <v>338.71848786696825</v>
      </c>
      <c r="H52" s="36">
        <f xml:space="preserve"> VLOOKUP( $D52, 'Mortality table'!$A$2:$B$111, 2, 0 ) * $E$18</f>
        <v>0.23105999999999999</v>
      </c>
      <c r="I52" s="36">
        <f t="shared" si="15"/>
        <v>1</v>
      </c>
      <c r="J52" s="36">
        <f t="shared" si="8"/>
        <v>0.23105999999999999</v>
      </c>
      <c r="K52" s="34">
        <f t="shared" si="5"/>
        <v>22228143.265223078</v>
      </c>
      <c r="L52" s="34">
        <f t="shared" si="5"/>
        <v>666844.29795669287</v>
      </c>
      <c r="M52" s="34">
        <f t="shared" si="6"/>
        <v>60518214.384538539</v>
      </c>
      <c r="N52" s="34">
        <f t="shared" si="7"/>
        <v>60518214.384538539</v>
      </c>
      <c r="O52" s="34">
        <f t="shared" si="9"/>
        <v>-1700657.5154389213</v>
      </c>
      <c r="P52" s="34">
        <f t="shared" si="1"/>
        <v>6051821.4384538541</v>
      </c>
      <c r="Q52" s="34">
        <f t="shared" si="2"/>
        <v>0</v>
      </c>
      <c r="R52" s="34">
        <f t="shared" si="10"/>
        <v>3117872.1116380142</v>
      </c>
      <c r="S52" s="34">
        <f t="shared" si="11"/>
        <v>3463762.2788829389</v>
      </c>
      <c r="T52" s="87">
        <f t="shared" si="12"/>
        <v>7249187.5455097351</v>
      </c>
      <c r="U52" s="30"/>
      <c r="V52" s="32"/>
      <c r="X52" s="31"/>
      <c r="Y52" s="31"/>
      <c r="Z52" s="30"/>
      <c r="AA52" s="33"/>
    </row>
    <row r="53" spans="2:27" x14ac:dyDescent="0.25">
      <c r="B53" s="24">
        <f t="shared" si="16"/>
        <v>27</v>
      </c>
      <c r="C53" s="95">
        <f t="shared" si="16"/>
        <v>2043</v>
      </c>
      <c r="D53" s="95">
        <f t="shared" si="13"/>
        <v>96</v>
      </c>
      <c r="E53" s="34">
        <f t="shared" si="17"/>
        <v>66936.72457416098</v>
      </c>
      <c r="F53" s="34">
        <f t="shared" si="17"/>
        <v>2008.1017372248307</v>
      </c>
      <c r="G53" s="35">
        <f t="shared" si="4"/>
        <v>256.35908754211493</v>
      </c>
      <c r="H53" s="36">
        <f xml:space="preserve"> VLOOKUP( $D53, 'Mortality table'!$A$2:$B$111, 2, 0 ) * $E$18</f>
        <v>0.24315000000000001</v>
      </c>
      <c r="I53" s="36">
        <f t="shared" si="15"/>
        <v>1</v>
      </c>
      <c r="J53" s="36">
        <f t="shared" si="8"/>
        <v>0.24315000000000001</v>
      </c>
      <c r="K53" s="34">
        <f t="shared" si="5"/>
        <v>17159837.63488977</v>
      </c>
      <c r="L53" s="34">
        <f t="shared" si="5"/>
        <v>514795.12904669344</v>
      </c>
      <c r="M53" s="34">
        <f t="shared" si="6"/>
        <v>44659128.052138232</v>
      </c>
      <c r="N53" s="34">
        <f t="shared" si="7"/>
        <v>44659128.052138232</v>
      </c>
      <c r="O53" s="34">
        <f t="shared" si="9"/>
        <v>-1270882.5020753096</v>
      </c>
      <c r="P53" s="34">
        <f t="shared" si="1"/>
        <v>4465912.805213823</v>
      </c>
      <c r="Q53" s="34">
        <f t="shared" si="2"/>
        <v>0</v>
      </c>
      <c r="R53" s="34">
        <f t="shared" si="10"/>
        <v>2329951.253804734</v>
      </c>
      <c r="S53" s="34">
        <f t="shared" si="11"/>
        <v>2644977.3849694552</v>
      </c>
      <c r="T53" s="87">
        <f t="shared" si="12"/>
        <v>5329128.9150912538</v>
      </c>
      <c r="U53" s="30"/>
      <c r="V53" s="32"/>
      <c r="X53" s="31"/>
      <c r="Y53" s="31"/>
      <c r="Z53" s="30"/>
      <c r="AA53" s="33"/>
    </row>
    <row r="54" spans="2:27" x14ac:dyDescent="0.25">
      <c r="B54" s="24">
        <f t="shared" si="16"/>
        <v>28</v>
      </c>
      <c r="C54" s="95">
        <f t="shared" si="16"/>
        <v>2044</v>
      </c>
      <c r="D54" s="95">
        <f t="shared" si="13"/>
        <v>97</v>
      </c>
      <c r="E54" s="34">
        <f t="shared" si="17"/>
        <v>68275.459065644201</v>
      </c>
      <c r="F54" s="34">
        <f t="shared" si="17"/>
        <v>2048.2637719693275</v>
      </c>
      <c r="G54" s="35">
        <f t="shared" si="4"/>
        <v>191.14902644402716</v>
      </c>
      <c r="H54" s="36">
        <f xml:space="preserve"> VLOOKUP( $D54, 'Mortality table'!$A$2:$B$111, 2, 0 ) * $E$18</f>
        <v>0.25436999999999999</v>
      </c>
      <c r="I54" s="36">
        <f t="shared" si="15"/>
        <v>1</v>
      </c>
      <c r="J54" s="36">
        <f t="shared" si="8"/>
        <v>0.25436999999999999</v>
      </c>
      <c r="K54" s="34">
        <f t="shared" si="5"/>
        <v>13050787.530416917</v>
      </c>
      <c r="L54" s="34">
        <f t="shared" si="5"/>
        <v>391523.62591250782</v>
      </c>
      <c r="M54" s="34">
        <f t="shared" si="6"/>
        <v>32556590.737372957</v>
      </c>
      <c r="N54" s="34">
        <f t="shared" si="7"/>
        <v>32556590.737372957</v>
      </c>
      <c r="O54" s="34">
        <f t="shared" si="9"/>
        <v>-937841.68909490528</v>
      </c>
      <c r="P54" s="34">
        <f t="shared" si="1"/>
        <v>3255659.0737372958</v>
      </c>
      <c r="Q54" s="34">
        <f t="shared" si="2"/>
        <v>0</v>
      </c>
      <c r="R54" s="34">
        <f t="shared" si="10"/>
        <v>1719376.4300073218</v>
      </c>
      <c r="S54" s="34">
        <f t="shared" si="11"/>
        <v>1991788.4723889437</v>
      </c>
      <c r="T54" s="87">
        <f t="shared" si="12"/>
        <v>3870253.3342114361</v>
      </c>
      <c r="U54" s="30"/>
      <c r="V54" s="32"/>
      <c r="X54" s="31"/>
      <c r="Y54" s="31"/>
      <c r="Z54" s="30"/>
      <c r="AA54" s="33"/>
    </row>
    <row r="55" spans="2:27" x14ac:dyDescent="0.25">
      <c r="B55" s="24">
        <f t="shared" si="16"/>
        <v>29</v>
      </c>
      <c r="C55" s="95">
        <f t="shared" si="16"/>
        <v>2045</v>
      </c>
      <c r="D55" s="95">
        <f t="shared" si="13"/>
        <v>98</v>
      </c>
      <c r="E55" s="34">
        <f t="shared" si="17"/>
        <v>69640.968246957083</v>
      </c>
      <c r="F55" s="34">
        <f t="shared" si="17"/>
        <v>2089.229047408714</v>
      </c>
      <c r="G55" s="35">
        <f t="shared" si="4"/>
        <v>140.57481702746645</v>
      </c>
      <c r="H55" s="36">
        <f xml:space="preserve"> VLOOKUP( $D55, 'Mortality table'!$A$2:$B$111, 2, 0 ) * $E$18</f>
        <v>0.26457999999999998</v>
      </c>
      <c r="I55" s="36">
        <f t="shared" si="15"/>
        <v>1</v>
      </c>
      <c r="J55" s="36">
        <f t="shared" si="8"/>
        <v>0.26457999999999998</v>
      </c>
      <c r="K55" s="34">
        <f t="shared" si="5"/>
        <v>9789766.3689315934</v>
      </c>
      <c r="L55" s="34">
        <f t="shared" si="5"/>
        <v>293692.99106794799</v>
      </c>
      <c r="M55" s="34">
        <f t="shared" si="6"/>
        <v>23449829.099494606</v>
      </c>
      <c r="N55" s="34">
        <f t="shared" si="7"/>
        <v>23449829.099494606</v>
      </c>
      <c r="O55" s="34">
        <f t="shared" si="9"/>
        <v>-683688.40548483317</v>
      </c>
      <c r="P55" s="34">
        <f t="shared" si="1"/>
        <v>2344982.9099494605</v>
      </c>
      <c r="Q55" s="34">
        <f t="shared" si="2"/>
        <v>0</v>
      </c>
      <c r="R55" s="34">
        <f t="shared" si="10"/>
        <v>1253428.7433888589</v>
      </c>
      <c r="S55" s="34">
        <f t="shared" si="11"/>
        <v>1480416.5016918611</v>
      </c>
      <c r="T55" s="87">
        <f t="shared" si="12"/>
        <v>2776862.1659407187</v>
      </c>
      <c r="U55" s="30"/>
      <c r="V55" s="32"/>
      <c r="X55" s="31"/>
      <c r="Y55" s="31"/>
      <c r="Z55" s="30"/>
      <c r="AA55" s="33"/>
    </row>
    <row r="56" spans="2:27" x14ac:dyDescent="0.25">
      <c r="B56" s="24">
        <f t="shared" si="16"/>
        <v>30</v>
      </c>
      <c r="C56" s="95">
        <f t="shared" si="16"/>
        <v>2046</v>
      </c>
      <c r="D56" s="95">
        <f t="shared" si="13"/>
        <v>99</v>
      </c>
      <c r="E56" s="34">
        <f t="shared" si="17"/>
        <v>71033.78761189623</v>
      </c>
      <c r="F56" s="34">
        <f t="shared" si="17"/>
        <v>2131.0136283568881</v>
      </c>
      <c r="G56" s="35">
        <f t="shared" si="4"/>
        <v>102.10511259972998</v>
      </c>
      <c r="H56" s="36">
        <f xml:space="preserve"> VLOOKUP( $D56, 'Mortality table'!$A$2:$B$111, 2, 0 ) * $E$18</f>
        <v>0.27366000000000001</v>
      </c>
      <c r="I56" s="36">
        <f t="shared" si="15"/>
        <v>1</v>
      </c>
      <c r="J56" s="36">
        <f t="shared" si="8"/>
        <v>0.27366000000000001</v>
      </c>
      <c r="K56" s="34">
        <f t="shared" si="5"/>
        <v>7252912.8824979691</v>
      </c>
      <c r="L56" s="34">
        <f t="shared" si="5"/>
        <v>217587.38647493921</v>
      </c>
      <c r="M56" s="34">
        <f t="shared" si="6"/>
        <v>16682823.703506535</v>
      </c>
      <c r="N56" s="34">
        <f t="shared" si="7"/>
        <v>16682823.703506535</v>
      </c>
      <c r="O56" s="34">
        <f t="shared" si="9"/>
        <v>-492446.41108938574</v>
      </c>
      <c r="P56" s="34">
        <f t="shared" si="1"/>
        <v>1668282.3703506535</v>
      </c>
      <c r="Q56" s="34">
        <f t="shared" si="2"/>
        <v>0</v>
      </c>
      <c r="R56" s="34">
        <f t="shared" si="10"/>
        <v>902818.42033054237</v>
      </c>
      <c r="S56" s="34">
        <f t="shared" si="11"/>
        <v>1087072.5488399635</v>
      </c>
      <c r="T56" s="87">
        <f t="shared" si="12"/>
        <v>1967475.833694827</v>
      </c>
      <c r="U56" s="30"/>
      <c r="V56" s="32"/>
      <c r="X56" s="31"/>
      <c r="Y56" s="31"/>
      <c r="Z56" s="30"/>
      <c r="AA56" s="33"/>
    </row>
    <row r="57" spans="2:27" x14ac:dyDescent="0.25">
      <c r="B57" s="24">
        <f t="shared" si="16"/>
        <v>31</v>
      </c>
      <c r="C57" s="95">
        <f t="shared" si="16"/>
        <v>2047</v>
      </c>
      <c r="D57" s="95">
        <f t="shared" si="13"/>
        <v>100</v>
      </c>
      <c r="E57" s="34">
        <f t="shared" si="17"/>
        <v>72454.46336413415</v>
      </c>
      <c r="F57" s="34">
        <f t="shared" si="17"/>
        <v>2173.633900924026</v>
      </c>
      <c r="G57" s="35">
        <f t="shared" si="4"/>
        <v>73.306365590976142</v>
      </c>
      <c r="H57" s="36">
        <f xml:space="preserve"> VLOOKUP( $D57, 'Mortality table'!$A$2:$B$111, 2, 0 ) * $E$18</f>
        <v>0.28205000000000002</v>
      </c>
      <c r="I57" s="36">
        <f t="shared" si="15"/>
        <v>1</v>
      </c>
      <c r="J57" s="36">
        <f t="shared" si="8"/>
        <v>0.28205000000000002</v>
      </c>
      <c r="K57" s="34">
        <f t="shared" si="5"/>
        <v>5311373.3800692055</v>
      </c>
      <c r="L57" s="34">
        <f t="shared" si="5"/>
        <v>159341.20140207626</v>
      </c>
      <c r="M57" s="34">
        <f t="shared" si="6"/>
        <v>11712593.833140448</v>
      </c>
      <c r="N57" s="34">
        <f t="shared" si="7"/>
        <v>11712593.833140448</v>
      </c>
      <c r="O57" s="34">
        <f t="shared" si="9"/>
        <v>-350339.29777363641</v>
      </c>
      <c r="P57" s="34">
        <f t="shared" si="1"/>
        <v>1171259.3833140449</v>
      </c>
      <c r="Q57" s="34">
        <f t="shared" si="2"/>
        <v>0</v>
      </c>
      <c r="R57" s="34">
        <f t="shared" si="10"/>
        <v>642288.7125850016</v>
      </c>
      <c r="S57" s="34">
        <f t="shared" si="11"/>
        <v>788972.40184797382</v>
      </c>
      <c r="T57" s="87">
        <f t="shared" si="12"/>
        <v>1375251.0152163361</v>
      </c>
      <c r="U57" s="30"/>
      <c r="V57" s="32"/>
      <c r="X57" s="31"/>
      <c r="Y57" s="31"/>
      <c r="Z57" s="30"/>
      <c r="AA57" s="33"/>
    </row>
    <row r="58" spans="2:27" x14ac:dyDescent="0.25">
      <c r="B58" s="24">
        <f t="shared" si="16"/>
        <v>32</v>
      </c>
      <c r="C58" s="95">
        <f t="shared" si="16"/>
        <v>2048</v>
      </c>
      <c r="D58" s="95">
        <f t="shared" si="13"/>
        <v>101</v>
      </c>
      <c r="E58" s="34">
        <f t="shared" si="17"/>
        <v>73903.552631416838</v>
      </c>
      <c r="F58" s="34">
        <f t="shared" si="17"/>
        <v>2217.1065789425065</v>
      </c>
      <c r="G58" s="35">
        <f t="shared" si="4"/>
        <v>51.919233429808855</v>
      </c>
      <c r="H58" s="36">
        <f xml:space="preserve"> VLOOKUP( $D58, 'Mortality table'!$A$2:$B$111, 2, 0 ) * $E$18</f>
        <v>0.29175000000000001</v>
      </c>
      <c r="I58" s="36">
        <f t="shared" si="15"/>
        <v>1</v>
      </c>
      <c r="J58" s="36">
        <f t="shared" si="8"/>
        <v>0.29175000000000001</v>
      </c>
      <c r="K58" s="34">
        <f t="shared" si="5"/>
        <v>3837015.8003626955</v>
      </c>
      <c r="L58" s="34">
        <f t="shared" si="5"/>
        <v>115110.47401088093</v>
      </c>
      <c r="M58" s="34">
        <f t="shared" si="6"/>
        <v>8111845.3737610849</v>
      </c>
      <c r="N58" s="34">
        <f t="shared" si="7"/>
        <v>8111845.3737610849</v>
      </c>
      <c r="O58" s="34">
        <f t="shared" si="9"/>
        <v>-245964.47049594953</v>
      </c>
      <c r="P58" s="34">
        <f t="shared" si="1"/>
        <v>811184.53737610858</v>
      </c>
      <c r="Q58" s="34">
        <f t="shared" si="2"/>
        <v>0</v>
      </c>
      <c r="R58" s="34">
        <f t="shared" si="10"/>
        <v>450934.86257590726</v>
      </c>
      <c r="S58" s="34">
        <f t="shared" si="11"/>
        <v>565045.23801789409</v>
      </c>
      <c r="T58" s="87">
        <f t="shared" si="12"/>
        <v>947730.87872007582</v>
      </c>
      <c r="U58" s="30"/>
      <c r="V58" s="32"/>
      <c r="X58" s="31"/>
      <c r="Y58" s="31"/>
      <c r="Z58" s="30"/>
      <c r="AA58" s="33"/>
    </row>
    <row r="59" spans="2:27" x14ac:dyDescent="0.25">
      <c r="B59" s="24">
        <f t="shared" ref="B59:C66" si="18">B58+1</f>
        <v>33</v>
      </c>
      <c r="C59" s="95">
        <f t="shared" si="18"/>
        <v>2049</v>
      </c>
      <c r="D59" s="95">
        <f t="shared" si="13"/>
        <v>102</v>
      </c>
      <c r="E59" s="34">
        <f t="shared" si="17"/>
        <v>75381.623684045175</v>
      </c>
      <c r="F59" s="34">
        <f t="shared" si="17"/>
        <v>2261.4487105213566</v>
      </c>
      <c r="G59" s="35">
        <f t="shared" si="4"/>
        <v>36.333079554180237</v>
      </c>
      <c r="H59" s="36">
        <f xml:space="preserve"> VLOOKUP( $D59, 'Mortality table'!$A$2:$B$111, 2, 0 ) * $E$18</f>
        <v>0.30020000000000002</v>
      </c>
      <c r="I59" s="36">
        <f t="shared" si="15"/>
        <v>1</v>
      </c>
      <c r="J59" s="36">
        <f t="shared" si="8"/>
        <v>0.30020000000000002</v>
      </c>
      <c r="K59" s="34">
        <f t="shared" si="5"/>
        <v>2738846.5302356905</v>
      </c>
      <c r="L59" s="34">
        <f t="shared" si="5"/>
        <v>82165.395907070764</v>
      </c>
      <c r="M59" s="34">
        <f t="shared" si="6"/>
        <v>5534188.8088311562</v>
      </c>
      <c r="N59" s="34">
        <f t="shared" si="7"/>
        <v>5534188.8088311562</v>
      </c>
      <c r="O59" s="34">
        <f t="shared" si="9"/>
        <v>-170348.75284898299</v>
      </c>
      <c r="P59" s="34">
        <f t="shared" si="1"/>
        <v>553418.88088311569</v>
      </c>
      <c r="Q59" s="34">
        <f t="shared" si="2"/>
        <v>0</v>
      </c>
      <c r="R59" s="34">
        <f t="shared" si="10"/>
        <v>312306.0468898018</v>
      </c>
      <c r="S59" s="34">
        <f t="shared" si="11"/>
        <v>399722.9505338117</v>
      </c>
      <c r="T59" s="87">
        <f t="shared" si="12"/>
        <v>642781.01605827175</v>
      </c>
      <c r="U59" s="30"/>
      <c r="V59" s="32"/>
      <c r="X59" s="31"/>
      <c r="Y59" s="31"/>
      <c r="Z59" s="30"/>
      <c r="AA59" s="33"/>
    </row>
    <row r="60" spans="2:27" x14ac:dyDescent="0.25">
      <c r="B60" s="24">
        <f t="shared" si="18"/>
        <v>34</v>
      </c>
      <c r="C60" s="95">
        <f t="shared" si="18"/>
        <v>2050</v>
      </c>
      <c r="D60" s="95">
        <f t="shared" si="13"/>
        <v>103</v>
      </c>
      <c r="E60" s="34">
        <f t="shared" si="17"/>
        <v>76889.256157726079</v>
      </c>
      <c r="F60" s="34">
        <f t="shared" si="17"/>
        <v>2306.6776847317838</v>
      </c>
      <c r="G60" s="35">
        <f t="shared" si="4"/>
        <v>25.154117636950062</v>
      </c>
      <c r="H60" s="36">
        <f xml:space="preserve"> VLOOKUP( $D60, 'Mortality table'!$A$2:$B$111, 2, 0 ) * $E$18</f>
        <v>0.30768000000000001</v>
      </c>
      <c r="I60" s="36">
        <f t="shared" si="15"/>
        <v>1</v>
      </c>
      <c r="J60" s="36">
        <f t="shared" si="8"/>
        <v>0.30768000000000001</v>
      </c>
      <c r="K60" s="34">
        <f t="shared" si="5"/>
        <v>1934081.3944090288</v>
      </c>
      <c r="L60" s="34">
        <f t="shared" si="5"/>
        <v>58022.441832270895</v>
      </c>
      <c r="M60" s="34">
        <f t="shared" si="6"/>
        <v>3708110.636854792</v>
      </c>
      <c r="N60" s="34">
        <f t="shared" si="7"/>
        <v>3708110.636854792</v>
      </c>
      <c r="O60" s="34">
        <f t="shared" si="9"/>
        <v>-116217.96498545486</v>
      </c>
      <c r="P60" s="34">
        <f t="shared" si="1"/>
        <v>370811.06368547922</v>
      </c>
      <c r="Q60" s="34">
        <f t="shared" si="2"/>
        <v>0</v>
      </c>
      <c r="R60" s="34">
        <f t="shared" si="10"/>
        <v>213066.26913999952</v>
      </c>
      <c r="S60" s="34">
        <f t="shared" si="11"/>
        <v>279456.12135218113</v>
      </c>
      <c r="T60" s="87">
        <f t="shared" si="12"/>
        <v>427602.99631191784</v>
      </c>
      <c r="U60" s="30"/>
      <c r="V60" s="32"/>
      <c r="X60" s="31"/>
      <c r="Y60" s="31"/>
      <c r="Z60" s="30"/>
      <c r="AA60" s="33"/>
    </row>
    <row r="61" spans="2:27" x14ac:dyDescent="0.25">
      <c r="B61" s="24">
        <f t="shared" si="18"/>
        <v>35</v>
      </c>
      <c r="C61" s="95">
        <f t="shared" si="18"/>
        <v>2051</v>
      </c>
      <c r="D61" s="95">
        <f t="shared" si="13"/>
        <v>104</v>
      </c>
      <c r="E61" s="34">
        <f t="shared" ref="E61:F66" si="19" xml:space="preserve"> E60 * ( 1 + $E$16 )</f>
        <v>78427.0412808806</v>
      </c>
      <c r="F61" s="34">
        <f t="shared" si="19"/>
        <v>2352.8112384264195</v>
      </c>
      <c r="G61" s="35">
        <f t="shared" si="4"/>
        <v>17.244908428363853</v>
      </c>
      <c r="H61" s="36">
        <f xml:space="preserve"> VLOOKUP( $D61, 'Mortality table'!$A$2:$B$111, 2, 0 ) * $E$18</f>
        <v>0.31442999999999999</v>
      </c>
      <c r="I61" s="36">
        <f t="shared" si="15"/>
        <v>1</v>
      </c>
      <c r="J61" s="36">
        <f t="shared" si="8"/>
        <v>0.31442999999999999</v>
      </c>
      <c r="K61" s="34">
        <f t="shared" si="5"/>
        <v>1352467.1451962977</v>
      </c>
      <c r="L61" s="34">
        <f t="shared" si="5"/>
        <v>40574.014355888961</v>
      </c>
      <c r="M61" s="34">
        <f t="shared" si="6"/>
        <v>2426312.7964082491</v>
      </c>
      <c r="N61" s="34">
        <f t="shared" si="7"/>
        <v>2426312.7964082491</v>
      </c>
      <c r="O61" s="34">
        <f t="shared" si="9"/>
        <v>-77870.32337395064</v>
      </c>
      <c r="P61" s="34">
        <f t="shared" si="1"/>
        <v>242631.27964082491</v>
      </c>
      <c r="Q61" s="34">
        <f t="shared" si="2"/>
        <v>0</v>
      </c>
      <c r="R61" s="34">
        <f t="shared" si="10"/>
        <v>142762.25951890947</v>
      </c>
      <c r="S61" s="34">
        <f t="shared" si="11"/>
        <v>193071.72018961314</v>
      </c>
      <c r="T61" s="87">
        <f t="shared" si="12"/>
        <v>277291.57575349649</v>
      </c>
      <c r="U61" s="30"/>
      <c r="V61" s="32"/>
      <c r="X61" s="31"/>
      <c r="Y61" s="31"/>
      <c r="Z61" s="30"/>
      <c r="AA61" s="33"/>
    </row>
    <row r="62" spans="2:27" x14ac:dyDescent="0.25">
      <c r="B62" s="24">
        <f t="shared" si="18"/>
        <v>36</v>
      </c>
      <c r="C62" s="95">
        <f t="shared" si="18"/>
        <v>2052</v>
      </c>
      <c r="D62" s="95">
        <f t="shared" si="13"/>
        <v>105</v>
      </c>
      <c r="E62" s="34">
        <f t="shared" si="19"/>
        <v>79995.582106498216</v>
      </c>
      <c r="F62" s="34">
        <f t="shared" si="19"/>
        <v>2399.867463194948</v>
      </c>
      <c r="G62" s="35">
        <f t="shared" si="4"/>
        <v>11.71463874447185</v>
      </c>
      <c r="H62" s="36">
        <f xml:space="preserve"> VLOOKUP( $D62, 'Mortality table'!$A$2:$B$111, 2, 0 ) * $E$18</f>
        <v>0.32068999999999998</v>
      </c>
      <c r="I62" s="36">
        <f t="shared" si="15"/>
        <v>1</v>
      </c>
      <c r="J62" s="36">
        <f t="shared" si="8"/>
        <v>0.32068999999999998</v>
      </c>
      <c r="K62" s="34">
        <f t="shared" si="5"/>
        <v>937119.34553136304</v>
      </c>
      <c r="L62" s="34">
        <f t="shared" si="5"/>
        <v>28113.58036594091</v>
      </c>
      <c r="M62" s="34">
        <f t="shared" si="6"/>
        <v>1533869.2544031923</v>
      </c>
      <c r="N62" s="34">
        <f t="shared" si="7"/>
        <v>1533869.2544031923</v>
      </c>
      <c r="O62" s="34">
        <f t="shared" si="9"/>
        <v>-50952.568724573051</v>
      </c>
      <c r="P62" s="34">
        <f t="shared" si="1"/>
        <v>153386.92544031923</v>
      </c>
      <c r="Q62" s="34">
        <f t="shared" si="2"/>
        <v>0</v>
      </c>
      <c r="R62" s="34">
        <f t="shared" si="10"/>
        <v>93413.042661717584</v>
      </c>
      <c r="S62" s="34">
        <f t="shared" si="11"/>
        <v>131704.82813765021</v>
      </c>
      <c r="T62" s="87">
        <f t="shared" si="12"/>
        <v>173315.90519119592</v>
      </c>
      <c r="U62" s="30"/>
      <c r="V62" s="32"/>
      <c r="X62" s="31"/>
      <c r="Y62" s="31"/>
      <c r="Z62" s="30"/>
      <c r="AA62" s="33"/>
    </row>
    <row r="63" spans="2:27" x14ac:dyDescent="0.25">
      <c r="B63" s="24">
        <f t="shared" si="18"/>
        <v>37</v>
      </c>
      <c r="C63" s="95">
        <f t="shared" si="18"/>
        <v>2053</v>
      </c>
      <c r="D63" s="95">
        <f t="shared" si="13"/>
        <v>106</v>
      </c>
      <c r="E63" s="34">
        <f t="shared" si="19"/>
        <v>81595.493748628185</v>
      </c>
      <c r="F63" s="34">
        <f t="shared" si="19"/>
        <v>2447.8648124588472</v>
      </c>
      <c r="G63" s="35">
        <f t="shared" si="4"/>
        <v>7.8944950498995796</v>
      </c>
      <c r="H63" s="36">
        <f xml:space="preserve"> VLOOKUP( $D63, 'Mortality table'!$A$2:$B$111, 2, 0 ) * $E$18</f>
        <v>0.3261</v>
      </c>
      <c r="I63" s="36">
        <f t="shared" si="15"/>
        <v>1</v>
      </c>
      <c r="J63" s="36">
        <f t="shared" si="8"/>
        <v>0.3261</v>
      </c>
      <c r="K63" s="34">
        <f t="shared" si="5"/>
        <v>644155.22149265732</v>
      </c>
      <c r="L63" s="34">
        <f t="shared" si="5"/>
        <v>19324.65664477973</v>
      </c>
      <c r="M63" s="34">
        <f t="shared" si="6"/>
        <v>916405.45389785117</v>
      </c>
      <c r="N63" s="34">
        <f t="shared" si="7"/>
        <v>916405.45389785117</v>
      </c>
      <c r="O63" s="34">
        <f t="shared" si="9"/>
        <v>-32211.254342467128</v>
      </c>
      <c r="P63" s="34">
        <f t="shared" si="1"/>
        <v>91640.545389785126</v>
      </c>
      <c r="Q63" s="34">
        <f t="shared" si="2"/>
        <v>0</v>
      </c>
      <c r="R63" s="34">
        <f t="shared" si="10"/>
        <v>59053.966294522899</v>
      </c>
      <c r="S63" s="34">
        <f t="shared" si="11"/>
        <v>88589.092002589881</v>
      </c>
      <c r="T63" s="87">
        <f t="shared" si="12"/>
        <v>102058.40370772565</v>
      </c>
      <c r="U63" s="30"/>
      <c r="V63" s="32"/>
      <c r="X63" s="31"/>
      <c r="Y63" s="31"/>
      <c r="Z63" s="30"/>
      <c r="AA63" s="33"/>
    </row>
    <row r="64" spans="2:27" x14ac:dyDescent="0.25">
      <c r="B64" s="24">
        <f t="shared" si="18"/>
        <v>38</v>
      </c>
      <c r="C64" s="95">
        <f t="shared" si="18"/>
        <v>2054</v>
      </c>
      <c r="D64" s="95">
        <f t="shared" si="13"/>
        <v>107</v>
      </c>
      <c r="E64" s="34">
        <f t="shared" si="19"/>
        <v>83227.403623600752</v>
      </c>
      <c r="F64" s="34">
        <f t="shared" si="19"/>
        <v>2496.8221087080242</v>
      </c>
      <c r="G64" s="35">
        <f t="shared" si="4"/>
        <v>5.2806277388778291</v>
      </c>
      <c r="H64" s="36">
        <f xml:space="preserve"> VLOOKUP( $D64, 'Mortality table'!$A$2:$B$111, 2, 0 ) * $E$18</f>
        <v>0.33110000000000001</v>
      </c>
      <c r="I64" s="36">
        <f t="shared" si="15"/>
        <v>1</v>
      </c>
      <c r="J64" s="36">
        <f t="shared" si="8"/>
        <v>0.33110000000000001</v>
      </c>
      <c r="K64" s="34">
        <f t="shared" si="5"/>
        <v>439492.9362095673</v>
      </c>
      <c r="L64" s="34">
        <f t="shared" si="5"/>
        <v>13184.788086287026</v>
      </c>
      <c r="M64" s="34">
        <f t="shared" si="6"/>
        <v>491219.8932189325</v>
      </c>
      <c r="N64" s="34">
        <f t="shared" si="7"/>
        <v>491219.8932189325</v>
      </c>
      <c r="O64" s="34">
        <f t="shared" si="9"/>
        <v>-19244.514531854962</v>
      </c>
      <c r="P64" s="34">
        <f t="shared" si="1"/>
        <v>49121.989321893256</v>
      </c>
      <c r="Q64" s="34">
        <f t="shared" si="2"/>
        <v>0</v>
      </c>
      <c r="R64" s="34">
        <f t="shared" si="10"/>
        <v>35281.609975067273</v>
      </c>
      <c r="S64" s="34">
        <f t="shared" si="11"/>
        <v>58555.651511104181</v>
      </c>
      <c r="T64" s="87">
        <f t="shared" si="12"/>
        <v>53708.592567394051</v>
      </c>
      <c r="U64" s="30"/>
      <c r="V64" s="32"/>
      <c r="X64" s="31"/>
      <c r="Y64" s="31"/>
      <c r="Z64" s="30"/>
      <c r="AA64" s="33"/>
    </row>
    <row r="65" spans="1:27" x14ac:dyDescent="0.25">
      <c r="B65" s="24">
        <f t="shared" si="18"/>
        <v>39</v>
      </c>
      <c r="C65" s="95">
        <f t="shared" si="18"/>
        <v>2055</v>
      </c>
      <c r="D65" s="95">
        <f t="shared" si="13"/>
        <v>108</v>
      </c>
      <c r="E65" s="34">
        <f t="shared" si="19"/>
        <v>84891.951696072763</v>
      </c>
      <c r="F65" s="34">
        <f t="shared" si="19"/>
        <v>2546.7585508821849</v>
      </c>
      <c r="G65" s="35">
        <f t="shared" si="4"/>
        <v>3.503326860803718</v>
      </c>
      <c r="H65" s="36">
        <f xml:space="preserve"> VLOOKUP( $D65, 'Mortality table'!$A$2:$B$111, 2, 0 ) * $E$18</f>
        <v>0.33656999999999998</v>
      </c>
      <c r="I65" s="36">
        <f t="shared" si="15"/>
        <v>1</v>
      </c>
      <c r="J65" s="36">
        <f t="shared" si="8"/>
        <v>0.33656999999999998</v>
      </c>
      <c r="K65" s="34">
        <f t="shared" si="5"/>
        <v>297404.25464290346</v>
      </c>
      <c r="L65" s="34">
        <f t="shared" si="5"/>
        <v>8922.1276392871114</v>
      </c>
      <c r="M65" s="34">
        <f t="shared" si="6"/>
        <v>199630.10773330997</v>
      </c>
      <c r="N65" s="34">
        <f t="shared" si="7"/>
        <v>199630.10773330997</v>
      </c>
      <c r="O65" s="34">
        <f t="shared" si="9"/>
        <v>-10315.617757597611</v>
      </c>
      <c r="P65" s="34">
        <f t="shared" si="1"/>
        <v>19963.010773331</v>
      </c>
      <c r="Q65" s="34">
        <f t="shared" si="2"/>
        <v>0</v>
      </c>
      <c r="R65" s="34">
        <f t="shared" si="10"/>
        <v>18911.965888928898</v>
      </c>
      <c r="S65" s="34">
        <f t="shared" si="11"/>
        <v>37755.326679893544</v>
      </c>
      <c r="T65" s="87">
        <f t="shared" si="12"/>
        <v>21324.125144239919</v>
      </c>
      <c r="U65" s="30"/>
      <c r="V65" s="32"/>
      <c r="X65" s="31"/>
      <c r="Y65" s="31"/>
      <c r="Z65" s="30"/>
      <c r="AA65" s="33"/>
    </row>
    <row r="66" spans="1:27" x14ac:dyDescent="0.25">
      <c r="B66" s="88">
        <f t="shared" si="18"/>
        <v>40</v>
      </c>
      <c r="C66" s="96">
        <f t="shared" si="18"/>
        <v>2056</v>
      </c>
      <c r="D66" s="96">
        <f t="shared" si="13"/>
        <v>109</v>
      </c>
      <c r="E66" s="89">
        <f t="shared" si="19"/>
        <v>86589.790729994216</v>
      </c>
      <c r="F66" s="89">
        <f t="shared" si="19"/>
        <v>2597.6937218998287</v>
      </c>
      <c r="G66" s="91">
        <f t="shared" si="4"/>
        <v>2.3054693405577109</v>
      </c>
      <c r="H66" s="90">
        <f xml:space="preserve"> VLOOKUP( $D66, 'Mortality table'!$A$2:$B$111, 2, 0 ) * $E$18</f>
        <v>0.34192</v>
      </c>
      <c r="I66" s="90">
        <f t="shared" si="15"/>
        <v>1</v>
      </c>
      <c r="J66" s="90">
        <f t="shared" si="8"/>
        <v>0.34192</v>
      </c>
      <c r="K66" s="89">
        <f t="shared" si="5"/>
        <v>199630.10773330997</v>
      </c>
      <c r="L66" s="89">
        <f t="shared" si="5"/>
        <v>5988.9032319993039</v>
      </c>
      <c r="M66" s="89">
        <f xml:space="preserve"> SUM( K67:M67 ) / ( 1 + $E$12 )</f>
        <v>0</v>
      </c>
      <c r="N66" s="89">
        <f t="shared" si="7"/>
        <v>0</v>
      </c>
      <c r="O66" s="89">
        <f t="shared" si="9"/>
        <v>-4192.2322623995187</v>
      </c>
      <c r="P66" s="89">
        <f t="shared" si="1"/>
        <v>0</v>
      </c>
      <c r="Q66" s="89">
        <f t="shared" si="2"/>
        <v>0</v>
      </c>
      <c r="R66" s="89">
        <f t="shared" si="10"/>
        <v>7685.7591477324331</v>
      </c>
      <c r="S66" s="89">
        <f t="shared" si="11"/>
        <v>23456.537658663914</v>
      </c>
      <c r="T66" s="92">
        <f xml:space="preserve"> SUM( S67:T67 ) / ( 1 + $E$11 )</f>
        <v>0</v>
      </c>
      <c r="U66" s="30"/>
      <c r="V66" s="32"/>
      <c r="X66" s="31"/>
      <c r="Y66" s="31"/>
      <c r="Z66" s="30"/>
      <c r="AA66" s="33"/>
    </row>
    <row r="67" spans="1:27" x14ac:dyDescent="0.25">
      <c r="A67" s="6"/>
      <c r="B67" s="6"/>
      <c r="C67" s="6"/>
      <c r="D67" s="6"/>
    </row>
    <row r="70" spans="1:27" x14ac:dyDescent="0.25">
      <c r="C70" s="6"/>
    </row>
  </sheetData>
  <pageMargins left="0.36" right="0.39" top="0.28999999999999998" bottom="0.43" header="0.51181102362204722" footer="0.16"/>
  <pageSetup paperSize="9" scale="52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zoomScale="85" zoomScaleNormal="85" workbookViewId="0">
      <pane xSplit="4" ySplit="25" topLeftCell="E26" activePane="bottomRight" state="frozen"/>
      <selection pane="topRight" activeCell="D1" sqref="D1"/>
      <selection pane="bottomLeft" activeCell="A27" sqref="A27"/>
      <selection pane="bottomRight" activeCell="E26" sqref="E26"/>
    </sheetView>
  </sheetViews>
  <sheetFormatPr defaultRowHeight="13.5" x14ac:dyDescent="0.25"/>
  <cols>
    <col min="1" max="1" width="5.7109375" style="9" customWidth="1"/>
    <col min="2" max="4" width="13.7109375" style="9" customWidth="1"/>
    <col min="5" max="13" width="13.7109375" style="6" customWidth="1"/>
    <col min="14" max="15" width="13.7109375" style="17" customWidth="1"/>
    <col min="16" max="27" width="13.7109375" style="6" customWidth="1"/>
    <col min="28" max="245" width="9.140625" style="6"/>
    <col min="246" max="246" width="14.85546875" style="6" customWidth="1"/>
    <col min="247" max="247" width="15.85546875" style="6" customWidth="1"/>
    <col min="248" max="248" width="9.85546875" style="6" customWidth="1"/>
    <col min="249" max="249" width="6.85546875" style="6" customWidth="1"/>
    <col min="250" max="251" width="10.85546875" style="6" customWidth="1"/>
    <col min="252" max="252" width="5.7109375" style="6" customWidth="1"/>
    <col min="253" max="253" width="11.5703125" style="6" customWidth="1"/>
    <col min="254" max="254" width="9.140625" style="6"/>
    <col min="255" max="255" width="9.7109375" style="6" customWidth="1"/>
    <col min="256" max="256" width="8.5703125" style="6" customWidth="1"/>
    <col min="257" max="258" width="0" style="6" hidden="1" customWidth="1"/>
    <col min="259" max="259" width="8.28515625" style="6" customWidth="1"/>
    <col min="260" max="260" width="11.85546875" style="6" customWidth="1"/>
    <col min="261" max="261" width="11.42578125" style="6" customWidth="1"/>
    <col min="262" max="262" width="9.140625" style="6"/>
    <col min="263" max="263" width="7.85546875" style="6" customWidth="1"/>
    <col min="264" max="501" width="9.140625" style="6"/>
    <col min="502" max="502" width="14.85546875" style="6" customWidth="1"/>
    <col min="503" max="503" width="15.85546875" style="6" customWidth="1"/>
    <col min="504" max="504" width="9.85546875" style="6" customWidth="1"/>
    <col min="505" max="505" width="6.85546875" style="6" customWidth="1"/>
    <col min="506" max="507" width="10.85546875" style="6" customWidth="1"/>
    <col min="508" max="508" width="5.7109375" style="6" customWidth="1"/>
    <col min="509" max="509" width="11.5703125" style="6" customWidth="1"/>
    <col min="510" max="510" width="9.140625" style="6"/>
    <col min="511" max="511" width="9.7109375" style="6" customWidth="1"/>
    <col min="512" max="512" width="8.5703125" style="6" customWidth="1"/>
    <col min="513" max="514" width="0" style="6" hidden="1" customWidth="1"/>
    <col min="515" max="515" width="8.28515625" style="6" customWidth="1"/>
    <col min="516" max="516" width="11.85546875" style="6" customWidth="1"/>
    <col min="517" max="517" width="11.42578125" style="6" customWidth="1"/>
    <col min="518" max="518" width="9.140625" style="6"/>
    <col min="519" max="519" width="7.85546875" style="6" customWidth="1"/>
    <col min="520" max="757" width="9.140625" style="6"/>
    <col min="758" max="758" width="14.85546875" style="6" customWidth="1"/>
    <col min="759" max="759" width="15.85546875" style="6" customWidth="1"/>
    <col min="760" max="760" width="9.85546875" style="6" customWidth="1"/>
    <col min="761" max="761" width="6.85546875" style="6" customWidth="1"/>
    <col min="762" max="763" width="10.85546875" style="6" customWidth="1"/>
    <col min="764" max="764" width="5.7109375" style="6" customWidth="1"/>
    <col min="765" max="765" width="11.5703125" style="6" customWidth="1"/>
    <col min="766" max="766" width="9.140625" style="6"/>
    <col min="767" max="767" width="9.7109375" style="6" customWidth="1"/>
    <col min="768" max="768" width="8.5703125" style="6" customWidth="1"/>
    <col min="769" max="770" width="0" style="6" hidden="1" customWidth="1"/>
    <col min="771" max="771" width="8.28515625" style="6" customWidth="1"/>
    <col min="772" max="772" width="11.85546875" style="6" customWidth="1"/>
    <col min="773" max="773" width="11.42578125" style="6" customWidth="1"/>
    <col min="774" max="774" width="9.140625" style="6"/>
    <col min="775" max="775" width="7.85546875" style="6" customWidth="1"/>
    <col min="776" max="1013" width="9.140625" style="6"/>
    <col min="1014" max="1014" width="14.85546875" style="6" customWidth="1"/>
    <col min="1015" max="1015" width="15.85546875" style="6" customWidth="1"/>
    <col min="1016" max="1016" width="9.85546875" style="6" customWidth="1"/>
    <col min="1017" max="1017" width="6.85546875" style="6" customWidth="1"/>
    <col min="1018" max="1019" width="10.85546875" style="6" customWidth="1"/>
    <col min="1020" max="1020" width="5.7109375" style="6" customWidth="1"/>
    <col min="1021" max="1021" width="11.5703125" style="6" customWidth="1"/>
    <col min="1022" max="1022" width="9.140625" style="6"/>
    <col min="1023" max="1023" width="9.7109375" style="6" customWidth="1"/>
    <col min="1024" max="1024" width="8.5703125" style="6" customWidth="1"/>
    <col min="1025" max="1026" width="0" style="6" hidden="1" customWidth="1"/>
    <col min="1027" max="1027" width="8.28515625" style="6" customWidth="1"/>
    <col min="1028" max="1028" width="11.85546875" style="6" customWidth="1"/>
    <col min="1029" max="1029" width="11.42578125" style="6" customWidth="1"/>
    <col min="1030" max="1030" width="9.140625" style="6"/>
    <col min="1031" max="1031" width="7.85546875" style="6" customWidth="1"/>
    <col min="1032" max="1269" width="9.140625" style="6"/>
    <col min="1270" max="1270" width="14.85546875" style="6" customWidth="1"/>
    <col min="1271" max="1271" width="15.85546875" style="6" customWidth="1"/>
    <col min="1272" max="1272" width="9.85546875" style="6" customWidth="1"/>
    <col min="1273" max="1273" width="6.85546875" style="6" customWidth="1"/>
    <col min="1274" max="1275" width="10.85546875" style="6" customWidth="1"/>
    <col min="1276" max="1276" width="5.7109375" style="6" customWidth="1"/>
    <col min="1277" max="1277" width="11.5703125" style="6" customWidth="1"/>
    <col min="1278" max="1278" width="9.140625" style="6"/>
    <col min="1279" max="1279" width="9.7109375" style="6" customWidth="1"/>
    <col min="1280" max="1280" width="8.5703125" style="6" customWidth="1"/>
    <col min="1281" max="1282" width="0" style="6" hidden="1" customWidth="1"/>
    <col min="1283" max="1283" width="8.28515625" style="6" customWidth="1"/>
    <col min="1284" max="1284" width="11.85546875" style="6" customWidth="1"/>
    <col min="1285" max="1285" width="11.42578125" style="6" customWidth="1"/>
    <col min="1286" max="1286" width="9.140625" style="6"/>
    <col min="1287" max="1287" width="7.85546875" style="6" customWidth="1"/>
    <col min="1288" max="1525" width="9.140625" style="6"/>
    <col min="1526" max="1526" width="14.85546875" style="6" customWidth="1"/>
    <col min="1527" max="1527" width="15.85546875" style="6" customWidth="1"/>
    <col min="1528" max="1528" width="9.85546875" style="6" customWidth="1"/>
    <col min="1529" max="1529" width="6.85546875" style="6" customWidth="1"/>
    <col min="1530" max="1531" width="10.85546875" style="6" customWidth="1"/>
    <col min="1532" max="1532" width="5.7109375" style="6" customWidth="1"/>
    <col min="1533" max="1533" width="11.5703125" style="6" customWidth="1"/>
    <col min="1534" max="1534" width="9.140625" style="6"/>
    <col min="1535" max="1535" width="9.7109375" style="6" customWidth="1"/>
    <col min="1536" max="1536" width="8.5703125" style="6" customWidth="1"/>
    <col min="1537" max="1538" width="0" style="6" hidden="1" customWidth="1"/>
    <col min="1539" max="1539" width="8.28515625" style="6" customWidth="1"/>
    <col min="1540" max="1540" width="11.85546875" style="6" customWidth="1"/>
    <col min="1541" max="1541" width="11.42578125" style="6" customWidth="1"/>
    <col min="1542" max="1542" width="9.140625" style="6"/>
    <col min="1543" max="1543" width="7.85546875" style="6" customWidth="1"/>
    <col min="1544" max="1781" width="9.140625" style="6"/>
    <col min="1782" max="1782" width="14.85546875" style="6" customWidth="1"/>
    <col min="1783" max="1783" width="15.85546875" style="6" customWidth="1"/>
    <col min="1784" max="1784" width="9.85546875" style="6" customWidth="1"/>
    <col min="1785" max="1785" width="6.85546875" style="6" customWidth="1"/>
    <col min="1786" max="1787" width="10.85546875" style="6" customWidth="1"/>
    <col min="1788" max="1788" width="5.7109375" style="6" customWidth="1"/>
    <col min="1789" max="1789" width="11.5703125" style="6" customWidth="1"/>
    <col min="1790" max="1790" width="9.140625" style="6"/>
    <col min="1791" max="1791" width="9.7109375" style="6" customWidth="1"/>
    <col min="1792" max="1792" width="8.5703125" style="6" customWidth="1"/>
    <col min="1793" max="1794" width="0" style="6" hidden="1" customWidth="1"/>
    <col min="1795" max="1795" width="8.28515625" style="6" customWidth="1"/>
    <col min="1796" max="1796" width="11.85546875" style="6" customWidth="1"/>
    <col min="1797" max="1797" width="11.42578125" style="6" customWidth="1"/>
    <col min="1798" max="1798" width="9.140625" style="6"/>
    <col min="1799" max="1799" width="7.85546875" style="6" customWidth="1"/>
    <col min="1800" max="2037" width="9.140625" style="6"/>
    <col min="2038" max="2038" width="14.85546875" style="6" customWidth="1"/>
    <col min="2039" max="2039" width="15.85546875" style="6" customWidth="1"/>
    <col min="2040" max="2040" width="9.85546875" style="6" customWidth="1"/>
    <col min="2041" max="2041" width="6.85546875" style="6" customWidth="1"/>
    <col min="2042" max="2043" width="10.85546875" style="6" customWidth="1"/>
    <col min="2044" max="2044" width="5.7109375" style="6" customWidth="1"/>
    <col min="2045" max="2045" width="11.5703125" style="6" customWidth="1"/>
    <col min="2046" max="2046" width="9.140625" style="6"/>
    <col min="2047" max="2047" width="9.7109375" style="6" customWidth="1"/>
    <col min="2048" max="2048" width="8.5703125" style="6" customWidth="1"/>
    <col min="2049" max="2050" width="0" style="6" hidden="1" customWidth="1"/>
    <col min="2051" max="2051" width="8.28515625" style="6" customWidth="1"/>
    <col min="2052" max="2052" width="11.85546875" style="6" customWidth="1"/>
    <col min="2053" max="2053" width="11.42578125" style="6" customWidth="1"/>
    <col min="2054" max="2054" width="9.140625" style="6"/>
    <col min="2055" max="2055" width="7.85546875" style="6" customWidth="1"/>
    <col min="2056" max="2293" width="9.140625" style="6"/>
    <col min="2294" max="2294" width="14.85546875" style="6" customWidth="1"/>
    <col min="2295" max="2295" width="15.85546875" style="6" customWidth="1"/>
    <col min="2296" max="2296" width="9.85546875" style="6" customWidth="1"/>
    <col min="2297" max="2297" width="6.85546875" style="6" customWidth="1"/>
    <col min="2298" max="2299" width="10.85546875" style="6" customWidth="1"/>
    <col min="2300" max="2300" width="5.7109375" style="6" customWidth="1"/>
    <col min="2301" max="2301" width="11.5703125" style="6" customWidth="1"/>
    <col min="2302" max="2302" width="9.140625" style="6"/>
    <col min="2303" max="2303" width="9.7109375" style="6" customWidth="1"/>
    <col min="2304" max="2304" width="8.5703125" style="6" customWidth="1"/>
    <col min="2305" max="2306" width="0" style="6" hidden="1" customWidth="1"/>
    <col min="2307" max="2307" width="8.28515625" style="6" customWidth="1"/>
    <col min="2308" max="2308" width="11.85546875" style="6" customWidth="1"/>
    <col min="2309" max="2309" width="11.42578125" style="6" customWidth="1"/>
    <col min="2310" max="2310" width="9.140625" style="6"/>
    <col min="2311" max="2311" width="7.85546875" style="6" customWidth="1"/>
    <col min="2312" max="2549" width="9.140625" style="6"/>
    <col min="2550" max="2550" width="14.85546875" style="6" customWidth="1"/>
    <col min="2551" max="2551" width="15.85546875" style="6" customWidth="1"/>
    <col min="2552" max="2552" width="9.85546875" style="6" customWidth="1"/>
    <col min="2553" max="2553" width="6.85546875" style="6" customWidth="1"/>
    <col min="2554" max="2555" width="10.85546875" style="6" customWidth="1"/>
    <col min="2556" max="2556" width="5.7109375" style="6" customWidth="1"/>
    <col min="2557" max="2557" width="11.5703125" style="6" customWidth="1"/>
    <col min="2558" max="2558" width="9.140625" style="6"/>
    <col min="2559" max="2559" width="9.7109375" style="6" customWidth="1"/>
    <col min="2560" max="2560" width="8.5703125" style="6" customWidth="1"/>
    <col min="2561" max="2562" width="0" style="6" hidden="1" customWidth="1"/>
    <col min="2563" max="2563" width="8.28515625" style="6" customWidth="1"/>
    <col min="2564" max="2564" width="11.85546875" style="6" customWidth="1"/>
    <col min="2565" max="2565" width="11.42578125" style="6" customWidth="1"/>
    <col min="2566" max="2566" width="9.140625" style="6"/>
    <col min="2567" max="2567" width="7.85546875" style="6" customWidth="1"/>
    <col min="2568" max="2805" width="9.140625" style="6"/>
    <col min="2806" max="2806" width="14.85546875" style="6" customWidth="1"/>
    <col min="2807" max="2807" width="15.85546875" style="6" customWidth="1"/>
    <col min="2808" max="2808" width="9.85546875" style="6" customWidth="1"/>
    <col min="2809" max="2809" width="6.85546875" style="6" customWidth="1"/>
    <col min="2810" max="2811" width="10.85546875" style="6" customWidth="1"/>
    <col min="2812" max="2812" width="5.7109375" style="6" customWidth="1"/>
    <col min="2813" max="2813" width="11.5703125" style="6" customWidth="1"/>
    <col min="2814" max="2814" width="9.140625" style="6"/>
    <col min="2815" max="2815" width="9.7109375" style="6" customWidth="1"/>
    <col min="2816" max="2816" width="8.5703125" style="6" customWidth="1"/>
    <col min="2817" max="2818" width="0" style="6" hidden="1" customWidth="1"/>
    <col min="2819" max="2819" width="8.28515625" style="6" customWidth="1"/>
    <col min="2820" max="2820" width="11.85546875" style="6" customWidth="1"/>
    <col min="2821" max="2821" width="11.42578125" style="6" customWidth="1"/>
    <col min="2822" max="2822" width="9.140625" style="6"/>
    <col min="2823" max="2823" width="7.85546875" style="6" customWidth="1"/>
    <col min="2824" max="3061" width="9.140625" style="6"/>
    <col min="3062" max="3062" width="14.85546875" style="6" customWidth="1"/>
    <col min="3063" max="3063" width="15.85546875" style="6" customWidth="1"/>
    <col min="3064" max="3064" width="9.85546875" style="6" customWidth="1"/>
    <col min="3065" max="3065" width="6.85546875" style="6" customWidth="1"/>
    <col min="3066" max="3067" width="10.85546875" style="6" customWidth="1"/>
    <col min="3068" max="3068" width="5.7109375" style="6" customWidth="1"/>
    <col min="3069" max="3069" width="11.5703125" style="6" customWidth="1"/>
    <col min="3070" max="3070" width="9.140625" style="6"/>
    <col min="3071" max="3071" width="9.7109375" style="6" customWidth="1"/>
    <col min="3072" max="3072" width="8.5703125" style="6" customWidth="1"/>
    <col min="3073" max="3074" width="0" style="6" hidden="1" customWidth="1"/>
    <col min="3075" max="3075" width="8.28515625" style="6" customWidth="1"/>
    <col min="3076" max="3076" width="11.85546875" style="6" customWidth="1"/>
    <col min="3077" max="3077" width="11.42578125" style="6" customWidth="1"/>
    <col min="3078" max="3078" width="9.140625" style="6"/>
    <col min="3079" max="3079" width="7.85546875" style="6" customWidth="1"/>
    <col min="3080" max="3317" width="9.140625" style="6"/>
    <col min="3318" max="3318" width="14.85546875" style="6" customWidth="1"/>
    <col min="3319" max="3319" width="15.85546875" style="6" customWidth="1"/>
    <col min="3320" max="3320" width="9.85546875" style="6" customWidth="1"/>
    <col min="3321" max="3321" width="6.85546875" style="6" customWidth="1"/>
    <col min="3322" max="3323" width="10.85546875" style="6" customWidth="1"/>
    <col min="3324" max="3324" width="5.7109375" style="6" customWidth="1"/>
    <col min="3325" max="3325" width="11.5703125" style="6" customWidth="1"/>
    <col min="3326" max="3326" width="9.140625" style="6"/>
    <col min="3327" max="3327" width="9.7109375" style="6" customWidth="1"/>
    <col min="3328" max="3328" width="8.5703125" style="6" customWidth="1"/>
    <col min="3329" max="3330" width="0" style="6" hidden="1" customWidth="1"/>
    <col min="3331" max="3331" width="8.28515625" style="6" customWidth="1"/>
    <col min="3332" max="3332" width="11.85546875" style="6" customWidth="1"/>
    <col min="3333" max="3333" width="11.42578125" style="6" customWidth="1"/>
    <col min="3334" max="3334" width="9.140625" style="6"/>
    <col min="3335" max="3335" width="7.85546875" style="6" customWidth="1"/>
    <col min="3336" max="3573" width="9.140625" style="6"/>
    <col min="3574" max="3574" width="14.85546875" style="6" customWidth="1"/>
    <col min="3575" max="3575" width="15.85546875" style="6" customWidth="1"/>
    <col min="3576" max="3576" width="9.85546875" style="6" customWidth="1"/>
    <col min="3577" max="3577" width="6.85546875" style="6" customWidth="1"/>
    <col min="3578" max="3579" width="10.85546875" style="6" customWidth="1"/>
    <col min="3580" max="3580" width="5.7109375" style="6" customWidth="1"/>
    <col min="3581" max="3581" width="11.5703125" style="6" customWidth="1"/>
    <col min="3582" max="3582" width="9.140625" style="6"/>
    <col min="3583" max="3583" width="9.7109375" style="6" customWidth="1"/>
    <col min="3584" max="3584" width="8.5703125" style="6" customWidth="1"/>
    <col min="3585" max="3586" width="0" style="6" hidden="1" customWidth="1"/>
    <col min="3587" max="3587" width="8.28515625" style="6" customWidth="1"/>
    <col min="3588" max="3588" width="11.85546875" style="6" customWidth="1"/>
    <col min="3589" max="3589" width="11.42578125" style="6" customWidth="1"/>
    <col min="3590" max="3590" width="9.140625" style="6"/>
    <col min="3591" max="3591" width="7.85546875" style="6" customWidth="1"/>
    <col min="3592" max="3829" width="9.140625" style="6"/>
    <col min="3830" max="3830" width="14.85546875" style="6" customWidth="1"/>
    <col min="3831" max="3831" width="15.85546875" style="6" customWidth="1"/>
    <col min="3832" max="3832" width="9.85546875" style="6" customWidth="1"/>
    <col min="3833" max="3833" width="6.85546875" style="6" customWidth="1"/>
    <col min="3834" max="3835" width="10.85546875" style="6" customWidth="1"/>
    <col min="3836" max="3836" width="5.7109375" style="6" customWidth="1"/>
    <col min="3837" max="3837" width="11.5703125" style="6" customWidth="1"/>
    <col min="3838" max="3838" width="9.140625" style="6"/>
    <col min="3839" max="3839" width="9.7109375" style="6" customWidth="1"/>
    <col min="3840" max="3840" width="8.5703125" style="6" customWidth="1"/>
    <col min="3841" max="3842" width="0" style="6" hidden="1" customWidth="1"/>
    <col min="3843" max="3843" width="8.28515625" style="6" customWidth="1"/>
    <col min="3844" max="3844" width="11.85546875" style="6" customWidth="1"/>
    <col min="3845" max="3845" width="11.42578125" style="6" customWidth="1"/>
    <col min="3846" max="3846" width="9.140625" style="6"/>
    <col min="3847" max="3847" width="7.85546875" style="6" customWidth="1"/>
    <col min="3848" max="4085" width="9.140625" style="6"/>
    <col min="4086" max="4086" width="14.85546875" style="6" customWidth="1"/>
    <col min="4087" max="4087" width="15.85546875" style="6" customWidth="1"/>
    <col min="4088" max="4088" width="9.85546875" style="6" customWidth="1"/>
    <col min="4089" max="4089" width="6.85546875" style="6" customWidth="1"/>
    <col min="4090" max="4091" width="10.85546875" style="6" customWidth="1"/>
    <col min="4092" max="4092" width="5.7109375" style="6" customWidth="1"/>
    <col min="4093" max="4093" width="11.5703125" style="6" customWidth="1"/>
    <col min="4094" max="4094" width="9.140625" style="6"/>
    <col min="4095" max="4095" width="9.7109375" style="6" customWidth="1"/>
    <col min="4096" max="4096" width="8.5703125" style="6" customWidth="1"/>
    <col min="4097" max="4098" width="0" style="6" hidden="1" customWidth="1"/>
    <col min="4099" max="4099" width="8.28515625" style="6" customWidth="1"/>
    <col min="4100" max="4100" width="11.85546875" style="6" customWidth="1"/>
    <col min="4101" max="4101" width="11.42578125" style="6" customWidth="1"/>
    <col min="4102" max="4102" width="9.140625" style="6"/>
    <col min="4103" max="4103" width="7.85546875" style="6" customWidth="1"/>
    <col min="4104" max="4341" width="9.140625" style="6"/>
    <col min="4342" max="4342" width="14.85546875" style="6" customWidth="1"/>
    <col min="4343" max="4343" width="15.85546875" style="6" customWidth="1"/>
    <col min="4344" max="4344" width="9.85546875" style="6" customWidth="1"/>
    <col min="4345" max="4345" width="6.85546875" style="6" customWidth="1"/>
    <col min="4346" max="4347" width="10.85546875" style="6" customWidth="1"/>
    <col min="4348" max="4348" width="5.7109375" style="6" customWidth="1"/>
    <col min="4349" max="4349" width="11.5703125" style="6" customWidth="1"/>
    <col min="4350" max="4350" width="9.140625" style="6"/>
    <col min="4351" max="4351" width="9.7109375" style="6" customWidth="1"/>
    <col min="4352" max="4352" width="8.5703125" style="6" customWidth="1"/>
    <col min="4353" max="4354" width="0" style="6" hidden="1" customWidth="1"/>
    <col min="4355" max="4355" width="8.28515625" style="6" customWidth="1"/>
    <col min="4356" max="4356" width="11.85546875" style="6" customWidth="1"/>
    <col min="4357" max="4357" width="11.42578125" style="6" customWidth="1"/>
    <col min="4358" max="4358" width="9.140625" style="6"/>
    <col min="4359" max="4359" width="7.85546875" style="6" customWidth="1"/>
    <col min="4360" max="4597" width="9.140625" style="6"/>
    <col min="4598" max="4598" width="14.85546875" style="6" customWidth="1"/>
    <col min="4599" max="4599" width="15.85546875" style="6" customWidth="1"/>
    <col min="4600" max="4600" width="9.85546875" style="6" customWidth="1"/>
    <col min="4601" max="4601" width="6.85546875" style="6" customWidth="1"/>
    <col min="4602" max="4603" width="10.85546875" style="6" customWidth="1"/>
    <col min="4604" max="4604" width="5.7109375" style="6" customWidth="1"/>
    <col min="4605" max="4605" width="11.5703125" style="6" customWidth="1"/>
    <col min="4606" max="4606" width="9.140625" style="6"/>
    <col min="4607" max="4607" width="9.7109375" style="6" customWidth="1"/>
    <col min="4608" max="4608" width="8.5703125" style="6" customWidth="1"/>
    <col min="4609" max="4610" width="0" style="6" hidden="1" customWidth="1"/>
    <col min="4611" max="4611" width="8.28515625" style="6" customWidth="1"/>
    <col min="4612" max="4612" width="11.85546875" style="6" customWidth="1"/>
    <col min="4613" max="4613" width="11.42578125" style="6" customWidth="1"/>
    <col min="4614" max="4614" width="9.140625" style="6"/>
    <col min="4615" max="4615" width="7.85546875" style="6" customWidth="1"/>
    <col min="4616" max="4853" width="9.140625" style="6"/>
    <col min="4854" max="4854" width="14.85546875" style="6" customWidth="1"/>
    <col min="4855" max="4855" width="15.85546875" style="6" customWidth="1"/>
    <col min="4856" max="4856" width="9.85546875" style="6" customWidth="1"/>
    <col min="4857" max="4857" width="6.85546875" style="6" customWidth="1"/>
    <col min="4858" max="4859" width="10.85546875" style="6" customWidth="1"/>
    <col min="4860" max="4860" width="5.7109375" style="6" customWidth="1"/>
    <col min="4861" max="4861" width="11.5703125" style="6" customWidth="1"/>
    <col min="4862" max="4862" width="9.140625" style="6"/>
    <col min="4863" max="4863" width="9.7109375" style="6" customWidth="1"/>
    <col min="4864" max="4864" width="8.5703125" style="6" customWidth="1"/>
    <col min="4865" max="4866" width="0" style="6" hidden="1" customWidth="1"/>
    <col min="4867" max="4867" width="8.28515625" style="6" customWidth="1"/>
    <col min="4868" max="4868" width="11.85546875" style="6" customWidth="1"/>
    <col min="4869" max="4869" width="11.42578125" style="6" customWidth="1"/>
    <col min="4870" max="4870" width="9.140625" style="6"/>
    <col min="4871" max="4871" width="7.85546875" style="6" customWidth="1"/>
    <col min="4872" max="5109" width="9.140625" style="6"/>
    <col min="5110" max="5110" width="14.85546875" style="6" customWidth="1"/>
    <col min="5111" max="5111" width="15.85546875" style="6" customWidth="1"/>
    <col min="5112" max="5112" width="9.85546875" style="6" customWidth="1"/>
    <col min="5113" max="5113" width="6.85546875" style="6" customWidth="1"/>
    <col min="5114" max="5115" width="10.85546875" style="6" customWidth="1"/>
    <col min="5116" max="5116" width="5.7109375" style="6" customWidth="1"/>
    <col min="5117" max="5117" width="11.5703125" style="6" customWidth="1"/>
    <col min="5118" max="5118" width="9.140625" style="6"/>
    <col min="5119" max="5119" width="9.7109375" style="6" customWidth="1"/>
    <col min="5120" max="5120" width="8.5703125" style="6" customWidth="1"/>
    <col min="5121" max="5122" width="0" style="6" hidden="1" customWidth="1"/>
    <col min="5123" max="5123" width="8.28515625" style="6" customWidth="1"/>
    <col min="5124" max="5124" width="11.85546875" style="6" customWidth="1"/>
    <col min="5125" max="5125" width="11.42578125" style="6" customWidth="1"/>
    <col min="5126" max="5126" width="9.140625" style="6"/>
    <col min="5127" max="5127" width="7.85546875" style="6" customWidth="1"/>
    <col min="5128" max="5365" width="9.140625" style="6"/>
    <col min="5366" max="5366" width="14.85546875" style="6" customWidth="1"/>
    <col min="5367" max="5367" width="15.85546875" style="6" customWidth="1"/>
    <col min="5368" max="5368" width="9.85546875" style="6" customWidth="1"/>
    <col min="5369" max="5369" width="6.85546875" style="6" customWidth="1"/>
    <col min="5370" max="5371" width="10.85546875" style="6" customWidth="1"/>
    <col min="5372" max="5372" width="5.7109375" style="6" customWidth="1"/>
    <col min="5373" max="5373" width="11.5703125" style="6" customWidth="1"/>
    <col min="5374" max="5374" width="9.140625" style="6"/>
    <col min="5375" max="5375" width="9.7109375" style="6" customWidth="1"/>
    <col min="5376" max="5376" width="8.5703125" style="6" customWidth="1"/>
    <col min="5377" max="5378" width="0" style="6" hidden="1" customWidth="1"/>
    <col min="5379" max="5379" width="8.28515625" style="6" customWidth="1"/>
    <col min="5380" max="5380" width="11.85546875" style="6" customWidth="1"/>
    <col min="5381" max="5381" width="11.42578125" style="6" customWidth="1"/>
    <col min="5382" max="5382" width="9.140625" style="6"/>
    <col min="5383" max="5383" width="7.85546875" style="6" customWidth="1"/>
    <col min="5384" max="5621" width="9.140625" style="6"/>
    <col min="5622" max="5622" width="14.85546875" style="6" customWidth="1"/>
    <col min="5623" max="5623" width="15.85546875" style="6" customWidth="1"/>
    <col min="5624" max="5624" width="9.85546875" style="6" customWidth="1"/>
    <col min="5625" max="5625" width="6.85546875" style="6" customWidth="1"/>
    <col min="5626" max="5627" width="10.85546875" style="6" customWidth="1"/>
    <col min="5628" max="5628" width="5.7109375" style="6" customWidth="1"/>
    <col min="5629" max="5629" width="11.5703125" style="6" customWidth="1"/>
    <col min="5630" max="5630" width="9.140625" style="6"/>
    <col min="5631" max="5631" width="9.7109375" style="6" customWidth="1"/>
    <col min="5632" max="5632" width="8.5703125" style="6" customWidth="1"/>
    <col min="5633" max="5634" width="0" style="6" hidden="1" customWidth="1"/>
    <col min="5635" max="5635" width="8.28515625" style="6" customWidth="1"/>
    <col min="5636" max="5636" width="11.85546875" style="6" customWidth="1"/>
    <col min="5637" max="5637" width="11.42578125" style="6" customWidth="1"/>
    <col min="5638" max="5638" width="9.140625" style="6"/>
    <col min="5639" max="5639" width="7.85546875" style="6" customWidth="1"/>
    <col min="5640" max="5877" width="9.140625" style="6"/>
    <col min="5878" max="5878" width="14.85546875" style="6" customWidth="1"/>
    <col min="5879" max="5879" width="15.85546875" style="6" customWidth="1"/>
    <col min="5880" max="5880" width="9.85546875" style="6" customWidth="1"/>
    <col min="5881" max="5881" width="6.85546875" style="6" customWidth="1"/>
    <col min="5882" max="5883" width="10.85546875" style="6" customWidth="1"/>
    <col min="5884" max="5884" width="5.7109375" style="6" customWidth="1"/>
    <col min="5885" max="5885" width="11.5703125" style="6" customWidth="1"/>
    <col min="5886" max="5886" width="9.140625" style="6"/>
    <col min="5887" max="5887" width="9.7109375" style="6" customWidth="1"/>
    <col min="5888" max="5888" width="8.5703125" style="6" customWidth="1"/>
    <col min="5889" max="5890" width="0" style="6" hidden="1" customWidth="1"/>
    <col min="5891" max="5891" width="8.28515625" style="6" customWidth="1"/>
    <col min="5892" max="5892" width="11.85546875" style="6" customWidth="1"/>
    <col min="5893" max="5893" width="11.42578125" style="6" customWidth="1"/>
    <col min="5894" max="5894" width="9.140625" style="6"/>
    <col min="5895" max="5895" width="7.85546875" style="6" customWidth="1"/>
    <col min="5896" max="6133" width="9.140625" style="6"/>
    <col min="6134" max="6134" width="14.85546875" style="6" customWidth="1"/>
    <col min="6135" max="6135" width="15.85546875" style="6" customWidth="1"/>
    <col min="6136" max="6136" width="9.85546875" style="6" customWidth="1"/>
    <col min="6137" max="6137" width="6.85546875" style="6" customWidth="1"/>
    <col min="6138" max="6139" width="10.85546875" style="6" customWidth="1"/>
    <col min="6140" max="6140" width="5.7109375" style="6" customWidth="1"/>
    <col min="6141" max="6141" width="11.5703125" style="6" customWidth="1"/>
    <col min="6142" max="6142" width="9.140625" style="6"/>
    <col min="6143" max="6143" width="9.7109375" style="6" customWidth="1"/>
    <col min="6144" max="6144" width="8.5703125" style="6" customWidth="1"/>
    <col min="6145" max="6146" width="0" style="6" hidden="1" customWidth="1"/>
    <col min="6147" max="6147" width="8.28515625" style="6" customWidth="1"/>
    <col min="6148" max="6148" width="11.85546875" style="6" customWidth="1"/>
    <col min="6149" max="6149" width="11.42578125" style="6" customWidth="1"/>
    <col min="6150" max="6150" width="9.140625" style="6"/>
    <col min="6151" max="6151" width="7.85546875" style="6" customWidth="1"/>
    <col min="6152" max="6389" width="9.140625" style="6"/>
    <col min="6390" max="6390" width="14.85546875" style="6" customWidth="1"/>
    <col min="6391" max="6391" width="15.85546875" style="6" customWidth="1"/>
    <col min="6392" max="6392" width="9.85546875" style="6" customWidth="1"/>
    <col min="6393" max="6393" width="6.85546875" style="6" customWidth="1"/>
    <col min="6394" max="6395" width="10.85546875" style="6" customWidth="1"/>
    <col min="6396" max="6396" width="5.7109375" style="6" customWidth="1"/>
    <col min="6397" max="6397" width="11.5703125" style="6" customWidth="1"/>
    <col min="6398" max="6398" width="9.140625" style="6"/>
    <col min="6399" max="6399" width="9.7109375" style="6" customWidth="1"/>
    <col min="6400" max="6400" width="8.5703125" style="6" customWidth="1"/>
    <col min="6401" max="6402" width="0" style="6" hidden="1" customWidth="1"/>
    <col min="6403" max="6403" width="8.28515625" style="6" customWidth="1"/>
    <col min="6404" max="6404" width="11.85546875" style="6" customWidth="1"/>
    <col min="6405" max="6405" width="11.42578125" style="6" customWidth="1"/>
    <col min="6406" max="6406" width="9.140625" style="6"/>
    <col min="6407" max="6407" width="7.85546875" style="6" customWidth="1"/>
    <col min="6408" max="6645" width="9.140625" style="6"/>
    <col min="6646" max="6646" width="14.85546875" style="6" customWidth="1"/>
    <col min="6647" max="6647" width="15.85546875" style="6" customWidth="1"/>
    <col min="6648" max="6648" width="9.85546875" style="6" customWidth="1"/>
    <col min="6649" max="6649" width="6.85546875" style="6" customWidth="1"/>
    <col min="6650" max="6651" width="10.85546875" style="6" customWidth="1"/>
    <col min="6652" max="6652" width="5.7109375" style="6" customWidth="1"/>
    <col min="6653" max="6653" width="11.5703125" style="6" customWidth="1"/>
    <col min="6654" max="6654" width="9.140625" style="6"/>
    <col min="6655" max="6655" width="9.7109375" style="6" customWidth="1"/>
    <col min="6656" max="6656" width="8.5703125" style="6" customWidth="1"/>
    <col min="6657" max="6658" width="0" style="6" hidden="1" customWidth="1"/>
    <col min="6659" max="6659" width="8.28515625" style="6" customWidth="1"/>
    <col min="6660" max="6660" width="11.85546875" style="6" customWidth="1"/>
    <col min="6661" max="6661" width="11.42578125" style="6" customWidth="1"/>
    <col min="6662" max="6662" width="9.140625" style="6"/>
    <col min="6663" max="6663" width="7.85546875" style="6" customWidth="1"/>
    <col min="6664" max="6901" width="9.140625" style="6"/>
    <col min="6902" max="6902" width="14.85546875" style="6" customWidth="1"/>
    <col min="6903" max="6903" width="15.85546875" style="6" customWidth="1"/>
    <col min="6904" max="6904" width="9.85546875" style="6" customWidth="1"/>
    <col min="6905" max="6905" width="6.85546875" style="6" customWidth="1"/>
    <col min="6906" max="6907" width="10.85546875" style="6" customWidth="1"/>
    <col min="6908" max="6908" width="5.7109375" style="6" customWidth="1"/>
    <col min="6909" max="6909" width="11.5703125" style="6" customWidth="1"/>
    <col min="6910" max="6910" width="9.140625" style="6"/>
    <col min="6911" max="6911" width="9.7109375" style="6" customWidth="1"/>
    <col min="6912" max="6912" width="8.5703125" style="6" customWidth="1"/>
    <col min="6913" max="6914" width="0" style="6" hidden="1" customWidth="1"/>
    <col min="6915" max="6915" width="8.28515625" style="6" customWidth="1"/>
    <col min="6916" max="6916" width="11.85546875" style="6" customWidth="1"/>
    <col min="6917" max="6917" width="11.42578125" style="6" customWidth="1"/>
    <col min="6918" max="6918" width="9.140625" style="6"/>
    <col min="6919" max="6919" width="7.85546875" style="6" customWidth="1"/>
    <col min="6920" max="7157" width="9.140625" style="6"/>
    <col min="7158" max="7158" width="14.85546875" style="6" customWidth="1"/>
    <col min="7159" max="7159" width="15.85546875" style="6" customWidth="1"/>
    <col min="7160" max="7160" width="9.85546875" style="6" customWidth="1"/>
    <col min="7161" max="7161" width="6.85546875" style="6" customWidth="1"/>
    <col min="7162" max="7163" width="10.85546875" style="6" customWidth="1"/>
    <col min="7164" max="7164" width="5.7109375" style="6" customWidth="1"/>
    <col min="7165" max="7165" width="11.5703125" style="6" customWidth="1"/>
    <col min="7166" max="7166" width="9.140625" style="6"/>
    <col min="7167" max="7167" width="9.7109375" style="6" customWidth="1"/>
    <col min="7168" max="7168" width="8.5703125" style="6" customWidth="1"/>
    <col min="7169" max="7170" width="0" style="6" hidden="1" customWidth="1"/>
    <col min="7171" max="7171" width="8.28515625" style="6" customWidth="1"/>
    <col min="7172" max="7172" width="11.85546875" style="6" customWidth="1"/>
    <col min="7173" max="7173" width="11.42578125" style="6" customWidth="1"/>
    <col min="7174" max="7174" width="9.140625" style="6"/>
    <col min="7175" max="7175" width="7.85546875" style="6" customWidth="1"/>
    <col min="7176" max="7413" width="9.140625" style="6"/>
    <col min="7414" max="7414" width="14.85546875" style="6" customWidth="1"/>
    <col min="7415" max="7415" width="15.85546875" style="6" customWidth="1"/>
    <col min="7416" max="7416" width="9.85546875" style="6" customWidth="1"/>
    <col min="7417" max="7417" width="6.85546875" style="6" customWidth="1"/>
    <col min="7418" max="7419" width="10.85546875" style="6" customWidth="1"/>
    <col min="7420" max="7420" width="5.7109375" style="6" customWidth="1"/>
    <col min="7421" max="7421" width="11.5703125" style="6" customWidth="1"/>
    <col min="7422" max="7422" width="9.140625" style="6"/>
    <col min="7423" max="7423" width="9.7109375" style="6" customWidth="1"/>
    <col min="7424" max="7424" width="8.5703125" style="6" customWidth="1"/>
    <col min="7425" max="7426" width="0" style="6" hidden="1" customWidth="1"/>
    <col min="7427" max="7427" width="8.28515625" style="6" customWidth="1"/>
    <col min="7428" max="7428" width="11.85546875" style="6" customWidth="1"/>
    <col min="7429" max="7429" width="11.42578125" style="6" customWidth="1"/>
    <col min="7430" max="7430" width="9.140625" style="6"/>
    <col min="7431" max="7431" width="7.85546875" style="6" customWidth="1"/>
    <col min="7432" max="7669" width="9.140625" style="6"/>
    <col min="7670" max="7670" width="14.85546875" style="6" customWidth="1"/>
    <col min="7671" max="7671" width="15.85546875" style="6" customWidth="1"/>
    <col min="7672" max="7672" width="9.85546875" style="6" customWidth="1"/>
    <col min="7673" max="7673" width="6.85546875" style="6" customWidth="1"/>
    <col min="7674" max="7675" width="10.85546875" style="6" customWidth="1"/>
    <col min="7676" max="7676" width="5.7109375" style="6" customWidth="1"/>
    <col min="7677" max="7677" width="11.5703125" style="6" customWidth="1"/>
    <col min="7678" max="7678" width="9.140625" style="6"/>
    <col min="7679" max="7679" width="9.7109375" style="6" customWidth="1"/>
    <col min="7680" max="7680" width="8.5703125" style="6" customWidth="1"/>
    <col min="7681" max="7682" width="0" style="6" hidden="1" customWidth="1"/>
    <col min="7683" max="7683" width="8.28515625" style="6" customWidth="1"/>
    <col min="7684" max="7684" width="11.85546875" style="6" customWidth="1"/>
    <col min="7685" max="7685" width="11.42578125" style="6" customWidth="1"/>
    <col min="7686" max="7686" width="9.140625" style="6"/>
    <col min="7687" max="7687" width="7.85546875" style="6" customWidth="1"/>
    <col min="7688" max="7925" width="9.140625" style="6"/>
    <col min="7926" max="7926" width="14.85546875" style="6" customWidth="1"/>
    <col min="7927" max="7927" width="15.85546875" style="6" customWidth="1"/>
    <col min="7928" max="7928" width="9.85546875" style="6" customWidth="1"/>
    <col min="7929" max="7929" width="6.85546875" style="6" customWidth="1"/>
    <col min="7930" max="7931" width="10.85546875" style="6" customWidth="1"/>
    <col min="7932" max="7932" width="5.7109375" style="6" customWidth="1"/>
    <col min="7933" max="7933" width="11.5703125" style="6" customWidth="1"/>
    <col min="7934" max="7934" width="9.140625" style="6"/>
    <col min="7935" max="7935" width="9.7109375" style="6" customWidth="1"/>
    <col min="7936" max="7936" width="8.5703125" style="6" customWidth="1"/>
    <col min="7937" max="7938" width="0" style="6" hidden="1" customWidth="1"/>
    <col min="7939" max="7939" width="8.28515625" style="6" customWidth="1"/>
    <col min="7940" max="7940" width="11.85546875" style="6" customWidth="1"/>
    <col min="7941" max="7941" width="11.42578125" style="6" customWidth="1"/>
    <col min="7942" max="7942" width="9.140625" style="6"/>
    <col min="7943" max="7943" width="7.85546875" style="6" customWidth="1"/>
    <col min="7944" max="8181" width="9.140625" style="6"/>
    <col min="8182" max="8182" width="14.85546875" style="6" customWidth="1"/>
    <col min="8183" max="8183" width="15.85546875" style="6" customWidth="1"/>
    <col min="8184" max="8184" width="9.85546875" style="6" customWidth="1"/>
    <col min="8185" max="8185" width="6.85546875" style="6" customWidth="1"/>
    <col min="8186" max="8187" width="10.85546875" style="6" customWidth="1"/>
    <col min="8188" max="8188" width="5.7109375" style="6" customWidth="1"/>
    <col min="8189" max="8189" width="11.5703125" style="6" customWidth="1"/>
    <col min="8190" max="8190" width="9.140625" style="6"/>
    <col min="8191" max="8191" width="9.7109375" style="6" customWidth="1"/>
    <col min="8192" max="8192" width="8.5703125" style="6" customWidth="1"/>
    <col min="8193" max="8194" width="0" style="6" hidden="1" customWidth="1"/>
    <col min="8195" max="8195" width="8.28515625" style="6" customWidth="1"/>
    <col min="8196" max="8196" width="11.85546875" style="6" customWidth="1"/>
    <col min="8197" max="8197" width="11.42578125" style="6" customWidth="1"/>
    <col min="8198" max="8198" width="9.140625" style="6"/>
    <col min="8199" max="8199" width="7.85546875" style="6" customWidth="1"/>
    <col min="8200" max="8437" width="9.140625" style="6"/>
    <col min="8438" max="8438" width="14.85546875" style="6" customWidth="1"/>
    <col min="8439" max="8439" width="15.85546875" style="6" customWidth="1"/>
    <col min="8440" max="8440" width="9.85546875" style="6" customWidth="1"/>
    <col min="8441" max="8441" width="6.85546875" style="6" customWidth="1"/>
    <col min="8442" max="8443" width="10.85546875" style="6" customWidth="1"/>
    <col min="8444" max="8444" width="5.7109375" style="6" customWidth="1"/>
    <col min="8445" max="8445" width="11.5703125" style="6" customWidth="1"/>
    <col min="8446" max="8446" width="9.140625" style="6"/>
    <col min="8447" max="8447" width="9.7109375" style="6" customWidth="1"/>
    <col min="8448" max="8448" width="8.5703125" style="6" customWidth="1"/>
    <col min="8449" max="8450" width="0" style="6" hidden="1" customWidth="1"/>
    <col min="8451" max="8451" width="8.28515625" style="6" customWidth="1"/>
    <col min="8452" max="8452" width="11.85546875" style="6" customWidth="1"/>
    <col min="8453" max="8453" width="11.42578125" style="6" customWidth="1"/>
    <col min="8454" max="8454" width="9.140625" style="6"/>
    <col min="8455" max="8455" width="7.85546875" style="6" customWidth="1"/>
    <col min="8456" max="8693" width="9.140625" style="6"/>
    <col min="8694" max="8694" width="14.85546875" style="6" customWidth="1"/>
    <col min="8695" max="8695" width="15.85546875" style="6" customWidth="1"/>
    <col min="8696" max="8696" width="9.85546875" style="6" customWidth="1"/>
    <col min="8697" max="8697" width="6.85546875" style="6" customWidth="1"/>
    <col min="8698" max="8699" width="10.85546875" style="6" customWidth="1"/>
    <col min="8700" max="8700" width="5.7109375" style="6" customWidth="1"/>
    <col min="8701" max="8701" width="11.5703125" style="6" customWidth="1"/>
    <col min="8702" max="8702" width="9.140625" style="6"/>
    <col min="8703" max="8703" width="9.7109375" style="6" customWidth="1"/>
    <col min="8704" max="8704" width="8.5703125" style="6" customWidth="1"/>
    <col min="8705" max="8706" width="0" style="6" hidden="1" customWidth="1"/>
    <col min="8707" max="8707" width="8.28515625" style="6" customWidth="1"/>
    <col min="8708" max="8708" width="11.85546875" style="6" customWidth="1"/>
    <col min="8709" max="8709" width="11.42578125" style="6" customWidth="1"/>
    <col min="8710" max="8710" width="9.140625" style="6"/>
    <col min="8711" max="8711" width="7.85546875" style="6" customWidth="1"/>
    <col min="8712" max="8949" width="9.140625" style="6"/>
    <col min="8950" max="8950" width="14.85546875" style="6" customWidth="1"/>
    <col min="8951" max="8951" width="15.85546875" style="6" customWidth="1"/>
    <col min="8952" max="8952" width="9.85546875" style="6" customWidth="1"/>
    <col min="8953" max="8953" width="6.85546875" style="6" customWidth="1"/>
    <col min="8954" max="8955" width="10.85546875" style="6" customWidth="1"/>
    <col min="8956" max="8956" width="5.7109375" style="6" customWidth="1"/>
    <col min="8957" max="8957" width="11.5703125" style="6" customWidth="1"/>
    <col min="8958" max="8958" width="9.140625" style="6"/>
    <col min="8959" max="8959" width="9.7109375" style="6" customWidth="1"/>
    <col min="8960" max="8960" width="8.5703125" style="6" customWidth="1"/>
    <col min="8961" max="8962" width="0" style="6" hidden="1" customWidth="1"/>
    <col min="8963" max="8963" width="8.28515625" style="6" customWidth="1"/>
    <col min="8964" max="8964" width="11.85546875" style="6" customWidth="1"/>
    <col min="8965" max="8965" width="11.42578125" style="6" customWidth="1"/>
    <col min="8966" max="8966" width="9.140625" style="6"/>
    <col min="8967" max="8967" width="7.85546875" style="6" customWidth="1"/>
    <col min="8968" max="9205" width="9.140625" style="6"/>
    <col min="9206" max="9206" width="14.85546875" style="6" customWidth="1"/>
    <col min="9207" max="9207" width="15.85546875" style="6" customWidth="1"/>
    <col min="9208" max="9208" width="9.85546875" style="6" customWidth="1"/>
    <col min="9209" max="9209" width="6.85546875" style="6" customWidth="1"/>
    <col min="9210" max="9211" width="10.85546875" style="6" customWidth="1"/>
    <col min="9212" max="9212" width="5.7109375" style="6" customWidth="1"/>
    <col min="9213" max="9213" width="11.5703125" style="6" customWidth="1"/>
    <col min="9214" max="9214" width="9.140625" style="6"/>
    <col min="9215" max="9215" width="9.7109375" style="6" customWidth="1"/>
    <col min="9216" max="9216" width="8.5703125" style="6" customWidth="1"/>
    <col min="9217" max="9218" width="0" style="6" hidden="1" customWidth="1"/>
    <col min="9219" max="9219" width="8.28515625" style="6" customWidth="1"/>
    <col min="9220" max="9220" width="11.85546875" style="6" customWidth="1"/>
    <col min="9221" max="9221" width="11.42578125" style="6" customWidth="1"/>
    <col min="9222" max="9222" width="9.140625" style="6"/>
    <col min="9223" max="9223" width="7.85546875" style="6" customWidth="1"/>
    <col min="9224" max="9461" width="9.140625" style="6"/>
    <col min="9462" max="9462" width="14.85546875" style="6" customWidth="1"/>
    <col min="9463" max="9463" width="15.85546875" style="6" customWidth="1"/>
    <col min="9464" max="9464" width="9.85546875" style="6" customWidth="1"/>
    <col min="9465" max="9465" width="6.85546875" style="6" customWidth="1"/>
    <col min="9466" max="9467" width="10.85546875" style="6" customWidth="1"/>
    <col min="9468" max="9468" width="5.7109375" style="6" customWidth="1"/>
    <col min="9469" max="9469" width="11.5703125" style="6" customWidth="1"/>
    <col min="9470" max="9470" width="9.140625" style="6"/>
    <col min="9471" max="9471" width="9.7109375" style="6" customWidth="1"/>
    <col min="9472" max="9472" width="8.5703125" style="6" customWidth="1"/>
    <col min="9473" max="9474" width="0" style="6" hidden="1" customWidth="1"/>
    <col min="9475" max="9475" width="8.28515625" style="6" customWidth="1"/>
    <col min="9476" max="9476" width="11.85546875" style="6" customWidth="1"/>
    <col min="9477" max="9477" width="11.42578125" style="6" customWidth="1"/>
    <col min="9478" max="9478" width="9.140625" style="6"/>
    <col min="9479" max="9479" width="7.85546875" style="6" customWidth="1"/>
    <col min="9480" max="9717" width="9.140625" style="6"/>
    <col min="9718" max="9718" width="14.85546875" style="6" customWidth="1"/>
    <col min="9719" max="9719" width="15.85546875" style="6" customWidth="1"/>
    <col min="9720" max="9720" width="9.85546875" style="6" customWidth="1"/>
    <col min="9721" max="9721" width="6.85546875" style="6" customWidth="1"/>
    <col min="9722" max="9723" width="10.85546875" style="6" customWidth="1"/>
    <col min="9724" max="9724" width="5.7109375" style="6" customWidth="1"/>
    <col min="9725" max="9725" width="11.5703125" style="6" customWidth="1"/>
    <col min="9726" max="9726" width="9.140625" style="6"/>
    <col min="9727" max="9727" width="9.7109375" style="6" customWidth="1"/>
    <col min="9728" max="9728" width="8.5703125" style="6" customWidth="1"/>
    <col min="9729" max="9730" width="0" style="6" hidden="1" customWidth="1"/>
    <col min="9731" max="9731" width="8.28515625" style="6" customWidth="1"/>
    <col min="9732" max="9732" width="11.85546875" style="6" customWidth="1"/>
    <col min="9733" max="9733" width="11.42578125" style="6" customWidth="1"/>
    <col min="9734" max="9734" width="9.140625" style="6"/>
    <col min="9735" max="9735" width="7.85546875" style="6" customWidth="1"/>
    <col min="9736" max="9973" width="9.140625" style="6"/>
    <col min="9974" max="9974" width="14.85546875" style="6" customWidth="1"/>
    <col min="9975" max="9975" width="15.85546875" style="6" customWidth="1"/>
    <col min="9976" max="9976" width="9.85546875" style="6" customWidth="1"/>
    <col min="9977" max="9977" width="6.85546875" style="6" customWidth="1"/>
    <col min="9978" max="9979" width="10.85546875" style="6" customWidth="1"/>
    <col min="9980" max="9980" width="5.7109375" style="6" customWidth="1"/>
    <col min="9981" max="9981" width="11.5703125" style="6" customWidth="1"/>
    <col min="9982" max="9982" width="9.140625" style="6"/>
    <col min="9983" max="9983" width="9.7109375" style="6" customWidth="1"/>
    <col min="9984" max="9984" width="8.5703125" style="6" customWidth="1"/>
    <col min="9985" max="9986" width="0" style="6" hidden="1" customWidth="1"/>
    <col min="9987" max="9987" width="8.28515625" style="6" customWidth="1"/>
    <col min="9988" max="9988" width="11.85546875" style="6" customWidth="1"/>
    <col min="9989" max="9989" width="11.42578125" style="6" customWidth="1"/>
    <col min="9990" max="9990" width="9.140625" style="6"/>
    <col min="9991" max="9991" width="7.85546875" style="6" customWidth="1"/>
    <col min="9992" max="10229" width="9.140625" style="6"/>
    <col min="10230" max="10230" width="14.85546875" style="6" customWidth="1"/>
    <col min="10231" max="10231" width="15.85546875" style="6" customWidth="1"/>
    <col min="10232" max="10232" width="9.85546875" style="6" customWidth="1"/>
    <col min="10233" max="10233" width="6.85546875" style="6" customWidth="1"/>
    <col min="10234" max="10235" width="10.85546875" style="6" customWidth="1"/>
    <col min="10236" max="10236" width="5.7109375" style="6" customWidth="1"/>
    <col min="10237" max="10237" width="11.5703125" style="6" customWidth="1"/>
    <col min="10238" max="10238" width="9.140625" style="6"/>
    <col min="10239" max="10239" width="9.7109375" style="6" customWidth="1"/>
    <col min="10240" max="10240" width="8.5703125" style="6" customWidth="1"/>
    <col min="10241" max="10242" width="0" style="6" hidden="1" customWidth="1"/>
    <col min="10243" max="10243" width="8.28515625" style="6" customWidth="1"/>
    <col min="10244" max="10244" width="11.85546875" style="6" customWidth="1"/>
    <col min="10245" max="10245" width="11.42578125" style="6" customWidth="1"/>
    <col min="10246" max="10246" width="9.140625" style="6"/>
    <col min="10247" max="10247" width="7.85546875" style="6" customWidth="1"/>
    <col min="10248" max="10485" width="9.140625" style="6"/>
    <col min="10486" max="10486" width="14.85546875" style="6" customWidth="1"/>
    <col min="10487" max="10487" width="15.85546875" style="6" customWidth="1"/>
    <col min="10488" max="10488" width="9.85546875" style="6" customWidth="1"/>
    <col min="10489" max="10489" width="6.85546875" style="6" customWidth="1"/>
    <col min="10490" max="10491" width="10.85546875" style="6" customWidth="1"/>
    <col min="10492" max="10492" width="5.7109375" style="6" customWidth="1"/>
    <col min="10493" max="10493" width="11.5703125" style="6" customWidth="1"/>
    <col min="10494" max="10494" width="9.140625" style="6"/>
    <col min="10495" max="10495" width="9.7109375" style="6" customWidth="1"/>
    <col min="10496" max="10496" width="8.5703125" style="6" customWidth="1"/>
    <col min="10497" max="10498" width="0" style="6" hidden="1" customWidth="1"/>
    <col min="10499" max="10499" width="8.28515625" style="6" customWidth="1"/>
    <col min="10500" max="10500" width="11.85546875" style="6" customWidth="1"/>
    <col min="10501" max="10501" width="11.42578125" style="6" customWidth="1"/>
    <col min="10502" max="10502" width="9.140625" style="6"/>
    <col min="10503" max="10503" width="7.85546875" style="6" customWidth="1"/>
    <col min="10504" max="10741" width="9.140625" style="6"/>
    <col min="10742" max="10742" width="14.85546875" style="6" customWidth="1"/>
    <col min="10743" max="10743" width="15.85546875" style="6" customWidth="1"/>
    <col min="10744" max="10744" width="9.85546875" style="6" customWidth="1"/>
    <col min="10745" max="10745" width="6.85546875" style="6" customWidth="1"/>
    <col min="10746" max="10747" width="10.85546875" style="6" customWidth="1"/>
    <col min="10748" max="10748" width="5.7109375" style="6" customWidth="1"/>
    <col min="10749" max="10749" width="11.5703125" style="6" customWidth="1"/>
    <col min="10750" max="10750" width="9.140625" style="6"/>
    <col min="10751" max="10751" width="9.7109375" style="6" customWidth="1"/>
    <col min="10752" max="10752" width="8.5703125" style="6" customWidth="1"/>
    <col min="10753" max="10754" width="0" style="6" hidden="1" customWidth="1"/>
    <col min="10755" max="10755" width="8.28515625" style="6" customWidth="1"/>
    <col min="10756" max="10756" width="11.85546875" style="6" customWidth="1"/>
    <col min="10757" max="10757" width="11.42578125" style="6" customWidth="1"/>
    <col min="10758" max="10758" width="9.140625" style="6"/>
    <col min="10759" max="10759" width="7.85546875" style="6" customWidth="1"/>
    <col min="10760" max="10997" width="9.140625" style="6"/>
    <col min="10998" max="10998" width="14.85546875" style="6" customWidth="1"/>
    <col min="10999" max="10999" width="15.85546875" style="6" customWidth="1"/>
    <col min="11000" max="11000" width="9.85546875" style="6" customWidth="1"/>
    <col min="11001" max="11001" width="6.85546875" style="6" customWidth="1"/>
    <col min="11002" max="11003" width="10.85546875" style="6" customWidth="1"/>
    <col min="11004" max="11004" width="5.7109375" style="6" customWidth="1"/>
    <col min="11005" max="11005" width="11.5703125" style="6" customWidth="1"/>
    <col min="11006" max="11006" width="9.140625" style="6"/>
    <col min="11007" max="11007" width="9.7109375" style="6" customWidth="1"/>
    <col min="11008" max="11008" width="8.5703125" style="6" customWidth="1"/>
    <col min="11009" max="11010" width="0" style="6" hidden="1" customWidth="1"/>
    <col min="11011" max="11011" width="8.28515625" style="6" customWidth="1"/>
    <col min="11012" max="11012" width="11.85546875" style="6" customWidth="1"/>
    <col min="11013" max="11013" width="11.42578125" style="6" customWidth="1"/>
    <col min="11014" max="11014" width="9.140625" style="6"/>
    <col min="11015" max="11015" width="7.85546875" style="6" customWidth="1"/>
    <col min="11016" max="11253" width="9.140625" style="6"/>
    <col min="11254" max="11254" width="14.85546875" style="6" customWidth="1"/>
    <col min="11255" max="11255" width="15.85546875" style="6" customWidth="1"/>
    <col min="11256" max="11256" width="9.85546875" style="6" customWidth="1"/>
    <col min="11257" max="11257" width="6.85546875" style="6" customWidth="1"/>
    <col min="11258" max="11259" width="10.85546875" style="6" customWidth="1"/>
    <col min="11260" max="11260" width="5.7109375" style="6" customWidth="1"/>
    <col min="11261" max="11261" width="11.5703125" style="6" customWidth="1"/>
    <col min="11262" max="11262" width="9.140625" style="6"/>
    <col min="11263" max="11263" width="9.7109375" style="6" customWidth="1"/>
    <col min="11264" max="11264" width="8.5703125" style="6" customWidth="1"/>
    <col min="11265" max="11266" width="0" style="6" hidden="1" customWidth="1"/>
    <col min="11267" max="11267" width="8.28515625" style="6" customWidth="1"/>
    <col min="11268" max="11268" width="11.85546875" style="6" customWidth="1"/>
    <col min="11269" max="11269" width="11.42578125" style="6" customWidth="1"/>
    <col min="11270" max="11270" width="9.140625" style="6"/>
    <col min="11271" max="11271" width="7.85546875" style="6" customWidth="1"/>
    <col min="11272" max="11509" width="9.140625" style="6"/>
    <col min="11510" max="11510" width="14.85546875" style="6" customWidth="1"/>
    <col min="11511" max="11511" width="15.85546875" style="6" customWidth="1"/>
    <col min="11512" max="11512" width="9.85546875" style="6" customWidth="1"/>
    <col min="11513" max="11513" width="6.85546875" style="6" customWidth="1"/>
    <col min="11514" max="11515" width="10.85546875" style="6" customWidth="1"/>
    <col min="11516" max="11516" width="5.7109375" style="6" customWidth="1"/>
    <col min="11517" max="11517" width="11.5703125" style="6" customWidth="1"/>
    <col min="11518" max="11518" width="9.140625" style="6"/>
    <col min="11519" max="11519" width="9.7109375" style="6" customWidth="1"/>
    <col min="11520" max="11520" width="8.5703125" style="6" customWidth="1"/>
    <col min="11521" max="11522" width="0" style="6" hidden="1" customWidth="1"/>
    <col min="11523" max="11523" width="8.28515625" style="6" customWidth="1"/>
    <col min="11524" max="11524" width="11.85546875" style="6" customWidth="1"/>
    <col min="11525" max="11525" width="11.42578125" style="6" customWidth="1"/>
    <col min="11526" max="11526" width="9.140625" style="6"/>
    <col min="11527" max="11527" width="7.85546875" style="6" customWidth="1"/>
    <col min="11528" max="11765" width="9.140625" style="6"/>
    <col min="11766" max="11766" width="14.85546875" style="6" customWidth="1"/>
    <col min="11767" max="11767" width="15.85546875" style="6" customWidth="1"/>
    <col min="11768" max="11768" width="9.85546875" style="6" customWidth="1"/>
    <col min="11769" max="11769" width="6.85546875" style="6" customWidth="1"/>
    <col min="11770" max="11771" width="10.85546875" style="6" customWidth="1"/>
    <col min="11772" max="11772" width="5.7109375" style="6" customWidth="1"/>
    <col min="11773" max="11773" width="11.5703125" style="6" customWidth="1"/>
    <col min="11774" max="11774" width="9.140625" style="6"/>
    <col min="11775" max="11775" width="9.7109375" style="6" customWidth="1"/>
    <col min="11776" max="11776" width="8.5703125" style="6" customWidth="1"/>
    <col min="11777" max="11778" width="0" style="6" hidden="1" customWidth="1"/>
    <col min="11779" max="11779" width="8.28515625" style="6" customWidth="1"/>
    <col min="11780" max="11780" width="11.85546875" style="6" customWidth="1"/>
    <col min="11781" max="11781" width="11.42578125" style="6" customWidth="1"/>
    <col min="11782" max="11782" width="9.140625" style="6"/>
    <col min="11783" max="11783" width="7.85546875" style="6" customWidth="1"/>
    <col min="11784" max="12021" width="9.140625" style="6"/>
    <col min="12022" max="12022" width="14.85546875" style="6" customWidth="1"/>
    <col min="12023" max="12023" width="15.85546875" style="6" customWidth="1"/>
    <col min="12024" max="12024" width="9.85546875" style="6" customWidth="1"/>
    <col min="12025" max="12025" width="6.85546875" style="6" customWidth="1"/>
    <col min="12026" max="12027" width="10.85546875" style="6" customWidth="1"/>
    <col min="12028" max="12028" width="5.7109375" style="6" customWidth="1"/>
    <col min="12029" max="12029" width="11.5703125" style="6" customWidth="1"/>
    <col min="12030" max="12030" width="9.140625" style="6"/>
    <col min="12031" max="12031" width="9.7109375" style="6" customWidth="1"/>
    <col min="12032" max="12032" width="8.5703125" style="6" customWidth="1"/>
    <col min="12033" max="12034" width="0" style="6" hidden="1" customWidth="1"/>
    <col min="12035" max="12035" width="8.28515625" style="6" customWidth="1"/>
    <col min="12036" max="12036" width="11.85546875" style="6" customWidth="1"/>
    <col min="12037" max="12037" width="11.42578125" style="6" customWidth="1"/>
    <col min="12038" max="12038" width="9.140625" style="6"/>
    <col min="12039" max="12039" width="7.85546875" style="6" customWidth="1"/>
    <col min="12040" max="12277" width="9.140625" style="6"/>
    <col min="12278" max="12278" width="14.85546875" style="6" customWidth="1"/>
    <col min="12279" max="12279" width="15.85546875" style="6" customWidth="1"/>
    <col min="12280" max="12280" width="9.85546875" style="6" customWidth="1"/>
    <col min="12281" max="12281" width="6.85546875" style="6" customWidth="1"/>
    <col min="12282" max="12283" width="10.85546875" style="6" customWidth="1"/>
    <col min="12284" max="12284" width="5.7109375" style="6" customWidth="1"/>
    <col min="12285" max="12285" width="11.5703125" style="6" customWidth="1"/>
    <col min="12286" max="12286" width="9.140625" style="6"/>
    <col min="12287" max="12287" width="9.7109375" style="6" customWidth="1"/>
    <col min="12288" max="12288" width="8.5703125" style="6" customWidth="1"/>
    <col min="12289" max="12290" width="0" style="6" hidden="1" customWidth="1"/>
    <col min="12291" max="12291" width="8.28515625" style="6" customWidth="1"/>
    <col min="12292" max="12292" width="11.85546875" style="6" customWidth="1"/>
    <col min="12293" max="12293" width="11.42578125" style="6" customWidth="1"/>
    <col min="12294" max="12294" width="9.140625" style="6"/>
    <col min="12295" max="12295" width="7.85546875" style="6" customWidth="1"/>
    <col min="12296" max="12533" width="9.140625" style="6"/>
    <col min="12534" max="12534" width="14.85546875" style="6" customWidth="1"/>
    <col min="12535" max="12535" width="15.85546875" style="6" customWidth="1"/>
    <col min="12536" max="12536" width="9.85546875" style="6" customWidth="1"/>
    <col min="12537" max="12537" width="6.85546875" style="6" customWidth="1"/>
    <col min="12538" max="12539" width="10.85546875" style="6" customWidth="1"/>
    <col min="12540" max="12540" width="5.7109375" style="6" customWidth="1"/>
    <col min="12541" max="12541" width="11.5703125" style="6" customWidth="1"/>
    <col min="12542" max="12542" width="9.140625" style="6"/>
    <col min="12543" max="12543" width="9.7109375" style="6" customWidth="1"/>
    <col min="12544" max="12544" width="8.5703125" style="6" customWidth="1"/>
    <col min="12545" max="12546" width="0" style="6" hidden="1" customWidth="1"/>
    <col min="12547" max="12547" width="8.28515625" style="6" customWidth="1"/>
    <col min="12548" max="12548" width="11.85546875" style="6" customWidth="1"/>
    <col min="12549" max="12549" width="11.42578125" style="6" customWidth="1"/>
    <col min="12550" max="12550" width="9.140625" style="6"/>
    <col min="12551" max="12551" width="7.85546875" style="6" customWidth="1"/>
    <col min="12552" max="12789" width="9.140625" style="6"/>
    <col min="12790" max="12790" width="14.85546875" style="6" customWidth="1"/>
    <col min="12791" max="12791" width="15.85546875" style="6" customWidth="1"/>
    <col min="12792" max="12792" width="9.85546875" style="6" customWidth="1"/>
    <col min="12793" max="12793" width="6.85546875" style="6" customWidth="1"/>
    <col min="12794" max="12795" width="10.85546875" style="6" customWidth="1"/>
    <col min="12796" max="12796" width="5.7109375" style="6" customWidth="1"/>
    <col min="12797" max="12797" width="11.5703125" style="6" customWidth="1"/>
    <col min="12798" max="12798" width="9.140625" style="6"/>
    <col min="12799" max="12799" width="9.7109375" style="6" customWidth="1"/>
    <col min="12800" max="12800" width="8.5703125" style="6" customWidth="1"/>
    <col min="12801" max="12802" width="0" style="6" hidden="1" customWidth="1"/>
    <col min="12803" max="12803" width="8.28515625" style="6" customWidth="1"/>
    <col min="12804" max="12804" width="11.85546875" style="6" customWidth="1"/>
    <col min="12805" max="12805" width="11.42578125" style="6" customWidth="1"/>
    <col min="12806" max="12806" width="9.140625" style="6"/>
    <col min="12807" max="12807" width="7.85546875" style="6" customWidth="1"/>
    <col min="12808" max="13045" width="9.140625" style="6"/>
    <col min="13046" max="13046" width="14.85546875" style="6" customWidth="1"/>
    <col min="13047" max="13047" width="15.85546875" style="6" customWidth="1"/>
    <col min="13048" max="13048" width="9.85546875" style="6" customWidth="1"/>
    <col min="13049" max="13049" width="6.85546875" style="6" customWidth="1"/>
    <col min="13050" max="13051" width="10.85546875" style="6" customWidth="1"/>
    <col min="13052" max="13052" width="5.7109375" style="6" customWidth="1"/>
    <col min="13053" max="13053" width="11.5703125" style="6" customWidth="1"/>
    <col min="13054" max="13054" width="9.140625" style="6"/>
    <col min="13055" max="13055" width="9.7109375" style="6" customWidth="1"/>
    <col min="13056" max="13056" width="8.5703125" style="6" customWidth="1"/>
    <col min="13057" max="13058" width="0" style="6" hidden="1" customWidth="1"/>
    <col min="13059" max="13059" width="8.28515625" style="6" customWidth="1"/>
    <col min="13060" max="13060" width="11.85546875" style="6" customWidth="1"/>
    <col min="13061" max="13061" width="11.42578125" style="6" customWidth="1"/>
    <col min="13062" max="13062" width="9.140625" style="6"/>
    <col min="13063" max="13063" width="7.85546875" style="6" customWidth="1"/>
    <col min="13064" max="13301" width="9.140625" style="6"/>
    <col min="13302" max="13302" width="14.85546875" style="6" customWidth="1"/>
    <col min="13303" max="13303" width="15.85546875" style="6" customWidth="1"/>
    <col min="13304" max="13304" width="9.85546875" style="6" customWidth="1"/>
    <col min="13305" max="13305" width="6.85546875" style="6" customWidth="1"/>
    <col min="13306" max="13307" width="10.85546875" style="6" customWidth="1"/>
    <col min="13308" max="13308" width="5.7109375" style="6" customWidth="1"/>
    <col min="13309" max="13309" width="11.5703125" style="6" customWidth="1"/>
    <col min="13310" max="13310" width="9.140625" style="6"/>
    <col min="13311" max="13311" width="9.7109375" style="6" customWidth="1"/>
    <col min="13312" max="13312" width="8.5703125" style="6" customWidth="1"/>
    <col min="13313" max="13314" width="0" style="6" hidden="1" customWidth="1"/>
    <col min="13315" max="13315" width="8.28515625" style="6" customWidth="1"/>
    <col min="13316" max="13316" width="11.85546875" style="6" customWidth="1"/>
    <col min="13317" max="13317" width="11.42578125" style="6" customWidth="1"/>
    <col min="13318" max="13318" width="9.140625" style="6"/>
    <col min="13319" max="13319" width="7.85546875" style="6" customWidth="1"/>
    <col min="13320" max="13557" width="9.140625" style="6"/>
    <col min="13558" max="13558" width="14.85546875" style="6" customWidth="1"/>
    <col min="13559" max="13559" width="15.85546875" style="6" customWidth="1"/>
    <col min="13560" max="13560" width="9.85546875" style="6" customWidth="1"/>
    <col min="13561" max="13561" width="6.85546875" style="6" customWidth="1"/>
    <col min="13562" max="13563" width="10.85546875" style="6" customWidth="1"/>
    <col min="13564" max="13564" width="5.7109375" style="6" customWidth="1"/>
    <col min="13565" max="13565" width="11.5703125" style="6" customWidth="1"/>
    <col min="13566" max="13566" width="9.140625" style="6"/>
    <col min="13567" max="13567" width="9.7109375" style="6" customWidth="1"/>
    <col min="13568" max="13568" width="8.5703125" style="6" customWidth="1"/>
    <col min="13569" max="13570" width="0" style="6" hidden="1" customWidth="1"/>
    <col min="13571" max="13571" width="8.28515625" style="6" customWidth="1"/>
    <col min="13572" max="13572" width="11.85546875" style="6" customWidth="1"/>
    <col min="13573" max="13573" width="11.42578125" style="6" customWidth="1"/>
    <col min="13574" max="13574" width="9.140625" style="6"/>
    <col min="13575" max="13575" width="7.85546875" style="6" customWidth="1"/>
    <col min="13576" max="13813" width="9.140625" style="6"/>
    <col min="13814" max="13814" width="14.85546875" style="6" customWidth="1"/>
    <col min="13815" max="13815" width="15.85546875" style="6" customWidth="1"/>
    <col min="13816" max="13816" width="9.85546875" style="6" customWidth="1"/>
    <col min="13817" max="13817" width="6.85546875" style="6" customWidth="1"/>
    <col min="13818" max="13819" width="10.85546875" style="6" customWidth="1"/>
    <col min="13820" max="13820" width="5.7109375" style="6" customWidth="1"/>
    <col min="13821" max="13821" width="11.5703125" style="6" customWidth="1"/>
    <col min="13822" max="13822" width="9.140625" style="6"/>
    <col min="13823" max="13823" width="9.7109375" style="6" customWidth="1"/>
    <col min="13824" max="13824" width="8.5703125" style="6" customWidth="1"/>
    <col min="13825" max="13826" width="0" style="6" hidden="1" customWidth="1"/>
    <col min="13827" max="13827" width="8.28515625" style="6" customWidth="1"/>
    <col min="13828" max="13828" width="11.85546875" style="6" customWidth="1"/>
    <col min="13829" max="13829" width="11.42578125" style="6" customWidth="1"/>
    <col min="13830" max="13830" width="9.140625" style="6"/>
    <col min="13831" max="13831" width="7.85546875" style="6" customWidth="1"/>
    <col min="13832" max="14069" width="9.140625" style="6"/>
    <col min="14070" max="14070" width="14.85546875" style="6" customWidth="1"/>
    <col min="14071" max="14071" width="15.85546875" style="6" customWidth="1"/>
    <col min="14072" max="14072" width="9.85546875" style="6" customWidth="1"/>
    <col min="14073" max="14073" width="6.85546875" style="6" customWidth="1"/>
    <col min="14074" max="14075" width="10.85546875" style="6" customWidth="1"/>
    <col min="14076" max="14076" width="5.7109375" style="6" customWidth="1"/>
    <col min="14077" max="14077" width="11.5703125" style="6" customWidth="1"/>
    <col min="14078" max="14078" width="9.140625" style="6"/>
    <col min="14079" max="14079" width="9.7109375" style="6" customWidth="1"/>
    <col min="14080" max="14080" width="8.5703125" style="6" customWidth="1"/>
    <col min="14081" max="14082" width="0" style="6" hidden="1" customWidth="1"/>
    <col min="14083" max="14083" width="8.28515625" style="6" customWidth="1"/>
    <col min="14084" max="14084" width="11.85546875" style="6" customWidth="1"/>
    <col min="14085" max="14085" width="11.42578125" style="6" customWidth="1"/>
    <col min="14086" max="14086" width="9.140625" style="6"/>
    <col min="14087" max="14087" width="7.85546875" style="6" customWidth="1"/>
    <col min="14088" max="14325" width="9.140625" style="6"/>
    <col min="14326" max="14326" width="14.85546875" style="6" customWidth="1"/>
    <col min="14327" max="14327" width="15.85546875" style="6" customWidth="1"/>
    <col min="14328" max="14328" width="9.85546875" style="6" customWidth="1"/>
    <col min="14329" max="14329" width="6.85546875" style="6" customWidth="1"/>
    <col min="14330" max="14331" width="10.85546875" style="6" customWidth="1"/>
    <col min="14332" max="14332" width="5.7109375" style="6" customWidth="1"/>
    <col min="14333" max="14333" width="11.5703125" style="6" customWidth="1"/>
    <col min="14334" max="14334" width="9.140625" style="6"/>
    <col min="14335" max="14335" width="9.7109375" style="6" customWidth="1"/>
    <col min="14336" max="14336" width="8.5703125" style="6" customWidth="1"/>
    <col min="14337" max="14338" width="0" style="6" hidden="1" customWidth="1"/>
    <col min="14339" max="14339" width="8.28515625" style="6" customWidth="1"/>
    <col min="14340" max="14340" width="11.85546875" style="6" customWidth="1"/>
    <col min="14341" max="14341" width="11.42578125" style="6" customWidth="1"/>
    <col min="14342" max="14342" width="9.140625" style="6"/>
    <col min="14343" max="14343" width="7.85546875" style="6" customWidth="1"/>
    <col min="14344" max="14581" width="9.140625" style="6"/>
    <col min="14582" max="14582" width="14.85546875" style="6" customWidth="1"/>
    <col min="14583" max="14583" width="15.85546875" style="6" customWidth="1"/>
    <col min="14584" max="14584" width="9.85546875" style="6" customWidth="1"/>
    <col min="14585" max="14585" width="6.85546875" style="6" customWidth="1"/>
    <col min="14586" max="14587" width="10.85546875" style="6" customWidth="1"/>
    <col min="14588" max="14588" width="5.7109375" style="6" customWidth="1"/>
    <col min="14589" max="14589" width="11.5703125" style="6" customWidth="1"/>
    <col min="14590" max="14590" width="9.140625" style="6"/>
    <col min="14591" max="14591" width="9.7109375" style="6" customWidth="1"/>
    <col min="14592" max="14592" width="8.5703125" style="6" customWidth="1"/>
    <col min="14593" max="14594" width="0" style="6" hidden="1" customWidth="1"/>
    <col min="14595" max="14595" width="8.28515625" style="6" customWidth="1"/>
    <col min="14596" max="14596" width="11.85546875" style="6" customWidth="1"/>
    <col min="14597" max="14597" width="11.42578125" style="6" customWidth="1"/>
    <col min="14598" max="14598" width="9.140625" style="6"/>
    <col min="14599" max="14599" width="7.85546875" style="6" customWidth="1"/>
    <col min="14600" max="14837" width="9.140625" style="6"/>
    <col min="14838" max="14838" width="14.85546875" style="6" customWidth="1"/>
    <col min="14839" max="14839" width="15.85546875" style="6" customWidth="1"/>
    <col min="14840" max="14840" width="9.85546875" style="6" customWidth="1"/>
    <col min="14841" max="14841" width="6.85546875" style="6" customWidth="1"/>
    <col min="14842" max="14843" width="10.85546875" style="6" customWidth="1"/>
    <col min="14844" max="14844" width="5.7109375" style="6" customWidth="1"/>
    <col min="14845" max="14845" width="11.5703125" style="6" customWidth="1"/>
    <col min="14846" max="14846" width="9.140625" style="6"/>
    <col min="14847" max="14847" width="9.7109375" style="6" customWidth="1"/>
    <col min="14848" max="14848" width="8.5703125" style="6" customWidth="1"/>
    <col min="14849" max="14850" width="0" style="6" hidden="1" customWidth="1"/>
    <col min="14851" max="14851" width="8.28515625" style="6" customWidth="1"/>
    <col min="14852" max="14852" width="11.85546875" style="6" customWidth="1"/>
    <col min="14853" max="14853" width="11.42578125" style="6" customWidth="1"/>
    <col min="14854" max="14854" width="9.140625" style="6"/>
    <col min="14855" max="14855" width="7.85546875" style="6" customWidth="1"/>
    <col min="14856" max="15093" width="9.140625" style="6"/>
    <col min="15094" max="15094" width="14.85546875" style="6" customWidth="1"/>
    <col min="15095" max="15095" width="15.85546875" style="6" customWidth="1"/>
    <col min="15096" max="15096" width="9.85546875" style="6" customWidth="1"/>
    <col min="15097" max="15097" width="6.85546875" style="6" customWidth="1"/>
    <col min="15098" max="15099" width="10.85546875" style="6" customWidth="1"/>
    <col min="15100" max="15100" width="5.7109375" style="6" customWidth="1"/>
    <col min="15101" max="15101" width="11.5703125" style="6" customWidth="1"/>
    <col min="15102" max="15102" width="9.140625" style="6"/>
    <col min="15103" max="15103" width="9.7109375" style="6" customWidth="1"/>
    <col min="15104" max="15104" width="8.5703125" style="6" customWidth="1"/>
    <col min="15105" max="15106" width="0" style="6" hidden="1" customWidth="1"/>
    <col min="15107" max="15107" width="8.28515625" style="6" customWidth="1"/>
    <col min="15108" max="15108" width="11.85546875" style="6" customWidth="1"/>
    <col min="15109" max="15109" width="11.42578125" style="6" customWidth="1"/>
    <col min="15110" max="15110" width="9.140625" style="6"/>
    <col min="15111" max="15111" width="7.85546875" style="6" customWidth="1"/>
    <col min="15112" max="15349" width="9.140625" style="6"/>
    <col min="15350" max="15350" width="14.85546875" style="6" customWidth="1"/>
    <col min="15351" max="15351" width="15.85546875" style="6" customWidth="1"/>
    <col min="15352" max="15352" width="9.85546875" style="6" customWidth="1"/>
    <col min="15353" max="15353" width="6.85546875" style="6" customWidth="1"/>
    <col min="15354" max="15355" width="10.85546875" style="6" customWidth="1"/>
    <col min="15356" max="15356" width="5.7109375" style="6" customWidth="1"/>
    <col min="15357" max="15357" width="11.5703125" style="6" customWidth="1"/>
    <col min="15358" max="15358" width="9.140625" style="6"/>
    <col min="15359" max="15359" width="9.7109375" style="6" customWidth="1"/>
    <col min="15360" max="15360" width="8.5703125" style="6" customWidth="1"/>
    <col min="15361" max="15362" width="0" style="6" hidden="1" customWidth="1"/>
    <col min="15363" max="15363" width="8.28515625" style="6" customWidth="1"/>
    <col min="15364" max="15364" width="11.85546875" style="6" customWidth="1"/>
    <col min="15365" max="15365" width="11.42578125" style="6" customWidth="1"/>
    <col min="15366" max="15366" width="9.140625" style="6"/>
    <col min="15367" max="15367" width="7.85546875" style="6" customWidth="1"/>
    <col min="15368" max="15605" width="9.140625" style="6"/>
    <col min="15606" max="15606" width="14.85546875" style="6" customWidth="1"/>
    <col min="15607" max="15607" width="15.85546875" style="6" customWidth="1"/>
    <col min="15608" max="15608" width="9.85546875" style="6" customWidth="1"/>
    <col min="15609" max="15609" width="6.85546875" style="6" customWidth="1"/>
    <col min="15610" max="15611" width="10.85546875" style="6" customWidth="1"/>
    <col min="15612" max="15612" width="5.7109375" style="6" customWidth="1"/>
    <col min="15613" max="15613" width="11.5703125" style="6" customWidth="1"/>
    <col min="15614" max="15614" width="9.140625" style="6"/>
    <col min="15615" max="15615" width="9.7109375" style="6" customWidth="1"/>
    <col min="15616" max="15616" width="8.5703125" style="6" customWidth="1"/>
    <col min="15617" max="15618" width="0" style="6" hidden="1" customWidth="1"/>
    <col min="15619" max="15619" width="8.28515625" style="6" customWidth="1"/>
    <col min="15620" max="15620" width="11.85546875" style="6" customWidth="1"/>
    <col min="15621" max="15621" width="11.42578125" style="6" customWidth="1"/>
    <col min="15622" max="15622" width="9.140625" style="6"/>
    <col min="15623" max="15623" width="7.85546875" style="6" customWidth="1"/>
    <col min="15624" max="15861" width="9.140625" style="6"/>
    <col min="15862" max="15862" width="14.85546875" style="6" customWidth="1"/>
    <col min="15863" max="15863" width="15.85546875" style="6" customWidth="1"/>
    <col min="15864" max="15864" width="9.85546875" style="6" customWidth="1"/>
    <col min="15865" max="15865" width="6.85546875" style="6" customWidth="1"/>
    <col min="15866" max="15867" width="10.85546875" style="6" customWidth="1"/>
    <col min="15868" max="15868" width="5.7109375" style="6" customWidth="1"/>
    <col min="15869" max="15869" width="11.5703125" style="6" customWidth="1"/>
    <col min="15870" max="15870" width="9.140625" style="6"/>
    <col min="15871" max="15871" width="9.7109375" style="6" customWidth="1"/>
    <col min="15872" max="15872" width="8.5703125" style="6" customWidth="1"/>
    <col min="15873" max="15874" width="0" style="6" hidden="1" customWidth="1"/>
    <col min="15875" max="15875" width="8.28515625" style="6" customWidth="1"/>
    <col min="15876" max="15876" width="11.85546875" style="6" customWidth="1"/>
    <col min="15877" max="15877" width="11.42578125" style="6" customWidth="1"/>
    <col min="15878" max="15878" width="9.140625" style="6"/>
    <col min="15879" max="15879" width="7.85546875" style="6" customWidth="1"/>
    <col min="15880" max="16117" width="9.140625" style="6"/>
    <col min="16118" max="16118" width="14.85546875" style="6" customWidth="1"/>
    <col min="16119" max="16119" width="15.85546875" style="6" customWidth="1"/>
    <col min="16120" max="16120" width="9.85546875" style="6" customWidth="1"/>
    <col min="16121" max="16121" width="6.85546875" style="6" customWidth="1"/>
    <col min="16122" max="16123" width="10.85546875" style="6" customWidth="1"/>
    <col min="16124" max="16124" width="5.7109375" style="6" customWidth="1"/>
    <col min="16125" max="16125" width="11.5703125" style="6" customWidth="1"/>
    <col min="16126" max="16126" width="9.140625" style="6"/>
    <col min="16127" max="16127" width="9.7109375" style="6" customWidth="1"/>
    <col min="16128" max="16128" width="8.5703125" style="6" customWidth="1"/>
    <col min="16129" max="16130" width="0" style="6" hidden="1" customWidth="1"/>
    <col min="16131" max="16131" width="8.28515625" style="6" customWidth="1"/>
    <col min="16132" max="16132" width="11.85546875" style="6" customWidth="1"/>
    <col min="16133" max="16133" width="11.42578125" style="6" customWidth="1"/>
    <col min="16134" max="16134" width="9.140625" style="6"/>
    <col min="16135" max="16135" width="7.85546875" style="6" customWidth="1"/>
    <col min="16136" max="16384" width="9.140625" style="6"/>
  </cols>
  <sheetData>
    <row r="1" spans="2:20" s="9" customFormat="1" x14ac:dyDescent="0.25">
      <c r="D1" s="9" t="s">
        <v>67</v>
      </c>
      <c r="E1" s="39" t="s">
        <v>68</v>
      </c>
      <c r="N1" s="18"/>
      <c r="O1" s="18"/>
      <c r="T1" s="37"/>
    </row>
    <row r="2" spans="2:20" s="9" customFormat="1" x14ac:dyDescent="0.25">
      <c r="B2" s="2" t="s">
        <v>43</v>
      </c>
      <c r="C2" s="47"/>
      <c r="D2" s="3"/>
      <c r="E2" s="3"/>
      <c r="F2" s="10"/>
      <c r="G2" s="10"/>
      <c r="H2" s="10"/>
      <c r="I2" s="10"/>
      <c r="J2" s="10"/>
      <c r="K2" s="48"/>
      <c r="L2" s="2" t="s">
        <v>9</v>
      </c>
      <c r="M2" s="15"/>
      <c r="N2" s="15"/>
      <c r="O2" s="75"/>
      <c r="T2" s="37"/>
    </row>
    <row r="3" spans="2:20" s="9" customFormat="1" x14ac:dyDescent="0.25">
      <c r="B3" s="4"/>
      <c r="C3" s="1"/>
      <c r="D3" s="1"/>
      <c r="E3" s="1"/>
      <c r="F3" s="6"/>
      <c r="G3" s="6"/>
      <c r="H3" s="6"/>
      <c r="I3" s="6"/>
      <c r="J3" s="6"/>
      <c r="K3" s="49"/>
      <c r="L3" s="4"/>
      <c r="M3" s="17"/>
      <c r="N3" s="17"/>
      <c r="O3" s="83" t="s">
        <v>69</v>
      </c>
      <c r="P3" s="110" t="s">
        <v>69</v>
      </c>
      <c r="T3" s="37"/>
    </row>
    <row r="4" spans="2:20" s="9" customFormat="1" x14ac:dyDescent="0.25">
      <c r="B4" s="5" t="s">
        <v>6</v>
      </c>
      <c r="C4" s="6"/>
      <c r="D4" s="6"/>
      <c r="E4" s="38">
        <v>70</v>
      </c>
      <c r="F4" s="6" t="s">
        <v>51</v>
      </c>
      <c r="G4" s="6"/>
      <c r="H4" s="6"/>
      <c r="I4" s="6"/>
      <c r="J4" s="6"/>
      <c r="K4" s="49"/>
      <c r="L4" s="4"/>
      <c r="M4" s="17"/>
      <c r="N4" s="17"/>
      <c r="O4" s="83" t="s">
        <v>55</v>
      </c>
      <c r="P4" s="98" t="s">
        <v>55</v>
      </c>
      <c r="T4" s="37"/>
    </row>
    <row r="5" spans="2:20" s="9" customFormat="1" x14ac:dyDescent="0.25">
      <c r="B5" s="5" t="s">
        <v>0</v>
      </c>
      <c r="C5" s="6"/>
      <c r="D5" s="6"/>
      <c r="E5" s="39" t="s">
        <v>33</v>
      </c>
      <c r="F5" s="6" t="s">
        <v>30</v>
      </c>
      <c r="G5" s="6"/>
      <c r="H5" s="6"/>
      <c r="I5" s="6"/>
      <c r="J5" s="6"/>
      <c r="K5" s="49"/>
      <c r="L5" s="4"/>
      <c r="M5" s="17"/>
      <c r="N5" s="17"/>
      <c r="O5" s="82">
        <v>42735</v>
      </c>
      <c r="P5" s="99">
        <v>43100</v>
      </c>
      <c r="T5" s="37"/>
    </row>
    <row r="6" spans="2:20" s="9" customFormat="1" x14ac:dyDescent="0.25">
      <c r="B6" s="5" t="s">
        <v>10</v>
      </c>
      <c r="C6" s="6"/>
      <c r="D6" s="6"/>
      <c r="E6" s="40">
        <v>40000</v>
      </c>
      <c r="F6" s="6" t="s">
        <v>50</v>
      </c>
      <c r="G6" s="6"/>
      <c r="H6" s="6"/>
      <c r="I6" s="6"/>
      <c r="J6" s="6"/>
      <c r="K6" s="49"/>
      <c r="L6" s="4" t="s">
        <v>34</v>
      </c>
      <c r="M6" s="6"/>
      <c r="N6" s="6"/>
      <c r="O6" s="43">
        <v>2500000000</v>
      </c>
      <c r="P6" s="105">
        <f>O6</f>
        <v>2500000000</v>
      </c>
      <c r="T6" s="37"/>
    </row>
    <row r="7" spans="2:20" s="9" customFormat="1" x14ac:dyDescent="0.25">
      <c r="B7" s="5" t="s">
        <v>11</v>
      </c>
      <c r="C7" s="6"/>
      <c r="D7" s="6"/>
      <c r="E7" s="40">
        <v>5000</v>
      </c>
      <c r="F7" s="6" t="s">
        <v>35</v>
      </c>
      <c r="G7" s="6"/>
      <c r="H7" s="6"/>
      <c r="I7" s="6"/>
      <c r="J7" s="6"/>
      <c r="K7" s="49"/>
      <c r="L7" s="4" t="s">
        <v>20</v>
      </c>
      <c r="M7" s="6"/>
      <c r="N7" s="6"/>
      <c r="O7" s="43">
        <v>500000000</v>
      </c>
      <c r="P7" s="105">
        <f t="shared" ref="P7:P10" si="0">O7</f>
        <v>500000000</v>
      </c>
      <c r="T7" s="37"/>
    </row>
    <row r="8" spans="2:20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49"/>
      <c r="L8" s="4" t="s">
        <v>19</v>
      </c>
      <c r="M8" s="6"/>
      <c r="N8" s="6"/>
      <c r="O8" s="43">
        <v>50000000</v>
      </c>
      <c r="P8" s="105">
        <f t="shared" si="0"/>
        <v>50000000</v>
      </c>
      <c r="T8" s="37"/>
    </row>
    <row r="9" spans="2:20" s="9" customFormat="1" x14ac:dyDescent="0.25">
      <c r="B9" s="5" t="s">
        <v>16</v>
      </c>
      <c r="C9" s="6"/>
      <c r="D9" s="6"/>
      <c r="E9" s="40">
        <v>40</v>
      </c>
      <c r="F9" s="6" t="s">
        <v>1</v>
      </c>
      <c r="G9" s="6"/>
      <c r="H9" s="6"/>
      <c r="I9" s="6"/>
      <c r="J9" s="6"/>
      <c r="K9" s="49"/>
      <c r="L9" s="4" t="s">
        <v>14</v>
      </c>
      <c r="M9" s="6"/>
      <c r="N9" s="6"/>
      <c r="O9" s="78" t="s">
        <v>36</v>
      </c>
      <c r="P9" s="105"/>
      <c r="T9" s="37"/>
    </row>
    <row r="10" spans="2:20" s="9" customFormat="1" x14ac:dyDescent="0.25">
      <c r="B10" s="5" t="s">
        <v>7</v>
      </c>
      <c r="C10" s="6"/>
      <c r="D10" s="6"/>
      <c r="E10" s="81">
        <v>0.04</v>
      </c>
      <c r="F10" s="6" t="s">
        <v>31</v>
      </c>
      <c r="G10" s="6"/>
      <c r="H10" s="6"/>
      <c r="I10" s="6"/>
      <c r="J10" s="6"/>
      <c r="K10" s="49"/>
      <c r="L10" s="76" t="s">
        <v>39</v>
      </c>
      <c r="M10" s="8"/>
      <c r="N10" s="8"/>
      <c r="O10" s="44">
        <v>150000000</v>
      </c>
      <c r="P10" s="105">
        <f t="shared" si="0"/>
        <v>150000000</v>
      </c>
      <c r="T10" s="37"/>
    </row>
    <row r="11" spans="2:20" s="9" customFormat="1" x14ac:dyDescent="0.25">
      <c r="B11" s="5" t="s">
        <v>12</v>
      </c>
      <c r="C11" s="6"/>
      <c r="D11" s="6"/>
      <c r="E11" s="41">
        <v>0.1</v>
      </c>
      <c r="F11" s="6" t="s">
        <v>31</v>
      </c>
      <c r="G11" s="6"/>
      <c r="H11" s="6"/>
      <c r="I11" s="6"/>
      <c r="J11" s="6"/>
      <c r="K11" s="49"/>
      <c r="T11" s="37"/>
    </row>
    <row r="12" spans="2:20" s="9" customFormat="1" x14ac:dyDescent="0.25">
      <c r="B12" s="5" t="s">
        <v>13</v>
      </c>
      <c r="C12" s="6"/>
      <c r="D12" s="6"/>
      <c r="E12" s="41">
        <v>0.03</v>
      </c>
      <c r="F12" s="6" t="s">
        <v>31</v>
      </c>
      <c r="G12" s="6"/>
      <c r="H12" s="6"/>
      <c r="I12" s="6"/>
      <c r="J12" s="6"/>
      <c r="K12" s="49"/>
      <c r="L12" s="77" t="s">
        <v>46</v>
      </c>
      <c r="M12" s="10"/>
      <c r="N12" s="10"/>
      <c r="O12" s="45">
        <v>0.1</v>
      </c>
      <c r="T12" s="37"/>
    </row>
    <row r="13" spans="2:20" s="9" customFormat="1" x14ac:dyDescent="0.25">
      <c r="B13" s="5" t="s">
        <v>17</v>
      </c>
      <c r="C13" s="6"/>
      <c r="D13" s="6"/>
      <c r="E13" s="41">
        <v>0.3</v>
      </c>
      <c r="F13" s="6"/>
      <c r="G13" s="6"/>
      <c r="H13" s="6"/>
      <c r="I13" s="6"/>
      <c r="J13" s="6"/>
      <c r="K13" s="49"/>
      <c r="L13" s="76" t="s">
        <v>21</v>
      </c>
      <c r="M13" s="8"/>
      <c r="N13" s="8"/>
      <c r="O13" s="46">
        <v>0</v>
      </c>
      <c r="T13" s="37"/>
    </row>
    <row r="14" spans="2:20" s="9" customFormat="1" x14ac:dyDescent="0.25">
      <c r="B14" s="5" t="s">
        <v>18</v>
      </c>
      <c r="C14" s="6"/>
      <c r="D14" s="6"/>
      <c r="E14" s="41">
        <v>0</v>
      </c>
      <c r="F14" s="6"/>
      <c r="G14" s="6"/>
      <c r="H14" s="6"/>
      <c r="I14" s="6"/>
      <c r="J14" s="6"/>
      <c r="K14" s="49"/>
      <c r="N14" s="18"/>
      <c r="O14" s="98" t="s">
        <v>69</v>
      </c>
      <c r="P14" s="110" t="s">
        <v>69</v>
      </c>
      <c r="T14" s="37"/>
    </row>
    <row r="15" spans="2:20" s="9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49"/>
      <c r="N15" s="18"/>
      <c r="O15" s="98" t="s">
        <v>55</v>
      </c>
      <c r="P15" s="98" t="s">
        <v>55</v>
      </c>
      <c r="T15" s="37"/>
    </row>
    <row r="16" spans="2:20" s="9" customFormat="1" x14ac:dyDescent="0.25">
      <c r="B16" s="5" t="s">
        <v>5</v>
      </c>
      <c r="C16" s="6"/>
      <c r="D16" s="6"/>
      <c r="E16" s="41">
        <v>0.02</v>
      </c>
      <c r="F16" s="6" t="s">
        <v>32</v>
      </c>
      <c r="G16" s="6"/>
      <c r="H16" s="6"/>
      <c r="I16" s="6"/>
      <c r="J16" s="6"/>
      <c r="K16" s="49"/>
      <c r="N16" s="18"/>
      <c r="O16" s="99">
        <v>42735</v>
      </c>
      <c r="P16" s="99">
        <v>43100</v>
      </c>
      <c r="T16" s="37"/>
    </row>
    <row r="17" spans="1:27" s="9" customFormat="1" ht="15" x14ac:dyDescent="0.25">
      <c r="B17" s="5" t="s">
        <v>52</v>
      </c>
      <c r="C17" s="6"/>
      <c r="D17" s="1"/>
      <c r="E17" s="42">
        <v>1200</v>
      </c>
      <c r="F17" s="6" t="s">
        <v>53</v>
      </c>
      <c r="G17" s="6"/>
      <c r="H17" s="6"/>
      <c r="I17" s="6"/>
      <c r="J17" s="6"/>
      <c r="K17" s="49"/>
      <c r="N17" s="9" t="s">
        <v>27</v>
      </c>
      <c r="O17" s="55">
        <f>'Model (a) '!O17</f>
        <v>378123175.0487166</v>
      </c>
      <c r="P17" s="37">
        <f>T27</f>
        <v>247630403.74919081</v>
      </c>
      <c r="Q17" s="119">
        <f>P17-'Model (a)_Exp_Vinc'!P17</f>
        <v>-109993502.60322922</v>
      </c>
      <c r="T17" s="37"/>
    </row>
    <row r="18" spans="1:27" s="9" customFormat="1" x14ac:dyDescent="0.25">
      <c r="B18" s="5" t="s">
        <v>2</v>
      </c>
      <c r="C18" s="6"/>
      <c r="D18" s="6"/>
      <c r="E18" s="41">
        <v>1</v>
      </c>
      <c r="F18" s="6" t="s">
        <v>54</v>
      </c>
      <c r="G18" s="6"/>
      <c r="H18" s="6"/>
      <c r="I18" s="6"/>
      <c r="J18" s="6"/>
      <c r="K18" s="49"/>
      <c r="N18" s="9" t="s">
        <v>28</v>
      </c>
      <c r="O18" s="55">
        <f>'Model (a) '!O18</f>
        <v>9116081.290678978</v>
      </c>
      <c r="P18" s="105">
        <f>P6+P7+P8-P10-N27-P27-Q27-(K27+L27)*(1-$E$13)+R27-(N27-N26)*-$E$13</f>
        <v>66397827.491847269</v>
      </c>
      <c r="T18" s="37"/>
    </row>
    <row r="19" spans="1:27" s="9" customFormat="1" x14ac:dyDescent="0.25">
      <c r="B19" s="5" t="s">
        <v>3</v>
      </c>
      <c r="C19" s="6"/>
      <c r="D19" s="6"/>
      <c r="E19" s="79" t="s">
        <v>49</v>
      </c>
      <c r="F19" s="6"/>
      <c r="G19" s="6"/>
      <c r="H19" s="6"/>
      <c r="I19" s="6"/>
      <c r="J19" s="6"/>
      <c r="K19" s="49"/>
      <c r="N19" s="11" t="s">
        <v>37</v>
      </c>
      <c r="O19" s="97">
        <f>SUM(O17:O18)</f>
        <v>387239256.33939558</v>
      </c>
      <c r="P19" s="97">
        <f>SUM(P17:P18)</f>
        <v>314028231.24103808</v>
      </c>
      <c r="T19" s="37"/>
    </row>
    <row r="20" spans="1:27" s="9" customFormat="1" x14ac:dyDescent="0.25">
      <c r="B20" s="7" t="s">
        <v>8</v>
      </c>
      <c r="C20" s="8"/>
      <c r="D20" s="8"/>
      <c r="E20" s="80">
        <v>0</v>
      </c>
      <c r="F20" s="8" t="s">
        <v>31</v>
      </c>
      <c r="G20" s="8"/>
      <c r="H20" s="8"/>
      <c r="I20" s="8"/>
      <c r="J20" s="8"/>
      <c r="K20" s="50"/>
      <c r="N20" s="18"/>
      <c r="O20" s="18"/>
    </row>
    <row r="21" spans="1:27" s="9" customFormat="1" x14ac:dyDescent="0.25">
      <c r="B21" s="6"/>
      <c r="C21" s="6"/>
      <c r="D21" s="6"/>
      <c r="E21" s="21"/>
      <c r="N21" s="18"/>
      <c r="O21" s="18"/>
      <c r="U21" s="37"/>
      <c r="W21" s="37"/>
    </row>
    <row r="22" spans="1:27" s="9" customFormat="1" x14ac:dyDescent="0.25"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5"/>
      <c r="O22" s="15"/>
      <c r="P22" s="10"/>
      <c r="Q22" s="10"/>
      <c r="R22" s="10"/>
      <c r="S22" s="10"/>
      <c r="T22" s="48"/>
    </row>
    <row r="23" spans="1:27" s="9" customFormat="1" ht="16.5" x14ac:dyDescent="0.25">
      <c r="B23" s="16" t="s">
        <v>4</v>
      </c>
      <c r="C23" s="22"/>
      <c r="D23" s="22"/>
      <c r="E23" s="22"/>
      <c r="F23" s="22"/>
      <c r="G23" s="22"/>
      <c r="H23" s="22"/>
      <c r="I23" s="22"/>
      <c r="J23" s="22"/>
      <c r="K23" s="6"/>
      <c r="L23" s="6"/>
      <c r="M23" s="6"/>
      <c r="N23" s="17"/>
      <c r="O23" s="17"/>
      <c r="P23" s="6"/>
      <c r="Q23" s="6"/>
      <c r="R23" s="6"/>
      <c r="S23" s="6"/>
      <c r="T23" s="49"/>
      <c r="V23" s="25"/>
      <c r="AA23" s="25"/>
    </row>
    <row r="24" spans="1:27" s="9" customFormat="1" x14ac:dyDescent="0.25">
      <c r="B24" s="12"/>
      <c r="C24" s="11"/>
      <c r="D24" s="100" t="s">
        <v>65</v>
      </c>
      <c r="E24" s="26" t="s">
        <v>22</v>
      </c>
      <c r="F24" s="26" t="s">
        <v>22</v>
      </c>
      <c r="G24" s="26" t="s">
        <v>22</v>
      </c>
      <c r="H24" s="26"/>
      <c r="I24" s="26"/>
      <c r="J24" s="26"/>
      <c r="K24" s="26" t="s">
        <v>22</v>
      </c>
      <c r="L24" s="26" t="s">
        <v>22</v>
      </c>
      <c r="M24" s="26" t="s">
        <v>22</v>
      </c>
      <c r="N24" s="26" t="s">
        <v>22</v>
      </c>
      <c r="O24" s="26" t="s">
        <v>22</v>
      </c>
      <c r="P24" s="26" t="s">
        <v>22</v>
      </c>
      <c r="Q24" s="56" t="s">
        <v>22</v>
      </c>
      <c r="R24" s="26" t="s">
        <v>22</v>
      </c>
      <c r="S24" s="26" t="s">
        <v>22</v>
      </c>
      <c r="T24" s="85" t="s">
        <v>22</v>
      </c>
    </row>
    <row r="25" spans="1:27" s="29" customFormat="1" ht="40.5" x14ac:dyDescent="0.25">
      <c r="A25" s="13"/>
      <c r="B25" s="23" t="s">
        <v>47</v>
      </c>
      <c r="C25" s="93" t="s">
        <v>48</v>
      </c>
      <c r="D25" s="93" t="s">
        <v>15</v>
      </c>
      <c r="E25" s="93" t="s">
        <v>56</v>
      </c>
      <c r="F25" s="93" t="s">
        <v>66</v>
      </c>
      <c r="G25" s="93" t="s">
        <v>58</v>
      </c>
      <c r="H25" s="93" t="s">
        <v>23</v>
      </c>
      <c r="I25" s="93" t="s">
        <v>57</v>
      </c>
      <c r="J25" s="93" t="s">
        <v>24</v>
      </c>
      <c r="K25" s="93" t="s">
        <v>59</v>
      </c>
      <c r="L25" s="93" t="s">
        <v>60</v>
      </c>
      <c r="M25" s="93" t="s">
        <v>25</v>
      </c>
      <c r="N25" s="93" t="s">
        <v>61</v>
      </c>
      <c r="O25" s="93" t="s">
        <v>41</v>
      </c>
      <c r="P25" s="93" t="s">
        <v>26</v>
      </c>
      <c r="Q25" s="103" t="s">
        <v>38</v>
      </c>
      <c r="R25" s="93" t="s">
        <v>62</v>
      </c>
      <c r="S25" s="93" t="s">
        <v>63</v>
      </c>
      <c r="T25" s="104" t="s">
        <v>64</v>
      </c>
    </row>
    <row r="26" spans="1:27" s="29" customFormat="1" x14ac:dyDescent="0.25">
      <c r="A26" s="13"/>
      <c r="B26" s="102">
        <v>0</v>
      </c>
      <c r="C26" s="56"/>
      <c r="D26" s="26"/>
      <c r="E26" s="26"/>
      <c r="F26" s="26"/>
      <c r="G26" s="73">
        <f>$E$7</f>
        <v>5000</v>
      </c>
      <c r="H26" s="26"/>
      <c r="I26" s="26"/>
      <c r="J26" s="26"/>
      <c r="K26" s="27"/>
      <c r="L26" s="28"/>
      <c r="M26" s="55">
        <f>'Model (a) '!M26</f>
        <v>2628076289.7357464</v>
      </c>
      <c r="N26" s="55">
        <f>'Model (a) '!N26</f>
        <v>2628076289.7357464</v>
      </c>
      <c r="O26" s="34"/>
      <c r="P26" s="34">
        <f t="shared" ref="P26:P66" si="1" xml:space="preserve"> $O$12 * M26</f>
        <v>262807628.97357464</v>
      </c>
      <c r="Q26" s="34">
        <f t="shared" ref="Q26:Q66" si="2">+$O$13*P26</f>
        <v>0</v>
      </c>
      <c r="R26" s="34"/>
      <c r="S26" s="30"/>
      <c r="T26" s="86"/>
      <c r="U26" s="30"/>
      <c r="X26" s="31"/>
      <c r="Y26" s="31"/>
      <c r="Z26" s="30"/>
    </row>
    <row r="27" spans="1:27" x14ac:dyDescent="0.25">
      <c r="B27" s="24">
        <f t="shared" ref="B27" si="3">B26+1</f>
        <v>1</v>
      </c>
      <c r="C27" s="94">
        <v>2017</v>
      </c>
      <c r="D27" s="95">
        <f>E4</f>
        <v>70</v>
      </c>
      <c r="E27" s="71">
        <f xml:space="preserve"> $E$6</f>
        <v>40000</v>
      </c>
      <c r="F27" s="70">
        <v>1500</v>
      </c>
      <c r="G27" s="35">
        <f t="shared" ref="G27:G66" si="4" xml:space="preserve"> G26 * ( 1 - J27 )</f>
        <v>4904</v>
      </c>
      <c r="H27" s="72">
        <f xml:space="preserve"> VLOOKUP( $D27, 'Mortality table'!$A$2:$B$111, 2, 0 ) * $E$18</f>
        <v>1.9199999999999998E-2</v>
      </c>
      <c r="I27" s="36">
        <f xml:space="preserve"> 1</f>
        <v>1</v>
      </c>
      <c r="J27" s="36">
        <f xml:space="preserve"> H27 * I27</f>
        <v>1.9199999999999998E-2</v>
      </c>
      <c r="K27" s="34">
        <f t="shared" ref="K27:K66" si="5" xml:space="preserve"> E27 * $G27</f>
        <v>196160000</v>
      </c>
      <c r="L27" s="34">
        <f t="shared" ref="L27:L66" si="6" xml:space="preserve"> F27 * $G27</f>
        <v>7356000</v>
      </c>
      <c r="M27" s="34">
        <f t="shared" ref="M27:M65" si="7" xml:space="preserve"> SUM( K28:M28 ) / ( 1 + $E$12 )</f>
        <v>2504873778.4278188</v>
      </c>
      <c r="N27" s="34">
        <f t="shared" ref="N27:N66" si="8" xml:space="preserve"> M27</f>
        <v>2504873778.4278188</v>
      </c>
      <c r="O27" s="55">
        <f>'Model (a) '!O27</f>
        <v>-55189602.08445067</v>
      </c>
      <c r="P27" s="34">
        <f t="shared" si="1"/>
        <v>250487377.8427819</v>
      </c>
      <c r="Q27" s="34">
        <f t="shared" si="2"/>
        <v>0</v>
      </c>
      <c r="R27" s="55">
        <f>'Model (a) '!R27</f>
        <v>101180937.15482622</v>
      </c>
      <c r="S27" s="34">
        <f xml:space="preserve"> O27 + R27 - ( P27 + Q27 - P26 - Q26 )</f>
        <v>58311586.201168291</v>
      </c>
      <c r="T27" s="87">
        <f xml:space="preserve"> SUM( S28:T28 ) / ( 1 + $E$11 )</f>
        <v>247630403.74919081</v>
      </c>
      <c r="U27" s="30"/>
      <c r="V27" s="32"/>
      <c r="X27" s="31"/>
      <c r="Y27" s="31"/>
      <c r="Z27" s="30"/>
      <c r="AA27" s="33"/>
    </row>
    <row r="28" spans="1:27" x14ac:dyDescent="0.25">
      <c r="B28" s="24">
        <f t="shared" ref="B28:C66" si="9">B27+1</f>
        <v>2</v>
      </c>
      <c r="C28" s="95">
        <f t="shared" si="9"/>
        <v>2018</v>
      </c>
      <c r="D28" s="95">
        <f>D27+B28-B27</f>
        <v>71</v>
      </c>
      <c r="E28" s="34">
        <f xml:space="preserve"> E27 * ( 1 + $E$16 )</f>
        <v>40800</v>
      </c>
      <c r="F28" s="55">
        <f>'Model (a) '!F28</f>
        <v>1224</v>
      </c>
      <c r="G28" s="35">
        <f t="shared" si="4"/>
        <v>4801.0159999999996</v>
      </c>
      <c r="H28" s="36">
        <f xml:space="preserve"> VLOOKUP( $D28, 'Mortality table'!$A$2:$B$111, 2, 0 ) * $E$18</f>
        <v>2.1000000000000001E-2</v>
      </c>
      <c r="I28" s="36">
        <f xml:space="preserve"> I27 * ( 1 - $E$20 )</f>
        <v>1</v>
      </c>
      <c r="J28" s="36">
        <f t="shared" ref="J28:J66" si="10" xml:space="preserve"> H28 * I28</f>
        <v>2.1000000000000001E-2</v>
      </c>
      <c r="K28" s="34">
        <f t="shared" si="5"/>
        <v>195881452.79999998</v>
      </c>
      <c r="L28" s="34">
        <f t="shared" si="6"/>
        <v>5876443.5839999998</v>
      </c>
      <c r="M28" s="34">
        <f t="shared" si="7"/>
        <v>2378262095.3966537</v>
      </c>
      <c r="N28" s="34">
        <f t="shared" si="8"/>
        <v>2378262095.3966537</v>
      </c>
      <c r="O28" s="34">
        <f t="shared" ref="O28:O66" si="11">( - K28 - L28 - ( N28 - N27 ) ) * ( 1 - $E$13 )</f>
        <v>-52602349.346984394</v>
      </c>
      <c r="P28" s="34">
        <f t="shared" si="1"/>
        <v>237826209.53966537</v>
      </c>
      <c r="Q28" s="34">
        <f t="shared" si="2"/>
        <v>0</v>
      </c>
      <c r="R28" s="34">
        <f t="shared" ref="R28:R66" si="12" xml:space="preserve"> ( M27 + P27 + Q27 ) * $E$10 * ( 1 - $E$13 )</f>
        <v>77150112.375576824</v>
      </c>
      <c r="S28" s="34">
        <f t="shared" ref="S28:S66" si="13" xml:space="preserve"> O28 + R28 - ( P28 + Q28 - P27 - Q27 )</f>
        <v>37208931.33170896</v>
      </c>
      <c r="T28" s="87">
        <f t="shared" ref="T28:T65" si="14" xml:space="preserve"> SUM( S29:T29 ) / ( 1 + $E$11 )</f>
        <v>235184512.79240096</v>
      </c>
      <c r="U28" s="30"/>
      <c r="V28" s="32"/>
      <c r="X28" s="31"/>
      <c r="Y28" s="31"/>
      <c r="Z28" s="30"/>
      <c r="AA28" s="33"/>
    </row>
    <row r="29" spans="1:27" x14ac:dyDescent="0.25">
      <c r="B29" s="24">
        <f t="shared" si="9"/>
        <v>3</v>
      </c>
      <c r="C29" s="95">
        <f t="shared" si="9"/>
        <v>2019</v>
      </c>
      <c r="D29" s="95">
        <f t="shared" ref="D29:D66" si="15">D28+B29-B28</f>
        <v>72</v>
      </c>
      <c r="E29" s="34">
        <f t="shared" ref="E29:E44" si="16" xml:space="preserve"> E28 * ( 1 + $E$16 )</f>
        <v>41616</v>
      </c>
      <c r="F29" s="55">
        <f>'Model (a) '!F29</f>
        <v>1248.48</v>
      </c>
      <c r="G29" s="35">
        <f t="shared" si="4"/>
        <v>4689.6324287999996</v>
      </c>
      <c r="H29" s="36">
        <f xml:space="preserve"> VLOOKUP( $D29, 'Mortality table'!$A$2:$B$111, 2, 0 ) * $E$18</f>
        <v>2.3199999999999998E-2</v>
      </c>
      <c r="I29" s="36">
        <f t="shared" ref="I29:I66" si="17" xml:space="preserve"> I28 * ( 1 - $E$20 )</f>
        <v>1</v>
      </c>
      <c r="J29" s="36">
        <f t="shared" si="10"/>
        <v>2.3199999999999998E-2</v>
      </c>
      <c r="K29" s="34">
        <f t="shared" si="5"/>
        <v>195163743.15694079</v>
      </c>
      <c r="L29" s="34">
        <f t="shared" si="6"/>
        <v>5854912.294708224</v>
      </c>
      <c r="M29" s="34">
        <f t="shared" si="7"/>
        <v>2248591302.8069043</v>
      </c>
      <c r="N29" s="34">
        <f t="shared" si="8"/>
        <v>2248591302.8069043</v>
      </c>
      <c r="O29" s="34">
        <f t="shared" si="11"/>
        <v>-49943504.003329769</v>
      </c>
      <c r="P29" s="34">
        <f t="shared" si="1"/>
        <v>224859130.28069043</v>
      </c>
      <c r="Q29" s="34">
        <f t="shared" si="2"/>
        <v>0</v>
      </c>
      <c r="R29" s="34">
        <f t="shared" si="12"/>
        <v>73250472.538216919</v>
      </c>
      <c r="S29" s="34">
        <f t="shared" si="13"/>
        <v>36274047.79386209</v>
      </c>
      <c r="T29" s="87">
        <f t="shared" si="14"/>
        <v>222428916.27777898</v>
      </c>
      <c r="U29" s="30"/>
      <c r="V29" s="32"/>
      <c r="X29" s="31"/>
      <c r="Y29" s="31"/>
      <c r="Z29" s="30"/>
      <c r="AA29" s="33"/>
    </row>
    <row r="30" spans="1:27" x14ac:dyDescent="0.25">
      <c r="B30" s="24">
        <f t="shared" si="9"/>
        <v>4</v>
      </c>
      <c r="C30" s="95">
        <f t="shared" si="9"/>
        <v>2020</v>
      </c>
      <c r="D30" s="95">
        <f t="shared" si="15"/>
        <v>73</v>
      </c>
      <c r="E30" s="34">
        <f t="shared" si="16"/>
        <v>42448.32</v>
      </c>
      <c r="F30" s="55">
        <f>'Model (a) '!F30</f>
        <v>1273.4496000000001</v>
      </c>
      <c r="G30" s="35">
        <f t="shared" si="4"/>
        <v>4567.608193002623</v>
      </c>
      <c r="H30" s="36">
        <f xml:space="preserve"> VLOOKUP( $D30, 'Mortality table'!$A$2:$B$111, 2, 0 ) * $E$18</f>
        <v>2.6020000000000001E-2</v>
      </c>
      <c r="I30" s="36">
        <f t="shared" si="17"/>
        <v>1</v>
      </c>
      <c r="J30" s="36">
        <f t="shared" si="10"/>
        <v>2.6020000000000001E-2</v>
      </c>
      <c r="K30" s="34">
        <f t="shared" si="5"/>
        <v>193887294.21119711</v>
      </c>
      <c r="L30" s="34">
        <f t="shared" si="6"/>
        <v>5816618.8263359135</v>
      </c>
      <c r="M30" s="34">
        <f t="shared" si="7"/>
        <v>2116345128.8535783</v>
      </c>
      <c r="N30" s="34">
        <f t="shared" si="8"/>
        <v>2116345128.8535783</v>
      </c>
      <c r="O30" s="34">
        <f t="shared" si="11"/>
        <v>-47220417.358944915</v>
      </c>
      <c r="P30" s="34">
        <f t="shared" si="1"/>
        <v>211634512.88535786</v>
      </c>
      <c r="Q30" s="34">
        <f t="shared" si="2"/>
        <v>0</v>
      </c>
      <c r="R30" s="34">
        <f t="shared" si="12"/>
        <v>69256612.126452655</v>
      </c>
      <c r="S30" s="34">
        <f t="shared" si="13"/>
        <v>35260812.162840314</v>
      </c>
      <c r="T30" s="87">
        <f t="shared" si="14"/>
        <v>209410995.74271658</v>
      </c>
      <c r="U30" s="30"/>
      <c r="V30" s="32"/>
      <c r="X30" s="31"/>
      <c r="Y30" s="31"/>
      <c r="Z30" s="30"/>
      <c r="AA30" s="33"/>
    </row>
    <row r="31" spans="1:27" x14ac:dyDescent="0.25">
      <c r="B31" s="24">
        <f t="shared" si="9"/>
        <v>5</v>
      </c>
      <c r="C31" s="95">
        <f t="shared" si="9"/>
        <v>2021</v>
      </c>
      <c r="D31" s="95">
        <f t="shared" si="15"/>
        <v>74</v>
      </c>
      <c r="E31" s="34">
        <f t="shared" si="16"/>
        <v>43297.286399999997</v>
      </c>
      <c r="F31" s="55">
        <f>'Model (a) '!F31</f>
        <v>1298.9185920000002</v>
      </c>
      <c r="G31" s="35">
        <f t="shared" si="4"/>
        <v>4433.4118642922058</v>
      </c>
      <c r="H31" s="36">
        <f xml:space="preserve"> VLOOKUP( $D31, 'Mortality table'!$A$2:$B$111, 2, 0 ) * $E$18</f>
        <v>2.938E-2</v>
      </c>
      <c r="I31" s="36">
        <f t="shared" si="17"/>
        <v>1</v>
      </c>
      <c r="J31" s="36">
        <f t="shared" si="10"/>
        <v>2.938E-2</v>
      </c>
      <c r="K31" s="34">
        <f t="shared" si="5"/>
        <v>191954703.21741757</v>
      </c>
      <c r="L31" s="34">
        <f t="shared" si="6"/>
        <v>5758641.0965225277</v>
      </c>
      <c r="M31" s="34">
        <f t="shared" si="7"/>
        <v>1982122138.4052458</v>
      </c>
      <c r="N31" s="34">
        <f t="shared" si="8"/>
        <v>1982122138.4052458</v>
      </c>
      <c r="O31" s="34">
        <f t="shared" si="11"/>
        <v>-44443247.705925286</v>
      </c>
      <c r="P31" s="34">
        <f t="shared" si="1"/>
        <v>198212213.84052458</v>
      </c>
      <c r="Q31" s="34">
        <f t="shared" si="2"/>
        <v>0</v>
      </c>
      <c r="R31" s="34">
        <f t="shared" si="12"/>
        <v>65183429.968690209</v>
      </c>
      <c r="S31" s="34">
        <f t="shared" si="13"/>
        <v>34162481.307598196</v>
      </c>
      <c r="T31" s="87">
        <f t="shared" si="14"/>
        <v>196189614.00939006</v>
      </c>
      <c r="U31" s="30"/>
      <c r="V31" s="32"/>
      <c r="X31" s="31"/>
      <c r="Y31" s="31"/>
      <c r="Z31" s="30"/>
      <c r="AA31" s="33"/>
    </row>
    <row r="32" spans="1:27" x14ac:dyDescent="0.25">
      <c r="B32" s="24">
        <f t="shared" si="9"/>
        <v>6</v>
      </c>
      <c r="C32" s="95">
        <f t="shared" si="9"/>
        <v>2022</v>
      </c>
      <c r="D32" s="95">
        <f t="shared" si="15"/>
        <v>75</v>
      </c>
      <c r="E32" s="34">
        <f t="shared" si="16"/>
        <v>44163.232127999996</v>
      </c>
      <c r="F32" s="55">
        <f>'Model (a) '!F32</f>
        <v>1324.8969638400004</v>
      </c>
      <c r="G32" s="35">
        <f t="shared" si="4"/>
        <v>4286.5772633468478</v>
      </c>
      <c r="H32" s="36">
        <f xml:space="preserve"> VLOOKUP( $D32, 'Mortality table'!$A$2:$B$111, 2, 0 ) * $E$18</f>
        <v>3.3119999999999997E-2</v>
      </c>
      <c r="I32" s="36">
        <f t="shared" si="17"/>
        <v>1</v>
      </c>
      <c r="J32" s="36">
        <f t="shared" si="10"/>
        <v>3.3119999999999997E-2</v>
      </c>
      <c r="K32" s="34">
        <f t="shared" si="5"/>
        <v>189309106.71579382</v>
      </c>
      <c r="L32" s="34">
        <f t="shared" si="6"/>
        <v>5679273.2014738163</v>
      </c>
      <c r="M32" s="34">
        <f t="shared" si="7"/>
        <v>1846597422.6401358</v>
      </c>
      <c r="N32" s="34">
        <f t="shared" si="8"/>
        <v>1846597422.6401358</v>
      </c>
      <c r="O32" s="34">
        <f t="shared" si="11"/>
        <v>-41624564.906510323</v>
      </c>
      <c r="P32" s="34">
        <f t="shared" si="1"/>
        <v>184659742.26401359</v>
      </c>
      <c r="Q32" s="34">
        <f t="shared" si="2"/>
        <v>0</v>
      </c>
      <c r="R32" s="34">
        <f t="shared" si="12"/>
        <v>61049361.862881564</v>
      </c>
      <c r="S32" s="34">
        <f t="shared" si="13"/>
        <v>32977268.532882236</v>
      </c>
      <c r="T32" s="87">
        <f t="shared" si="14"/>
        <v>182831306.87744683</v>
      </c>
      <c r="U32" s="30"/>
      <c r="V32" s="32"/>
      <c r="X32" s="31"/>
      <c r="Y32" s="31"/>
      <c r="Z32" s="30"/>
      <c r="AA32" s="33"/>
    </row>
    <row r="33" spans="2:27" x14ac:dyDescent="0.25">
      <c r="B33" s="24">
        <f t="shared" si="9"/>
        <v>7</v>
      </c>
      <c r="C33" s="95">
        <f t="shared" si="9"/>
        <v>2023</v>
      </c>
      <c r="D33" s="95">
        <f t="shared" si="15"/>
        <v>76</v>
      </c>
      <c r="E33" s="34">
        <f t="shared" si="16"/>
        <v>45046.496770559999</v>
      </c>
      <c r="F33" s="55">
        <f>'Model (a) '!F33</f>
        <v>1351.3949031168004</v>
      </c>
      <c r="G33" s="35">
        <f t="shared" si="4"/>
        <v>4127.2880522408786</v>
      </c>
      <c r="H33" s="36">
        <f xml:space="preserve"> VLOOKUP( $D33, 'Mortality table'!$A$2:$B$111, 2, 0 ) * $E$18</f>
        <v>3.7159999999999999E-2</v>
      </c>
      <c r="I33" s="36">
        <f t="shared" si="17"/>
        <v>1</v>
      </c>
      <c r="J33" s="36">
        <f t="shared" si="10"/>
        <v>3.7159999999999999E-2</v>
      </c>
      <c r="K33" s="34">
        <f t="shared" si="5"/>
        <v>185919867.91643962</v>
      </c>
      <c r="L33" s="34">
        <f t="shared" si="6"/>
        <v>5577596.0374931898</v>
      </c>
      <c r="M33" s="34">
        <f t="shared" si="7"/>
        <v>1710497881.3654072</v>
      </c>
      <c r="N33" s="34">
        <f t="shared" si="8"/>
        <v>1710497881.3654072</v>
      </c>
      <c r="O33" s="34">
        <f t="shared" si="11"/>
        <v>-38778545.875442997</v>
      </c>
      <c r="P33" s="34">
        <f t="shared" si="1"/>
        <v>171049788.13654074</v>
      </c>
      <c r="Q33" s="34">
        <f t="shared" si="2"/>
        <v>0</v>
      </c>
      <c r="R33" s="34">
        <f t="shared" si="12"/>
        <v>56875200.617316179</v>
      </c>
      <c r="S33" s="34">
        <f t="shared" si="13"/>
        <v>31706608.86934603</v>
      </c>
      <c r="T33" s="87">
        <f t="shared" si="14"/>
        <v>169407828.69584551</v>
      </c>
      <c r="U33" s="30"/>
      <c r="V33" s="32"/>
      <c r="X33" s="31"/>
      <c r="Y33" s="31"/>
      <c r="Z33" s="30"/>
      <c r="AA33" s="33"/>
    </row>
    <row r="34" spans="2:27" x14ac:dyDescent="0.25">
      <c r="B34" s="24">
        <f t="shared" si="9"/>
        <v>8</v>
      </c>
      <c r="C34" s="95">
        <f t="shared" si="9"/>
        <v>2024</v>
      </c>
      <c r="D34" s="95">
        <f t="shared" si="15"/>
        <v>77</v>
      </c>
      <c r="E34" s="34">
        <f t="shared" si="16"/>
        <v>45947.4267059712</v>
      </c>
      <c r="F34" s="55">
        <f>'Model (a) '!F34</f>
        <v>1378.4228011791365</v>
      </c>
      <c r="G34" s="35">
        <f t="shared" si="4"/>
        <v>3955.881779431315</v>
      </c>
      <c r="H34" s="36">
        <f xml:space="preserve"> VLOOKUP( $D34, 'Mortality table'!$A$2:$B$111, 2, 0 ) * $E$18</f>
        <v>4.1529999999999997E-2</v>
      </c>
      <c r="I34" s="36">
        <f t="shared" si="17"/>
        <v>1</v>
      </c>
      <c r="J34" s="36">
        <f t="shared" si="10"/>
        <v>4.1529999999999997E-2</v>
      </c>
      <c r="K34" s="34">
        <f t="shared" si="5"/>
        <v>181762588.11790729</v>
      </c>
      <c r="L34" s="34">
        <f t="shared" si="6"/>
        <v>5452877.6435372205</v>
      </c>
      <c r="M34" s="34">
        <f t="shared" si="7"/>
        <v>1574597352.044925</v>
      </c>
      <c r="N34" s="34">
        <f t="shared" si="8"/>
        <v>1574597352.044925</v>
      </c>
      <c r="O34" s="34">
        <f t="shared" si="11"/>
        <v>-35920455.508673579</v>
      </c>
      <c r="P34" s="34">
        <f t="shared" si="1"/>
        <v>157459735.20449251</v>
      </c>
      <c r="Q34" s="34">
        <f t="shared" si="2"/>
        <v>0</v>
      </c>
      <c r="R34" s="34">
        <f t="shared" si="12"/>
        <v>52683334.746054538</v>
      </c>
      <c r="S34" s="34">
        <f t="shared" si="13"/>
        <v>30352932.16942919</v>
      </c>
      <c r="T34" s="87">
        <f t="shared" si="14"/>
        <v>155995679.39600089</v>
      </c>
      <c r="U34" s="30"/>
      <c r="V34" s="32"/>
      <c r="X34" s="31"/>
      <c r="Y34" s="31"/>
      <c r="Z34" s="30"/>
      <c r="AA34" s="33"/>
    </row>
    <row r="35" spans="2:27" x14ac:dyDescent="0.25">
      <c r="B35" s="24">
        <f t="shared" si="9"/>
        <v>9</v>
      </c>
      <c r="C35" s="95">
        <f t="shared" si="9"/>
        <v>2025</v>
      </c>
      <c r="D35" s="95">
        <f t="shared" si="15"/>
        <v>78</v>
      </c>
      <c r="E35" s="34">
        <f t="shared" si="16"/>
        <v>46866.375240090623</v>
      </c>
      <c r="F35" s="55">
        <f>'Model (a) '!F35</f>
        <v>1405.9912572027192</v>
      </c>
      <c r="G35" s="35">
        <f t="shared" si="4"/>
        <v>3772.5662177724676</v>
      </c>
      <c r="H35" s="36">
        <f xml:space="preserve"> VLOOKUP( $D35, 'Mortality table'!$A$2:$B$111, 2, 0 ) * $E$18</f>
        <v>4.6339999999999999E-2</v>
      </c>
      <c r="I35" s="36">
        <f t="shared" si="17"/>
        <v>1</v>
      </c>
      <c r="J35" s="36">
        <f t="shared" si="10"/>
        <v>4.6339999999999999E-2</v>
      </c>
      <c r="K35" s="34">
        <f t="shared" si="5"/>
        <v>176806503.98021391</v>
      </c>
      <c r="L35" s="34">
        <f t="shared" si="6"/>
        <v>5304195.1194064189</v>
      </c>
      <c r="M35" s="34">
        <f t="shared" si="7"/>
        <v>1439724573.5066524</v>
      </c>
      <c r="N35" s="34">
        <f t="shared" si="8"/>
        <v>1439724573.5066524</v>
      </c>
      <c r="O35" s="34">
        <f t="shared" si="11"/>
        <v>-33066544.392943405</v>
      </c>
      <c r="P35" s="34">
        <f t="shared" si="1"/>
        <v>143972457.35066524</v>
      </c>
      <c r="Q35" s="34">
        <f t="shared" si="2"/>
        <v>0</v>
      </c>
      <c r="R35" s="34">
        <f t="shared" si="12"/>
        <v>48497598.442983687</v>
      </c>
      <c r="S35" s="34">
        <f t="shared" si="13"/>
        <v>28918331.90386755</v>
      </c>
      <c r="T35" s="87">
        <f t="shared" si="14"/>
        <v>142676915.43173346</v>
      </c>
      <c r="U35" s="30"/>
      <c r="V35" s="32"/>
      <c r="X35" s="31"/>
      <c r="Y35" s="31"/>
      <c r="Z35" s="30"/>
      <c r="AA35" s="33"/>
    </row>
    <row r="36" spans="2:27" x14ac:dyDescent="0.25">
      <c r="B36" s="24">
        <f t="shared" si="9"/>
        <v>10</v>
      </c>
      <c r="C36" s="95">
        <f t="shared" si="9"/>
        <v>2026</v>
      </c>
      <c r="D36" s="95">
        <f t="shared" si="15"/>
        <v>79</v>
      </c>
      <c r="E36" s="34">
        <f t="shared" si="16"/>
        <v>47803.702744892435</v>
      </c>
      <c r="F36" s="55">
        <f>'Model (a) '!F36</f>
        <v>1434.1110823467736</v>
      </c>
      <c r="G36" s="35">
        <f t="shared" si="4"/>
        <v>3577.6377213001642</v>
      </c>
      <c r="H36" s="36">
        <f xml:space="preserve"> VLOOKUP( $D36, 'Mortality table'!$A$2:$B$111, 2, 0 ) * $E$18</f>
        <v>5.1670000000000001E-2</v>
      </c>
      <c r="I36" s="36">
        <f t="shared" si="17"/>
        <v>1</v>
      </c>
      <c r="J36" s="36">
        <f t="shared" si="10"/>
        <v>5.1670000000000001E-2</v>
      </c>
      <c r="K36" s="34">
        <f t="shared" si="5"/>
        <v>171024330.15794736</v>
      </c>
      <c r="L36" s="34">
        <f t="shared" si="6"/>
        <v>5130729.9047384234</v>
      </c>
      <c r="M36" s="34">
        <f t="shared" si="7"/>
        <v>1306761250.6491663</v>
      </c>
      <c r="N36" s="34">
        <f t="shared" si="8"/>
        <v>1306761250.6491663</v>
      </c>
      <c r="O36" s="34">
        <f t="shared" si="11"/>
        <v>-30234216.043639842</v>
      </c>
      <c r="P36" s="34">
        <f t="shared" si="1"/>
        <v>130676125.06491664</v>
      </c>
      <c r="Q36" s="34">
        <f t="shared" si="2"/>
        <v>0</v>
      </c>
      <c r="R36" s="34">
        <f t="shared" si="12"/>
        <v>44343516.864004895</v>
      </c>
      <c r="S36" s="34">
        <f t="shared" si="13"/>
        <v>27405633.106113654</v>
      </c>
      <c r="T36" s="87">
        <f t="shared" si="14"/>
        <v>129538973.86879316</v>
      </c>
      <c r="U36" s="30"/>
      <c r="V36" s="32"/>
      <c r="X36" s="31"/>
      <c r="Y36" s="31"/>
      <c r="Z36" s="30"/>
      <c r="AA36" s="33"/>
    </row>
    <row r="37" spans="2:27" x14ac:dyDescent="0.25">
      <c r="B37" s="24">
        <f t="shared" si="9"/>
        <v>11</v>
      </c>
      <c r="C37" s="95">
        <f t="shared" si="9"/>
        <v>2027</v>
      </c>
      <c r="D37" s="95">
        <f t="shared" si="15"/>
        <v>80</v>
      </c>
      <c r="E37" s="34">
        <f t="shared" si="16"/>
        <v>48759.776799790285</v>
      </c>
      <c r="F37" s="55">
        <f>'Model (a) '!F37</f>
        <v>1462.7933039937091</v>
      </c>
      <c r="G37" s="35">
        <f t="shared" si="4"/>
        <v>3371.5657885532746</v>
      </c>
      <c r="H37" s="36">
        <f xml:space="preserve"> VLOOKUP( $D37, 'Mortality table'!$A$2:$B$111, 2, 0 ) * $E$18</f>
        <v>5.7599999999999998E-2</v>
      </c>
      <c r="I37" s="36">
        <f t="shared" si="17"/>
        <v>1</v>
      </c>
      <c r="J37" s="36">
        <f t="shared" si="10"/>
        <v>5.7599999999999998E-2</v>
      </c>
      <c r="K37" s="34">
        <f t="shared" si="5"/>
        <v>164396795.31566659</v>
      </c>
      <c r="L37" s="34">
        <f t="shared" si="6"/>
        <v>4931903.8594699996</v>
      </c>
      <c r="M37" s="34">
        <f t="shared" si="7"/>
        <v>1176635388.9935048</v>
      </c>
      <c r="N37" s="34">
        <f t="shared" si="8"/>
        <v>1176635388.9935048</v>
      </c>
      <c r="O37" s="34">
        <f t="shared" si="11"/>
        <v>-27441986.263632506</v>
      </c>
      <c r="P37" s="34">
        <f t="shared" si="1"/>
        <v>117663538.89935048</v>
      </c>
      <c r="Q37" s="34">
        <f t="shared" si="2"/>
        <v>0</v>
      </c>
      <c r="R37" s="34">
        <f t="shared" si="12"/>
        <v>40248246.519994318</v>
      </c>
      <c r="S37" s="34">
        <f t="shared" si="13"/>
        <v>25818846.421927974</v>
      </c>
      <c r="T37" s="87">
        <f t="shared" si="14"/>
        <v>116674024.83374451</v>
      </c>
      <c r="U37" s="30"/>
      <c r="V37" s="32"/>
      <c r="X37" s="31"/>
      <c r="Y37" s="31"/>
      <c r="Z37" s="30"/>
      <c r="AA37" s="33"/>
    </row>
    <row r="38" spans="2:27" x14ac:dyDescent="0.25">
      <c r="B38" s="24">
        <f t="shared" si="9"/>
        <v>12</v>
      </c>
      <c r="C38" s="95">
        <f t="shared" si="9"/>
        <v>2028</v>
      </c>
      <c r="D38" s="95">
        <f t="shared" si="15"/>
        <v>81</v>
      </c>
      <c r="E38" s="34">
        <f t="shared" si="16"/>
        <v>49734.972335786093</v>
      </c>
      <c r="F38" s="55">
        <f>'Model (a) '!F38</f>
        <v>1492.0491700735834</v>
      </c>
      <c r="G38" s="35">
        <f t="shared" si="4"/>
        <v>3155.0438336123834</v>
      </c>
      <c r="H38" s="36">
        <f xml:space="preserve"> VLOOKUP( $D38, 'Mortality table'!$A$2:$B$111, 2, 0 ) * $E$18</f>
        <v>6.4219999999999999E-2</v>
      </c>
      <c r="I38" s="36">
        <f t="shared" si="17"/>
        <v>1</v>
      </c>
      <c r="J38" s="36">
        <f t="shared" si="10"/>
        <v>6.4219999999999999E-2</v>
      </c>
      <c r="K38" s="34">
        <f t="shared" si="5"/>
        <v>156916017.78290439</v>
      </c>
      <c r="L38" s="34">
        <f t="shared" si="6"/>
        <v>4707480.5334871337</v>
      </c>
      <c r="M38" s="34">
        <f t="shared" si="7"/>
        <v>1050310952.3469186</v>
      </c>
      <c r="N38" s="34">
        <f t="shared" si="8"/>
        <v>1050310952.3469186</v>
      </c>
      <c r="O38" s="34">
        <f t="shared" si="11"/>
        <v>-24709343.168863744</v>
      </c>
      <c r="P38" s="34">
        <f t="shared" si="1"/>
        <v>105031095.23469186</v>
      </c>
      <c r="Q38" s="34">
        <f t="shared" si="2"/>
        <v>0</v>
      </c>
      <c r="R38" s="34">
        <f t="shared" si="12"/>
        <v>36240369.980999939</v>
      </c>
      <c r="S38" s="34">
        <f t="shared" si="13"/>
        <v>24163470.476794817</v>
      </c>
      <c r="T38" s="87">
        <f t="shared" si="14"/>
        <v>104177956.84032416</v>
      </c>
      <c r="U38" s="30"/>
      <c r="V38" s="32"/>
      <c r="X38" s="31"/>
      <c r="Y38" s="31"/>
      <c r="Z38" s="30"/>
      <c r="AA38" s="33"/>
    </row>
    <row r="39" spans="2:27" x14ac:dyDescent="0.25">
      <c r="B39" s="24">
        <f t="shared" si="9"/>
        <v>13</v>
      </c>
      <c r="C39" s="95">
        <f t="shared" si="9"/>
        <v>2029</v>
      </c>
      <c r="D39" s="95">
        <f t="shared" si="15"/>
        <v>82</v>
      </c>
      <c r="E39" s="34">
        <f t="shared" si="16"/>
        <v>50729.671782501813</v>
      </c>
      <c r="F39" s="55">
        <f>'Model (a) '!F39</f>
        <v>1521.8901534750551</v>
      </c>
      <c r="G39" s="35">
        <f t="shared" si="4"/>
        <v>2929.1426951257367</v>
      </c>
      <c r="H39" s="36">
        <f xml:space="preserve"> VLOOKUP( $D39, 'Mortality table'!$A$2:$B$111, 2, 0 ) * $E$18</f>
        <v>7.1599999999999997E-2</v>
      </c>
      <c r="I39" s="36">
        <f t="shared" si="17"/>
        <v>1</v>
      </c>
      <c r="J39" s="36">
        <f t="shared" si="10"/>
        <v>7.1599999999999997E-2</v>
      </c>
      <c r="K39" s="34">
        <f t="shared" si="5"/>
        <v>148594447.52784139</v>
      </c>
      <c r="L39" s="34">
        <f t="shared" si="6"/>
        <v>4457833.4258352434</v>
      </c>
      <c r="M39" s="34">
        <f t="shared" si="7"/>
        <v>928767999.96364951</v>
      </c>
      <c r="N39" s="34">
        <f t="shared" si="8"/>
        <v>928767999.96364951</v>
      </c>
      <c r="O39" s="34">
        <f t="shared" si="11"/>
        <v>-22056529.999285296</v>
      </c>
      <c r="P39" s="34">
        <f t="shared" si="1"/>
        <v>92876799.996364951</v>
      </c>
      <c r="Q39" s="34">
        <f t="shared" si="2"/>
        <v>0</v>
      </c>
      <c r="R39" s="34">
        <f t="shared" si="12"/>
        <v>32349577.332285091</v>
      </c>
      <c r="S39" s="34">
        <f t="shared" si="13"/>
        <v>22447342.571326703</v>
      </c>
      <c r="T39" s="87">
        <f t="shared" si="14"/>
        <v>92148409.953029886</v>
      </c>
      <c r="U39" s="30"/>
      <c r="V39" s="32"/>
      <c r="X39" s="31"/>
      <c r="Y39" s="31"/>
      <c r="Z39" s="30"/>
      <c r="AA39" s="33"/>
    </row>
    <row r="40" spans="2:27" x14ac:dyDescent="0.25">
      <c r="B40" s="24">
        <f t="shared" si="9"/>
        <v>14</v>
      </c>
      <c r="C40" s="95">
        <f t="shared" si="9"/>
        <v>2030</v>
      </c>
      <c r="D40" s="95">
        <f t="shared" si="15"/>
        <v>83</v>
      </c>
      <c r="E40" s="34">
        <f t="shared" si="16"/>
        <v>51744.26521815185</v>
      </c>
      <c r="F40" s="55">
        <f>'Model (a) '!F40</f>
        <v>1552.3279565445562</v>
      </c>
      <c r="G40" s="35">
        <f t="shared" si="4"/>
        <v>2695.3092337738494</v>
      </c>
      <c r="H40" s="36">
        <f xml:space="preserve"> VLOOKUP( $D40, 'Mortality table'!$A$2:$B$111, 2, 0 ) * $E$18</f>
        <v>7.9829999999999998E-2</v>
      </c>
      <c r="I40" s="36">
        <f t="shared" si="17"/>
        <v>1</v>
      </c>
      <c r="J40" s="36">
        <f t="shared" si="10"/>
        <v>7.9829999999999998E-2</v>
      </c>
      <c r="K40" s="34">
        <f t="shared" si="5"/>
        <v>139466795.83732772</v>
      </c>
      <c r="L40" s="34">
        <f t="shared" si="6"/>
        <v>4184003.8751198333</v>
      </c>
      <c r="M40" s="34">
        <f t="shared" si="7"/>
        <v>812980240.25011146</v>
      </c>
      <c r="N40" s="34">
        <f t="shared" si="8"/>
        <v>812980240.25011146</v>
      </c>
      <c r="O40" s="34">
        <f t="shared" si="11"/>
        <v>-19504127.999236651</v>
      </c>
      <c r="P40" s="34">
        <f t="shared" si="1"/>
        <v>81298024.025011152</v>
      </c>
      <c r="Q40" s="34">
        <f t="shared" si="2"/>
        <v>0</v>
      </c>
      <c r="R40" s="34">
        <f t="shared" si="12"/>
        <v>28606054.398880403</v>
      </c>
      <c r="S40" s="34">
        <f t="shared" si="13"/>
        <v>20680702.370997552</v>
      </c>
      <c r="T40" s="87">
        <f t="shared" si="14"/>
        <v>80682548.577335328</v>
      </c>
      <c r="U40" s="30"/>
      <c r="V40" s="32"/>
      <c r="X40" s="31"/>
      <c r="Y40" s="31"/>
      <c r="Z40" s="30"/>
      <c r="AA40" s="33"/>
    </row>
    <row r="41" spans="2:27" x14ac:dyDescent="0.25">
      <c r="B41" s="24">
        <f t="shared" si="9"/>
        <v>15</v>
      </c>
      <c r="C41" s="95">
        <f t="shared" si="9"/>
        <v>2031</v>
      </c>
      <c r="D41" s="95">
        <f t="shared" si="15"/>
        <v>84</v>
      </c>
      <c r="E41" s="34">
        <f t="shared" si="16"/>
        <v>52779.150522514887</v>
      </c>
      <c r="F41" s="55">
        <f>'Model (a) '!F41</f>
        <v>1583.3745156754474</v>
      </c>
      <c r="G41" s="35">
        <f t="shared" si="4"/>
        <v>2455.5345243373276</v>
      </c>
      <c r="H41" s="36">
        <f xml:space="preserve"> VLOOKUP( $D41, 'Mortality table'!$A$2:$B$111, 2, 0 ) * $E$18</f>
        <v>8.8959999999999997E-2</v>
      </c>
      <c r="I41" s="36">
        <f t="shared" si="17"/>
        <v>1</v>
      </c>
      <c r="J41" s="36">
        <f t="shared" si="10"/>
        <v>8.8959999999999997E-2</v>
      </c>
      <c r="K41" s="34">
        <f t="shared" si="5"/>
        <v>129601026.2732318</v>
      </c>
      <c r="L41" s="34">
        <f t="shared" si="6"/>
        <v>3888030.7881969563</v>
      </c>
      <c r="M41" s="34">
        <f t="shared" si="7"/>
        <v>703880590.39618599</v>
      </c>
      <c r="N41" s="34">
        <f t="shared" si="8"/>
        <v>703880590.39618599</v>
      </c>
      <c r="O41" s="34">
        <f t="shared" si="11"/>
        <v>-17072585.045252301</v>
      </c>
      <c r="P41" s="34">
        <f t="shared" si="1"/>
        <v>70388059.039618596</v>
      </c>
      <c r="Q41" s="34">
        <f t="shared" si="2"/>
        <v>0</v>
      </c>
      <c r="R41" s="34">
        <f t="shared" si="12"/>
        <v>25039791.399703432</v>
      </c>
      <c r="S41" s="34">
        <f t="shared" si="13"/>
        <v>18877171.339843687</v>
      </c>
      <c r="T41" s="87">
        <f t="shared" si="14"/>
        <v>69873632.095225185</v>
      </c>
      <c r="U41" s="30"/>
      <c r="V41" s="32"/>
      <c r="X41" s="31"/>
      <c r="Y41" s="31"/>
      <c r="Z41" s="30"/>
      <c r="AA41" s="33"/>
    </row>
    <row r="42" spans="2:27" x14ac:dyDescent="0.25">
      <c r="B42" s="24">
        <f t="shared" si="9"/>
        <v>16</v>
      </c>
      <c r="C42" s="95">
        <f t="shared" si="9"/>
        <v>2032</v>
      </c>
      <c r="D42" s="95">
        <f t="shared" si="15"/>
        <v>85</v>
      </c>
      <c r="E42" s="34">
        <f t="shared" si="16"/>
        <v>53834.733532965183</v>
      </c>
      <c r="F42" s="55">
        <f>'Model (a) '!F42</f>
        <v>1615.0420059889564</v>
      </c>
      <c r="G42" s="35">
        <f t="shared" si="4"/>
        <v>2212.2647190112284</v>
      </c>
      <c r="H42" s="36">
        <f xml:space="preserve"> VLOOKUP( $D42, 'Mortality table'!$A$2:$B$111, 2, 0 ) * $E$18</f>
        <v>9.9070000000000005E-2</v>
      </c>
      <c r="I42" s="36">
        <f t="shared" si="17"/>
        <v>1</v>
      </c>
      <c r="J42" s="36">
        <f t="shared" si="10"/>
        <v>9.9070000000000005E-2</v>
      </c>
      <c r="K42" s="34">
        <f t="shared" si="5"/>
        <v>119096681.65234958</v>
      </c>
      <c r="L42" s="34">
        <f t="shared" si="6"/>
        <v>3572900.4495704891</v>
      </c>
      <c r="M42" s="34">
        <f t="shared" si="7"/>
        <v>602327426.00615156</v>
      </c>
      <c r="N42" s="34">
        <f t="shared" si="8"/>
        <v>602327426.00615156</v>
      </c>
      <c r="O42" s="34">
        <f t="shared" si="11"/>
        <v>-14781492.398319941</v>
      </c>
      <c r="P42" s="34">
        <f t="shared" si="1"/>
        <v>60232742.600615159</v>
      </c>
      <c r="Q42" s="34">
        <f t="shared" si="2"/>
        <v>0</v>
      </c>
      <c r="R42" s="34">
        <f t="shared" si="12"/>
        <v>21679522.184202526</v>
      </c>
      <c r="S42" s="34">
        <f t="shared" si="13"/>
        <v>17053346.224886023</v>
      </c>
      <c r="T42" s="87">
        <f t="shared" si="14"/>
        <v>59807649.079861693</v>
      </c>
      <c r="U42" s="30"/>
      <c r="V42" s="32"/>
      <c r="X42" s="31"/>
      <c r="Y42" s="31"/>
      <c r="Z42" s="30"/>
      <c r="AA42" s="33"/>
    </row>
    <row r="43" spans="2:27" x14ac:dyDescent="0.25">
      <c r="B43" s="24">
        <f t="shared" si="9"/>
        <v>17</v>
      </c>
      <c r="C43" s="95">
        <f t="shared" si="9"/>
        <v>2033</v>
      </c>
      <c r="D43" s="95">
        <f t="shared" si="15"/>
        <v>86</v>
      </c>
      <c r="E43" s="34">
        <f t="shared" si="16"/>
        <v>54911.428203624491</v>
      </c>
      <c r="F43" s="55">
        <f>'Model (a) '!F43</f>
        <v>1647.3428461087356</v>
      </c>
      <c r="G43" s="35">
        <f t="shared" si="4"/>
        <v>1968.4731469761912</v>
      </c>
      <c r="H43" s="36">
        <f xml:space="preserve"> VLOOKUP( $D43, 'Mortality table'!$A$2:$B$111, 2, 0 ) * $E$18</f>
        <v>0.11020000000000001</v>
      </c>
      <c r="I43" s="36">
        <f t="shared" si="17"/>
        <v>1</v>
      </c>
      <c r="J43" s="36">
        <f t="shared" si="10"/>
        <v>0.11020000000000001</v>
      </c>
      <c r="K43" s="34">
        <f t="shared" si="5"/>
        <v>108091671.88094588</v>
      </c>
      <c r="L43" s="34">
        <f t="shared" si="6"/>
        <v>3242750.1564283781</v>
      </c>
      <c r="M43" s="34">
        <f t="shared" si="7"/>
        <v>509062826.74896181</v>
      </c>
      <c r="N43" s="34">
        <f t="shared" si="8"/>
        <v>509062826.74896181</v>
      </c>
      <c r="O43" s="34">
        <f t="shared" si="11"/>
        <v>-12648875.946129154</v>
      </c>
      <c r="P43" s="34">
        <f t="shared" si="1"/>
        <v>50906282.674896181</v>
      </c>
      <c r="Q43" s="34">
        <f t="shared" si="2"/>
        <v>0</v>
      </c>
      <c r="R43" s="34">
        <f t="shared" si="12"/>
        <v>18551684.720989466</v>
      </c>
      <c r="S43" s="34">
        <f t="shared" si="13"/>
        <v>15229268.700579289</v>
      </c>
      <c r="T43" s="87">
        <f t="shared" si="14"/>
        <v>50559145.287268579</v>
      </c>
      <c r="U43" s="30"/>
      <c r="V43" s="32"/>
      <c r="X43" s="31"/>
      <c r="Y43" s="31"/>
      <c r="Z43" s="30"/>
      <c r="AA43" s="33"/>
    </row>
    <row r="44" spans="2:27" x14ac:dyDescent="0.25">
      <c r="B44" s="24">
        <f t="shared" si="9"/>
        <v>18</v>
      </c>
      <c r="C44" s="95">
        <f t="shared" si="9"/>
        <v>2034</v>
      </c>
      <c r="D44" s="95">
        <f t="shared" si="15"/>
        <v>87</v>
      </c>
      <c r="E44" s="34">
        <f t="shared" si="16"/>
        <v>56009.656767696979</v>
      </c>
      <c r="F44" s="55">
        <f>'Model (a) '!F44</f>
        <v>1680.2897030309102</v>
      </c>
      <c r="G44" s="35">
        <f t="shared" si="4"/>
        <v>1727.6107727121844</v>
      </c>
      <c r="H44" s="36">
        <f xml:space="preserve"> VLOOKUP( $D44, 'Mortality table'!$A$2:$B$111, 2, 0 ) * $E$18</f>
        <v>0.12236</v>
      </c>
      <c r="I44" s="36">
        <f t="shared" si="17"/>
        <v>1</v>
      </c>
      <c r="J44" s="36">
        <f t="shared" si="10"/>
        <v>0.12236</v>
      </c>
      <c r="K44" s="34">
        <f t="shared" si="5"/>
        <v>96762886.407785207</v>
      </c>
      <c r="L44" s="34">
        <f t="shared" si="6"/>
        <v>2902886.5922335577</v>
      </c>
      <c r="M44" s="34">
        <f t="shared" si="7"/>
        <v>424668938.55141193</v>
      </c>
      <c r="N44" s="34">
        <f t="shared" si="8"/>
        <v>424668938.55141193</v>
      </c>
      <c r="O44" s="34">
        <f t="shared" si="11"/>
        <v>-10690319.361728216</v>
      </c>
      <c r="P44" s="34">
        <f t="shared" si="1"/>
        <v>42466893.855141193</v>
      </c>
      <c r="Q44" s="34">
        <f t="shared" si="2"/>
        <v>0</v>
      </c>
      <c r="R44" s="34">
        <f t="shared" si="12"/>
        <v>15679135.063868022</v>
      </c>
      <c r="S44" s="34">
        <f t="shared" si="13"/>
        <v>13428204.521894794</v>
      </c>
      <c r="T44" s="87">
        <f t="shared" si="14"/>
        <v>42186855.294100642</v>
      </c>
      <c r="U44" s="30"/>
      <c r="V44" s="32"/>
      <c r="X44" s="31"/>
      <c r="Y44" s="31"/>
      <c r="Z44" s="30"/>
      <c r="AA44" s="33"/>
    </row>
    <row r="45" spans="2:27" x14ac:dyDescent="0.25">
      <c r="B45" s="24">
        <f t="shared" si="9"/>
        <v>19</v>
      </c>
      <c r="C45" s="95">
        <f t="shared" si="9"/>
        <v>2035</v>
      </c>
      <c r="D45" s="95">
        <f t="shared" si="15"/>
        <v>88</v>
      </c>
      <c r="E45" s="34">
        <f t="shared" ref="E45:E60" si="18" xml:space="preserve"> E44 * ( 1 + $E$16 )</f>
        <v>57129.849903050919</v>
      </c>
      <c r="F45" s="55">
        <f>'Model (a) '!F45</f>
        <v>1713.8954970915286</v>
      </c>
      <c r="G45" s="35">
        <f t="shared" si="4"/>
        <v>1493.7959307333174</v>
      </c>
      <c r="H45" s="36">
        <f xml:space="preserve"> VLOOKUP( $D45, 'Mortality table'!$A$2:$B$111, 2, 0 ) * $E$18</f>
        <v>0.13533999999999999</v>
      </c>
      <c r="I45" s="36">
        <f t="shared" si="17"/>
        <v>1</v>
      </c>
      <c r="J45" s="36">
        <f t="shared" si="10"/>
        <v>0.13533999999999999</v>
      </c>
      <c r="K45" s="34">
        <f t="shared" si="5"/>
        <v>85340337.308582664</v>
      </c>
      <c r="L45" s="34">
        <f t="shared" si="6"/>
        <v>2560210.1192574818</v>
      </c>
      <c r="M45" s="34">
        <f t="shared" si="7"/>
        <v>349508459.28011411</v>
      </c>
      <c r="N45" s="34">
        <f t="shared" si="8"/>
        <v>349508459.28011411</v>
      </c>
      <c r="O45" s="34">
        <f t="shared" si="11"/>
        <v>-8918047.7095796317</v>
      </c>
      <c r="P45" s="34">
        <f t="shared" si="1"/>
        <v>34950845.92801141</v>
      </c>
      <c r="Q45" s="34">
        <f t="shared" si="2"/>
        <v>0</v>
      </c>
      <c r="R45" s="34">
        <f t="shared" si="12"/>
        <v>13079803.307383487</v>
      </c>
      <c r="S45" s="34">
        <f t="shared" si="13"/>
        <v>11677803.524933638</v>
      </c>
      <c r="T45" s="87">
        <f t="shared" si="14"/>
        <v>34727737.29857707</v>
      </c>
      <c r="U45" s="30"/>
      <c r="V45" s="32"/>
      <c r="X45" s="31"/>
      <c r="Y45" s="31"/>
      <c r="Z45" s="30"/>
      <c r="AA45" s="33"/>
    </row>
    <row r="46" spans="2:27" x14ac:dyDescent="0.25">
      <c r="B46" s="24">
        <f t="shared" si="9"/>
        <v>20</v>
      </c>
      <c r="C46" s="95">
        <f t="shared" si="9"/>
        <v>2036</v>
      </c>
      <c r="D46" s="95">
        <f t="shared" si="15"/>
        <v>89</v>
      </c>
      <c r="E46" s="34">
        <f t="shared" si="18"/>
        <v>58272.446901111936</v>
      </c>
      <c r="F46" s="55">
        <f>'Model (a) '!F46</f>
        <v>1748.1734070333591</v>
      </c>
      <c r="G46" s="35">
        <f t="shared" si="4"/>
        <v>1271.3398407285119</v>
      </c>
      <c r="H46" s="36">
        <f xml:space="preserve"> VLOOKUP( $D46, 'Mortality table'!$A$2:$B$111, 2, 0 ) * $E$18</f>
        <v>0.14892</v>
      </c>
      <c r="I46" s="36">
        <f t="shared" si="17"/>
        <v>1</v>
      </c>
      <c r="J46" s="36">
        <f t="shared" si="10"/>
        <v>0.14892</v>
      </c>
      <c r="K46" s="34">
        <f t="shared" si="5"/>
        <v>74084083.362120315</v>
      </c>
      <c r="L46" s="34">
        <f t="shared" si="6"/>
        <v>2222522.5008636108</v>
      </c>
      <c r="M46" s="34">
        <f t="shared" si="7"/>
        <v>283687107.19553363</v>
      </c>
      <c r="N46" s="34">
        <f t="shared" si="8"/>
        <v>283687107.19553363</v>
      </c>
      <c r="O46" s="34">
        <f t="shared" si="11"/>
        <v>-7339677.6448824117</v>
      </c>
      <c r="P46" s="34">
        <f t="shared" si="1"/>
        <v>28368710.719553366</v>
      </c>
      <c r="Q46" s="34">
        <f t="shared" si="2"/>
        <v>0</v>
      </c>
      <c r="R46" s="34">
        <f t="shared" si="12"/>
        <v>10764860.545827514</v>
      </c>
      <c r="S46" s="34">
        <f t="shared" si="13"/>
        <v>10007318.109403145</v>
      </c>
      <c r="T46" s="87">
        <f t="shared" si="14"/>
        <v>28193192.919031642</v>
      </c>
      <c r="U46" s="30"/>
      <c r="V46" s="32"/>
      <c r="X46" s="31"/>
      <c r="Y46" s="31"/>
      <c r="Z46" s="30"/>
      <c r="AA46" s="33"/>
    </row>
    <row r="47" spans="2:27" x14ac:dyDescent="0.25">
      <c r="B47" s="24">
        <f t="shared" si="9"/>
        <v>21</v>
      </c>
      <c r="C47" s="95">
        <f t="shared" si="9"/>
        <v>2037</v>
      </c>
      <c r="D47" s="95">
        <f t="shared" si="15"/>
        <v>90</v>
      </c>
      <c r="E47" s="34">
        <f t="shared" si="18"/>
        <v>59437.895839134173</v>
      </c>
      <c r="F47" s="55">
        <f>'Model (a) '!F47</f>
        <v>1783.1368751740263</v>
      </c>
      <c r="G47" s="35">
        <f t="shared" si="4"/>
        <v>1064.2894342674665</v>
      </c>
      <c r="H47" s="36">
        <f xml:space="preserve"> VLOOKUP( $D47, 'Mortality table'!$A$2:$B$111, 2, 0 ) * $E$18</f>
        <v>0.16286</v>
      </c>
      <c r="I47" s="36">
        <f t="shared" si="17"/>
        <v>1</v>
      </c>
      <c r="J47" s="36">
        <f t="shared" si="10"/>
        <v>0.16286</v>
      </c>
      <c r="K47" s="34">
        <f t="shared" si="5"/>
        <v>63259124.536680713</v>
      </c>
      <c r="L47" s="34">
        <f t="shared" si="6"/>
        <v>1897773.7361004225</v>
      </c>
      <c r="M47" s="34">
        <f t="shared" si="7"/>
        <v>227040822.13861853</v>
      </c>
      <c r="N47" s="34">
        <f t="shared" si="8"/>
        <v>227040822.13861853</v>
      </c>
      <c r="O47" s="34">
        <f t="shared" si="11"/>
        <v>-5957429.2511062203</v>
      </c>
      <c r="P47" s="34">
        <f t="shared" si="1"/>
        <v>22704082.213861853</v>
      </c>
      <c r="Q47" s="34">
        <f t="shared" si="2"/>
        <v>0</v>
      </c>
      <c r="R47" s="34">
        <f t="shared" si="12"/>
        <v>8737562.9016224351</v>
      </c>
      <c r="S47" s="34">
        <f t="shared" si="13"/>
        <v>8444762.1562077291</v>
      </c>
      <c r="T47" s="87">
        <f t="shared" si="14"/>
        <v>22567750.054727081</v>
      </c>
      <c r="U47" s="30"/>
      <c r="V47" s="32"/>
      <c r="X47" s="31"/>
      <c r="Y47" s="31"/>
      <c r="Z47" s="30"/>
      <c r="AA47" s="33"/>
    </row>
    <row r="48" spans="2:27" x14ac:dyDescent="0.25">
      <c r="B48" s="24">
        <f t="shared" si="9"/>
        <v>22</v>
      </c>
      <c r="C48" s="95">
        <f t="shared" si="9"/>
        <v>2038</v>
      </c>
      <c r="D48" s="95">
        <f t="shared" si="15"/>
        <v>91</v>
      </c>
      <c r="E48" s="34">
        <f t="shared" si="18"/>
        <v>60626.653755916857</v>
      </c>
      <c r="F48" s="55">
        <f>'Model (a) '!F48</f>
        <v>1818.7996126775067</v>
      </c>
      <c r="G48" s="35">
        <f t="shared" si="4"/>
        <v>875.95277597949564</v>
      </c>
      <c r="H48" s="36">
        <f xml:space="preserve"> VLOOKUP( $D48, 'Mortality table'!$A$2:$B$111, 2, 0 ) * $E$18</f>
        <v>0.17696000000000001</v>
      </c>
      <c r="I48" s="36">
        <f t="shared" si="17"/>
        <v>1</v>
      </c>
      <c r="J48" s="36">
        <f t="shared" si="10"/>
        <v>0.17696000000000001</v>
      </c>
      <c r="K48" s="34">
        <f t="shared" si="5"/>
        <v>53106085.655843087</v>
      </c>
      <c r="L48" s="34">
        <f t="shared" si="6"/>
        <v>1593182.5696752935</v>
      </c>
      <c r="M48" s="34">
        <f t="shared" si="7"/>
        <v>179152778.57725871</v>
      </c>
      <c r="N48" s="34">
        <f t="shared" si="8"/>
        <v>179152778.57725871</v>
      </c>
      <c r="O48" s="34">
        <f t="shared" si="11"/>
        <v>-4767857.2649109922</v>
      </c>
      <c r="P48" s="34">
        <f t="shared" si="1"/>
        <v>17915277.85772587</v>
      </c>
      <c r="Q48" s="34">
        <f t="shared" si="2"/>
        <v>0</v>
      </c>
      <c r="R48" s="34">
        <f t="shared" si="12"/>
        <v>6992857.3218694506</v>
      </c>
      <c r="S48" s="34">
        <f t="shared" si="13"/>
        <v>7013804.4130944414</v>
      </c>
      <c r="T48" s="87">
        <f t="shared" si="14"/>
        <v>17810720.647105347</v>
      </c>
      <c r="U48" s="30"/>
      <c r="V48" s="32"/>
      <c r="X48" s="31"/>
      <c r="Y48" s="31"/>
      <c r="Z48" s="30"/>
      <c r="AA48" s="33"/>
    </row>
    <row r="49" spans="2:27" x14ac:dyDescent="0.25">
      <c r="B49" s="24">
        <f t="shared" si="9"/>
        <v>23</v>
      </c>
      <c r="C49" s="95">
        <f t="shared" si="9"/>
        <v>2039</v>
      </c>
      <c r="D49" s="95">
        <f t="shared" si="15"/>
        <v>92</v>
      </c>
      <c r="E49" s="34">
        <f t="shared" si="18"/>
        <v>61839.186831035193</v>
      </c>
      <c r="F49" s="55">
        <f>'Model (a) '!F49</f>
        <v>1855.1756049310568</v>
      </c>
      <c r="G49" s="35">
        <f t="shared" si="4"/>
        <v>708.62827671189245</v>
      </c>
      <c r="H49" s="36">
        <f xml:space="preserve"> VLOOKUP( $D49, 'Mortality table'!$A$2:$B$111, 2, 0 ) * $E$18</f>
        <v>0.19102</v>
      </c>
      <c r="I49" s="36">
        <f t="shared" si="17"/>
        <v>1</v>
      </c>
      <c r="J49" s="36">
        <f t="shared" si="10"/>
        <v>0.19102</v>
      </c>
      <c r="K49" s="34">
        <f t="shared" si="5"/>
        <v>43820996.397341222</v>
      </c>
      <c r="L49" s="34">
        <f t="shared" si="6"/>
        <v>1314629.8919202373</v>
      </c>
      <c r="M49" s="34">
        <f t="shared" si="7"/>
        <v>139391735.64531502</v>
      </c>
      <c r="N49" s="34">
        <f t="shared" si="8"/>
        <v>139391735.64531502</v>
      </c>
      <c r="O49" s="34">
        <f t="shared" si="11"/>
        <v>-3762208.3501224425</v>
      </c>
      <c r="P49" s="34">
        <f t="shared" si="1"/>
        <v>13939173.564531503</v>
      </c>
      <c r="Q49" s="34">
        <f t="shared" si="2"/>
        <v>0</v>
      </c>
      <c r="R49" s="34">
        <f t="shared" si="12"/>
        <v>5517905.5801795674</v>
      </c>
      <c r="S49" s="34">
        <f t="shared" si="13"/>
        <v>5731801.5232514916</v>
      </c>
      <c r="T49" s="87">
        <f t="shared" si="14"/>
        <v>13859991.188564392</v>
      </c>
      <c r="U49" s="30"/>
      <c r="V49" s="32"/>
      <c r="X49" s="31"/>
      <c r="Y49" s="31"/>
      <c r="Z49" s="30"/>
      <c r="AA49" s="33"/>
    </row>
    <row r="50" spans="2:27" x14ac:dyDescent="0.25">
      <c r="B50" s="24">
        <f t="shared" si="9"/>
        <v>24</v>
      </c>
      <c r="C50" s="95">
        <f t="shared" si="9"/>
        <v>2040</v>
      </c>
      <c r="D50" s="95">
        <f t="shared" si="15"/>
        <v>93</v>
      </c>
      <c r="E50" s="34">
        <f t="shared" si="18"/>
        <v>63075.970567655895</v>
      </c>
      <c r="F50" s="55">
        <f>'Model (a) '!F50</f>
        <v>1892.279117029678</v>
      </c>
      <c r="G50" s="35">
        <f t="shared" si="4"/>
        <v>563.47286051022843</v>
      </c>
      <c r="H50" s="36">
        <f xml:space="preserve"> VLOOKUP( $D50, 'Mortality table'!$A$2:$B$111, 2, 0 ) * $E$18</f>
        <v>0.20483999999999999</v>
      </c>
      <c r="I50" s="36">
        <f t="shared" si="17"/>
        <v>1</v>
      </c>
      <c r="J50" s="36">
        <f t="shared" si="10"/>
        <v>0.20483999999999999</v>
      </c>
      <c r="K50" s="34">
        <f t="shared" si="5"/>
        <v>35541597.565216042</v>
      </c>
      <c r="L50" s="34">
        <f t="shared" si="6"/>
        <v>1066247.926956482</v>
      </c>
      <c r="M50" s="34">
        <f t="shared" si="7"/>
        <v>106965642.22250195</v>
      </c>
      <c r="N50" s="34">
        <f t="shared" si="8"/>
        <v>106965642.22250195</v>
      </c>
      <c r="O50" s="34">
        <f t="shared" si="11"/>
        <v>-2927226.4485516157</v>
      </c>
      <c r="P50" s="34">
        <f t="shared" si="1"/>
        <v>10696564.222250195</v>
      </c>
      <c r="Q50" s="34">
        <f t="shared" si="2"/>
        <v>0</v>
      </c>
      <c r="R50" s="34">
        <f t="shared" si="12"/>
        <v>4293265.4578757025</v>
      </c>
      <c r="S50" s="34">
        <f t="shared" si="13"/>
        <v>4608648.3516053949</v>
      </c>
      <c r="T50" s="87">
        <f t="shared" si="14"/>
        <v>10637341.955815438</v>
      </c>
      <c r="U50" s="30"/>
      <c r="V50" s="32"/>
      <c r="X50" s="31"/>
      <c r="Y50" s="31"/>
      <c r="Z50" s="30"/>
      <c r="AA50" s="33"/>
    </row>
    <row r="51" spans="2:27" x14ac:dyDescent="0.25">
      <c r="B51" s="24">
        <f t="shared" si="9"/>
        <v>25</v>
      </c>
      <c r="C51" s="95">
        <f t="shared" si="9"/>
        <v>2041</v>
      </c>
      <c r="D51" s="95">
        <f t="shared" si="15"/>
        <v>94</v>
      </c>
      <c r="E51" s="34">
        <f t="shared" si="18"/>
        <v>64337.489979009013</v>
      </c>
      <c r="F51" s="55">
        <f>'Model (a) '!F51</f>
        <v>1930.1246993702716</v>
      </c>
      <c r="G51" s="35">
        <f t="shared" si="4"/>
        <v>440.50054343247621</v>
      </c>
      <c r="H51" s="36">
        <f xml:space="preserve"> VLOOKUP( $D51, 'Mortality table'!$A$2:$B$111, 2, 0 ) * $E$18</f>
        <v>0.21823999999999999</v>
      </c>
      <c r="I51" s="36">
        <f t="shared" si="17"/>
        <v>1</v>
      </c>
      <c r="J51" s="36">
        <f t="shared" si="10"/>
        <v>0.21823999999999999</v>
      </c>
      <c r="K51" s="34">
        <f t="shared" si="5"/>
        <v>28340699.298834961</v>
      </c>
      <c r="L51" s="34">
        <f t="shared" si="6"/>
        <v>850220.97896504938</v>
      </c>
      <c r="M51" s="34">
        <f t="shared" si="7"/>
        <v>80983691.211376995</v>
      </c>
      <c r="N51" s="34">
        <f t="shared" si="8"/>
        <v>80983691.211376995</v>
      </c>
      <c r="O51" s="34">
        <f t="shared" si="11"/>
        <v>-2246278.4866725383</v>
      </c>
      <c r="P51" s="34">
        <f t="shared" si="1"/>
        <v>8098369.1211377</v>
      </c>
      <c r="Q51" s="34">
        <f t="shared" si="2"/>
        <v>0</v>
      </c>
      <c r="R51" s="34">
        <f t="shared" si="12"/>
        <v>3294541.7804530598</v>
      </c>
      <c r="S51" s="34">
        <f t="shared" si="13"/>
        <v>3646458.3948930167</v>
      </c>
      <c r="T51" s="87">
        <f t="shared" si="14"/>
        <v>8054617.7565039657</v>
      </c>
      <c r="U51" s="30"/>
      <c r="V51" s="32"/>
      <c r="X51" s="31"/>
      <c r="Y51" s="31"/>
      <c r="Z51" s="30"/>
      <c r="AA51" s="33"/>
    </row>
    <row r="52" spans="2:27" x14ac:dyDescent="0.25">
      <c r="B52" s="24">
        <f t="shared" si="9"/>
        <v>26</v>
      </c>
      <c r="C52" s="95">
        <f t="shared" si="9"/>
        <v>2042</v>
      </c>
      <c r="D52" s="95">
        <f t="shared" si="15"/>
        <v>95</v>
      </c>
      <c r="E52" s="34">
        <f t="shared" si="18"/>
        <v>65624.239778589195</v>
      </c>
      <c r="F52" s="55">
        <f>'Model (a) '!F52</f>
        <v>1968.7271933576772</v>
      </c>
      <c r="G52" s="35">
        <f t="shared" si="4"/>
        <v>338.71848786696825</v>
      </c>
      <c r="H52" s="36">
        <f xml:space="preserve"> VLOOKUP( $D52, 'Mortality table'!$A$2:$B$111, 2, 0 ) * $E$18</f>
        <v>0.23105999999999999</v>
      </c>
      <c r="I52" s="36">
        <f t="shared" si="17"/>
        <v>1</v>
      </c>
      <c r="J52" s="36">
        <f t="shared" si="10"/>
        <v>0.23105999999999999</v>
      </c>
      <c r="K52" s="34">
        <f t="shared" si="5"/>
        <v>22228143.265223078</v>
      </c>
      <c r="L52" s="34">
        <f t="shared" si="6"/>
        <v>666844.29795669287</v>
      </c>
      <c r="M52" s="34">
        <f t="shared" si="7"/>
        <v>60518214.384538539</v>
      </c>
      <c r="N52" s="34">
        <f t="shared" si="8"/>
        <v>60518214.384538539</v>
      </c>
      <c r="O52" s="34">
        <f t="shared" si="11"/>
        <v>-1700657.5154389213</v>
      </c>
      <c r="P52" s="34">
        <f t="shared" si="1"/>
        <v>6051821.4384538541</v>
      </c>
      <c r="Q52" s="34">
        <f t="shared" si="2"/>
        <v>0</v>
      </c>
      <c r="R52" s="34">
        <f t="shared" si="12"/>
        <v>2494297.6893104115</v>
      </c>
      <c r="S52" s="34">
        <f t="shared" si="13"/>
        <v>2840187.8565553362</v>
      </c>
      <c r="T52" s="87">
        <f t="shared" si="14"/>
        <v>6019891.6755990265</v>
      </c>
      <c r="U52" s="30"/>
      <c r="V52" s="32"/>
      <c r="X52" s="31"/>
      <c r="Y52" s="31"/>
      <c r="Z52" s="30"/>
      <c r="AA52" s="33"/>
    </row>
    <row r="53" spans="2:27" x14ac:dyDescent="0.25">
      <c r="B53" s="24">
        <f t="shared" si="9"/>
        <v>27</v>
      </c>
      <c r="C53" s="95">
        <f t="shared" si="9"/>
        <v>2043</v>
      </c>
      <c r="D53" s="95">
        <f t="shared" si="15"/>
        <v>96</v>
      </c>
      <c r="E53" s="34">
        <f t="shared" si="18"/>
        <v>66936.72457416098</v>
      </c>
      <c r="F53" s="55">
        <f>'Model (a) '!F53</f>
        <v>2008.1017372248307</v>
      </c>
      <c r="G53" s="35">
        <f t="shared" si="4"/>
        <v>256.35908754211493</v>
      </c>
      <c r="H53" s="36">
        <f xml:space="preserve"> VLOOKUP( $D53, 'Mortality table'!$A$2:$B$111, 2, 0 ) * $E$18</f>
        <v>0.24315000000000001</v>
      </c>
      <c r="I53" s="36">
        <f t="shared" si="17"/>
        <v>1</v>
      </c>
      <c r="J53" s="36">
        <f t="shared" si="10"/>
        <v>0.24315000000000001</v>
      </c>
      <c r="K53" s="34">
        <f t="shared" si="5"/>
        <v>17159837.63488977</v>
      </c>
      <c r="L53" s="34">
        <f t="shared" si="6"/>
        <v>514795.12904669344</v>
      </c>
      <c r="M53" s="34">
        <f t="shared" si="7"/>
        <v>44659128.052138232</v>
      </c>
      <c r="N53" s="34">
        <f t="shared" si="8"/>
        <v>44659128.052138232</v>
      </c>
      <c r="O53" s="34">
        <f t="shared" si="11"/>
        <v>-1270882.5020753096</v>
      </c>
      <c r="P53" s="34">
        <f t="shared" si="1"/>
        <v>4465912.805213823</v>
      </c>
      <c r="Q53" s="34">
        <f t="shared" si="2"/>
        <v>0</v>
      </c>
      <c r="R53" s="34">
        <f t="shared" si="12"/>
        <v>1863961.0030437866</v>
      </c>
      <c r="S53" s="34">
        <f t="shared" si="13"/>
        <v>2178987.1342085078</v>
      </c>
      <c r="T53" s="87">
        <f t="shared" si="14"/>
        <v>4442893.7089504218</v>
      </c>
      <c r="U53" s="30"/>
      <c r="V53" s="32"/>
      <c r="X53" s="31"/>
      <c r="Y53" s="31"/>
      <c r="Z53" s="30"/>
      <c r="AA53" s="33"/>
    </row>
    <row r="54" spans="2:27" x14ac:dyDescent="0.25">
      <c r="B54" s="24">
        <f t="shared" si="9"/>
        <v>28</v>
      </c>
      <c r="C54" s="95">
        <f t="shared" si="9"/>
        <v>2044</v>
      </c>
      <c r="D54" s="95">
        <f t="shared" si="15"/>
        <v>97</v>
      </c>
      <c r="E54" s="34">
        <f t="shared" si="18"/>
        <v>68275.459065644201</v>
      </c>
      <c r="F54" s="55">
        <f>'Model (a) '!F54</f>
        <v>2048.2637719693275</v>
      </c>
      <c r="G54" s="35">
        <f t="shared" si="4"/>
        <v>191.14902644402716</v>
      </c>
      <c r="H54" s="36">
        <f xml:space="preserve"> VLOOKUP( $D54, 'Mortality table'!$A$2:$B$111, 2, 0 ) * $E$18</f>
        <v>0.25436999999999999</v>
      </c>
      <c r="I54" s="36">
        <f t="shared" si="17"/>
        <v>1</v>
      </c>
      <c r="J54" s="36">
        <f t="shared" si="10"/>
        <v>0.25436999999999999</v>
      </c>
      <c r="K54" s="34">
        <f t="shared" si="5"/>
        <v>13050787.530416917</v>
      </c>
      <c r="L54" s="34">
        <f t="shared" si="6"/>
        <v>391523.62591250782</v>
      </c>
      <c r="M54" s="34">
        <f t="shared" si="7"/>
        <v>32556590.737372957</v>
      </c>
      <c r="N54" s="34">
        <f t="shared" si="8"/>
        <v>32556590.737372957</v>
      </c>
      <c r="O54" s="34">
        <f t="shared" si="11"/>
        <v>-937841.68909490528</v>
      </c>
      <c r="P54" s="34">
        <f t="shared" si="1"/>
        <v>3255659.0737372958</v>
      </c>
      <c r="Q54" s="34">
        <f t="shared" si="2"/>
        <v>0</v>
      </c>
      <c r="R54" s="34">
        <f t="shared" si="12"/>
        <v>1375501.1440058574</v>
      </c>
      <c r="S54" s="34">
        <f t="shared" si="13"/>
        <v>1647913.1863874793</v>
      </c>
      <c r="T54" s="87">
        <f t="shared" si="14"/>
        <v>3239269.8934579841</v>
      </c>
      <c r="U54" s="30"/>
      <c r="V54" s="32"/>
      <c r="X54" s="31"/>
      <c r="Y54" s="31"/>
      <c r="Z54" s="30"/>
      <c r="AA54" s="33"/>
    </row>
    <row r="55" spans="2:27" x14ac:dyDescent="0.25">
      <c r="B55" s="24">
        <f t="shared" si="9"/>
        <v>29</v>
      </c>
      <c r="C55" s="95">
        <f t="shared" si="9"/>
        <v>2045</v>
      </c>
      <c r="D55" s="95">
        <f t="shared" si="15"/>
        <v>98</v>
      </c>
      <c r="E55" s="34">
        <f t="shared" si="18"/>
        <v>69640.968246957083</v>
      </c>
      <c r="F55" s="55">
        <f>'Model (a) '!F55</f>
        <v>2089.229047408714</v>
      </c>
      <c r="G55" s="35">
        <f t="shared" si="4"/>
        <v>140.57481702746645</v>
      </c>
      <c r="H55" s="36">
        <f xml:space="preserve"> VLOOKUP( $D55, 'Mortality table'!$A$2:$B$111, 2, 0 ) * $E$18</f>
        <v>0.26457999999999998</v>
      </c>
      <c r="I55" s="36">
        <f t="shared" si="17"/>
        <v>1</v>
      </c>
      <c r="J55" s="36">
        <f t="shared" si="10"/>
        <v>0.26457999999999998</v>
      </c>
      <c r="K55" s="34">
        <f t="shared" si="5"/>
        <v>9789766.3689315934</v>
      </c>
      <c r="L55" s="34">
        <f t="shared" si="6"/>
        <v>293692.99106794799</v>
      </c>
      <c r="M55" s="34">
        <f t="shared" si="7"/>
        <v>23449829.099494606</v>
      </c>
      <c r="N55" s="34">
        <f t="shared" si="8"/>
        <v>23449829.099494606</v>
      </c>
      <c r="O55" s="34">
        <f t="shared" si="11"/>
        <v>-683688.40548483317</v>
      </c>
      <c r="P55" s="34">
        <f t="shared" si="1"/>
        <v>2344982.9099494605</v>
      </c>
      <c r="Q55" s="34">
        <f t="shared" si="2"/>
        <v>0</v>
      </c>
      <c r="R55" s="34">
        <f t="shared" si="12"/>
        <v>1002742.994711087</v>
      </c>
      <c r="S55" s="34">
        <f t="shared" si="13"/>
        <v>1229730.7530140891</v>
      </c>
      <c r="T55" s="87">
        <f t="shared" si="14"/>
        <v>2333466.1297896937</v>
      </c>
      <c r="U55" s="30"/>
      <c r="V55" s="32"/>
      <c r="X55" s="31"/>
      <c r="Y55" s="31"/>
      <c r="Z55" s="30"/>
      <c r="AA55" s="33"/>
    </row>
    <row r="56" spans="2:27" x14ac:dyDescent="0.25">
      <c r="B56" s="24">
        <f t="shared" si="9"/>
        <v>30</v>
      </c>
      <c r="C56" s="95">
        <f t="shared" si="9"/>
        <v>2046</v>
      </c>
      <c r="D56" s="95">
        <f t="shared" si="15"/>
        <v>99</v>
      </c>
      <c r="E56" s="34">
        <f t="shared" si="18"/>
        <v>71033.78761189623</v>
      </c>
      <c r="F56" s="55">
        <f>'Model (a) '!F56</f>
        <v>2131.0136283568881</v>
      </c>
      <c r="G56" s="35">
        <f t="shared" si="4"/>
        <v>102.10511259972998</v>
      </c>
      <c r="H56" s="36">
        <f xml:space="preserve"> VLOOKUP( $D56, 'Mortality table'!$A$2:$B$111, 2, 0 ) * $E$18</f>
        <v>0.27366000000000001</v>
      </c>
      <c r="I56" s="36">
        <f t="shared" si="17"/>
        <v>1</v>
      </c>
      <c r="J56" s="36">
        <f t="shared" si="10"/>
        <v>0.27366000000000001</v>
      </c>
      <c r="K56" s="34">
        <f t="shared" si="5"/>
        <v>7252912.8824979691</v>
      </c>
      <c r="L56" s="34">
        <f t="shared" si="6"/>
        <v>217587.38647493921</v>
      </c>
      <c r="M56" s="34">
        <f t="shared" si="7"/>
        <v>16682823.703506535</v>
      </c>
      <c r="N56" s="34">
        <f t="shared" si="8"/>
        <v>16682823.703506535</v>
      </c>
      <c r="O56" s="34">
        <f t="shared" si="11"/>
        <v>-492446.41108938574</v>
      </c>
      <c r="P56" s="34">
        <f t="shared" si="1"/>
        <v>1668282.3703506535</v>
      </c>
      <c r="Q56" s="34">
        <f t="shared" si="2"/>
        <v>0</v>
      </c>
      <c r="R56" s="34">
        <f t="shared" si="12"/>
        <v>722254.73626443383</v>
      </c>
      <c r="S56" s="34">
        <f t="shared" si="13"/>
        <v>906508.86477385508</v>
      </c>
      <c r="T56" s="87">
        <f t="shared" si="14"/>
        <v>1660303.8779948084</v>
      </c>
      <c r="U56" s="30"/>
      <c r="V56" s="32"/>
      <c r="X56" s="31"/>
      <c r="Y56" s="31"/>
      <c r="Z56" s="30"/>
      <c r="AA56" s="33"/>
    </row>
    <row r="57" spans="2:27" x14ac:dyDescent="0.25">
      <c r="B57" s="24">
        <f t="shared" si="9"/>
        <v>31</v>
      </c>
      <c r="C57" s="95">
        <f t="shared" si="9"/>
        <v>2047</v>
      </c>
      <c r="D57" s="95">
        <f t="shared" si="15"/>
        <v>100</v>
      </c>
      <c r="E57" s="34">
        <f t="shared" si="18"/>
        <v>72454.46336413415</v>
      </c>
      <c r="F57" s="55">
        <f>'Model (a) '!F57</f>
        <v>2173.633900924026</v>
      </c>
      <c r="G57" s="35">
        <f t="shared" si="4"/>
        <v>73.306365590976142</v>
      </c>
      <c r="H57" s="36">
        <f xml:space="preserve"> VLOOKUP( $D57, 'Mortality table'!$A$2:$B$111, 2, 0 ) * $E$18</f>
        <v>0.28205000000000002</v>
      </c>
      <c r="I57" s="36">
        <f t="shared" si="17"/>
        <v>1</v>
      </c>
      <c r="J57" s="36">
        <f t="shared" si="10"/>
        <v>0.28205000000000002</v>
      </c>
      <c r="K57" s="34">
        <f t="shared" si="5"/>
        <v>5311373.3800692055</v>
      </c>
      <c r="L57" s="34">
        <f t="shared" si="6"/>
        <v>159341.20140207626</v>
      </c>
      <c r="M57" s="34">
        <f t="shared" si="7"/>
        <v>11712593.833140448</v>
      </c>
      <c r="N57" s="34">
        <f t="shared" si="8"/>
        <v>11712593.833140448</v>
      </c>
      <c r="O57" s="34">
        <f t="shared" si="11"/>
        <v>-350339.29777363641</v>
      </c>
      <c r="P57" s="34">
        <f t="shared" si="1"/>
        <v>1171259.3833140449</v>
      </c>
      <c r="Q57" s="34">
        <f t="shared" si="2"/>
        <v>0</v>
      </c>
      <c r="R57" s="34">
        <f t="shared" si="12"/>
        <v>513830.97006800125</v>
      </c>
      <c r="S57" s="34">
        <f t="shared" si="13"/>
        <v>660514.6593309734</v>
      </c>
      <c r="T57" s="87">
        <f t="shared" si="14"/>
        <v>1165819.6064633159</v>
      </c>
      <c r="U57" s="30"/>
      <c r="V57" s="32"/>
      <c r="X57" s="31"/>
      <c r="Y57" s="31"/>
      <c r="Z57" s="30"/>
      <c r="AA57" s="33"/>
    </row>
    <row r="58" spans="2:27" x14ac:dyDescent="0.25">
      <c r="B58" s="24">
        <f t="shared" si="9"/>
        <v>32</v>
      </c>
      <c r="C58" s="95">
        <f t="shared" si="9"/>
        <v>2048</v>
      </c>
      <c r="D58" s="95">
        <f t="shared" si="15"/>
        <v>101</v>
      </c>
      <c r="E58" s="34">
        <f t="shared" si="18"/>
        <v>73903.552631416838</v>
      </c>
      <c r="F58" s="55">
        <f>'Model (a) '!F58</f>
        <v>2217.1065789425065</v>
      </c>
      <c r="G58" s="35">
        <f t="shared" si="4"/>
        <v>51.919233429808855</v>
      </c>
      <c r="H58" s="36">
        <f xml:space="preserve"> VLOOKUP( $D58, 'Mortality table'!$A$2:$B$111, 2, 0 ) * $E$18</f>
        <v>0.29175000000000001</v>
      </c>
      <c r="I58" s="36">
        <f t="shared" si="17"/>
        <v>1</v>
      </c>
      <c r="J58" s="36">
        <f t="shared" si="10"/>
        <v>0.29175000000000001</v>
      </c>
      <c r="K58" s="34">
        <f t="shared" si="5"/>
        <v>3837015.8003626955</v>
      </c>
      <c r="L58" s="34">
        <f t="shared" si="6"/>
        <v>115110.47401088093</v>
      </c>
      <c r="M58" s="34">
        <f t="shared" si="7"/>
        <v>8111845.3737610849</v>
      </c>
      <c r="N58" s="34">
        <f t="shared" si="8"/>
        <v>8111845.3737610849</v>
      </c>
      <c r="O58" s="34">
        <f t="shared" si="11"/>
        <v>-245964.47049594953</v>
      </c>
      <c r="P58" s="34">
        <f t="shared" si="1"/>
        <v>811184.53737610858</v>
      </c>
      <c r="Q58" s="34">
        <f t="shared" si="2"/>
        <v>0</v>
      </c>
      <c r="R58" s="34">
        <f t="shared" si="12"/>
        <v>360747.8900607258</v>
      </c>
      <c r="S58" s="34">
        <f t="shared" si="13"/>
        <v>474858.26550271257</v>
      </c>
      <c r="T58" s="87">
        <f t="shared" si="14"/>
        <v>807543.30160693522</v>
      </c>
      <c r="U58" s="30"/>
      <c r="V58" s="32"/>
      <c r="X58" s="31"/>
      <c r="Y58" s="31"/>
      <c r="Z58" s="30"/>
      <c r="AA58" s="33"/>
    </row>
    <row r="59" spans="2:27" x14ac:dyDescent="0.25">
      <c r="B59" s="24">
        <f t="shared" si="9"/>
        <v>33</v>
      </c>
      <c r="C59" s="95">
        <f t="shared" si="9"/>
        <v>2049</v>
      </c>
      <c r="D59" s="95">
        <f t="shared" si="15"/>
        <v>102</v>
      </c>
      <c r="E59" s="34">
        <f t="shared" si="18"/>
        <v>75381.623684045175</v>
      </c>
      <c r="F59" s="55">
        <f>'Model (a) '!F59</f>
        <v>2261.4487105213566</v>
      </c>
      <c r="G59" s="35">
        <f t="shared" si="4"/>
        <v>36.333079554180237</v>
      </c>
      <c r="H59" s="36">
        <f xml:space="preserve"> VLOOKUP( $D59, 'Mortality table'!$A$2:$B$111, 2, 0 ) * $E$18</f>
        <v>0.30020000000000002</v>
      </c>
      <c r="I59" s="36">
        <f t="shared" si="17"/>
        <v>1</v>
      </c>
      <c r="J59" s="36">
        <f t="shared" si="10"/>
        <v>0.30020000000000002</v>
      </c>
      <c r="K59" s="34">
        <f t="shared" si="5"/>
        <v>2738846.5302356905</v>
      </c>
      <c r="L59" s="34">
        <f t="shared" si="6"/>
        <v>82165.395907070764</v>
      </c>
      <c r="M59" s="34">
        <f t="shared" si="7"/>
        <v>5534188.8088311562</v>
      </c>
      <c r="N59" s="34">
        <f t="shared" si="8"/>
        <v>5534188.8088311562</v>
      </c>
      <c r="O59" s="34">
        <f t="shared" si="11"/>
        <v>-170348.75284898299</v>
      </c>
      <c r="P59" s="34">
        <f t="shared" si="1"/>
        <v>553418.88088311569</v>
      </c>
      <c r="Q59" s="34">
        <f t="shared" si="2"/>
        <v>0</v>
      </c>
      <c r="R59" s="34">
        <f t="shared" si="12"/>
        <v>249844.83751184138</v>
      </c>
      <c r="S59" s="34">
        <f t="shared" si="13"/>
        <v>337261.74115585128</v>
      </c>
      <c r="T59" s="87">
        <f t="shared" si="14"/>
        <v>551035.89061177755</v>
      </c>
      <c r="U59" s="30"/>
      <c r="V59" s="32"/>
      <c r="X59" s="31"/>
      <c r="Y59" s="31"/>
      <c r="Z59" s="30"/>
      <c r="AA59" s="33"/>
    </row>
    <row r="60" spans="2:27" x14ac:dyDescent="0.25">
      <c r="B60" s="24">
        <f t="shared" si="9"/>
        <v>34</v>
      </c>
      <c r="C60" s="95">
        <f t="shared" si="9"/>
        <v>2050</v>
      </c>
      <c r="D60" s="95">
        <f t="shared" si="15"/>
        <v>103</v>
      </c>
      <c r="E60" s="34">
        <f t="shared" si="18"/>
        <v>76889.256157726079</v>
      </c>
      <c r="F60" s="55">
        <f>'Model (a) '!F60</f>
        <v>2306.6776847317838</v>
      </c>
      <c r="G60" s="35">
        <f t="shared" si="4"/>
        <v>25.154117636950062</v>
      </c>
      <c r="H60" s="36">
        <f xml:space="preserve"> VLOOKUP( $D60, 'Mortality table'!$A$2:$B$111, 2, 0 ) * $E$18</f>
        <v>0.30768000000000001</v>
      </c>
      <c r="I60" s="36">
        <f t="shared" si="17"/>
        <v>1</v>
      </c>
      <c r="J60" s="36">
        <f t="shared" si="10"/>
        <v>0.30768000000000001</v>
      </c>
      <c r="K60" s="34">
        <f t="shared" si="5"/>
        <v>1934081.3944090288</v>
      </c>
      <c r="L60" s="34">
        <f t="shared" si="6"/>
        <v>58022.441832270895</v>
      </c>
      <c r="M60" s="34">
        <f t="shared" si="7"/>
        <v>3708110.636854792</v>
      </c>
      <c r="N60" s="34">
        <f t="shared" si="8"/>
        <v>3708110.636854792</v>
      </c>
      <c r="O60" s="34">
        <f t="shared" si="11"/>
        <v>-116217.96498545486</v>
      </c>
      <c r="P60" s="34">
        <f t="shared" si="1"/>
        <v>370811.06368547922</v>
      </c>
      <c r="Q60" s="34">
        <f t="shared" si="2"/>
        <v>0</v>
      </c>
      <c r="R60" s="34">
        <f t="shared" si="12"/>
        <v>170453.0153119996</v>
      </c>
      <c r="S60" s="34">
        <f t="shared" si="13"/>
        <v>236842.8675241812</v>
      </c>
      <c r="T60" s="87">
        <f t="shared" si="14"/>
        <v>369296.61214877409</v>
      </c>
      <c r="U60" s="30"/>
      <c r="V60" s="32"/>
      <c r="X60" s="31"/>
      <c r="Y60" s="31"/>
      <c r="Z60" s="30"/>
      <c r="AA60" s="33"/>
    </row>
    <row r="61" spans="2:27" x14ac:dyDescent="0.25">
      <c r="B61" s="24">
        <f t="shared" si="9"/>
        <v>35</v>
      </c>
      <c r="C61" s="95">
        <f t="shared" si="9"/>
        <v>2051</v>
      </c>
      <c r="D61" s="95">
        <f t="shared" si="15"/>
        <v>104</v>
      </c>
      <c r="E61" s="34">
        <f t="shared" ref="E61:E66" si="19" xml:space="preserve"> E60 * ( 1 + $E$16 )</f>
        <v>78427.0412808806</v>
      </c>
      <c r="F61" s="55">
        <f>'Model (a) '!F61</f>
        <v>2352.8112384264195</v>
      </c>
      <c r="G61" s="35">
        <f t="shared" si="4"/>
        <v>17.244908428363853</v>
      </c>
      <c r="H61" s="36">
        <f xml:space="preserve"> VLOOKUP( $D61, 'Mortality table'!$A$2:$B$111, 2, 0 ) * $E$18</f>
        <v>0.31442999999999999</v>
      </c>
      <c r="I61" s="36">
        <f t="shared" si="17"/>
        <v>1</v>
      </c>
      <c r="J61" s="36">
        <f t="shared" si="10"/>
        <v>0.31442999999999999</v>
      </c>
      <c r="K61" s="34">
        <f t="shared" si="5"/>
        <v>1352467.1451962977</v>
      </c>
      <c r="L61" s="34">
        <f t="shared" si="6"/>
        <v>40574.014355888961</v>
      </c>
      <c r="M61" s="34">
        <f t="shared" si="7"/>
        <v>2426312.7964082491</v>
      </c>
      <c r="N61" s="34">
        <f t="shared" si="8"/>
        <v>2426312.7964082491</v>
      </c>
      <c r="O61" s="34">
        <f t="shared" si="11"/>
        <v>-77870.32337395064</v>
      </c>
      <c r="P61" s="34">
        <f t="shared" si="1"/>
        <v>242631.27964082491</v>
      </c>
      <c r="Q61" s="34">
        <f t="shared" si="2"/>
        <v>0</v>
      </c>
      <c r="R61" s="34">
        <f t="shared" si="12"/>
        <v>114209.8076151276</v>
      </c>
      <c r="S61" s="34">
        <f t="shared" si="13"/>
        <v>164519.26828583126</v>
      </c>
      <c r="T61" s="87">
        <f t="shared" si="14"/>
        <v>241707.00507782027</v>
      </c>
      <c r="U61" s="30"/>
      <c r="V61" s="32"/>
      <c r="X61" s="31"/>
      <c r="Y61" s="31"/>
      <c r="Z61" s="30"/>
      <c r="AA61" s="33"/>
    </row>
    <row r="62" spans="2:27" x14ac:dyDescent="0.25">
      <c r="B62" s="24">
        <f t="shared" si="9"/>
        <v>36</v>
      </c>
      <c r="C62" s="95">
        <f t="shared" si="9"/>
        <v>2052</v>
      </c>
      <c r="D62" s="95">
        <f t="shared" si="15"/>
        <v>105</v>
      </c>
      <c r="E62" s="34">
        <f t="shared" si="19"/>
        <v>79995.582106498216</v>
      </c>
      <c r="F62" s="55">
        <f>'Model (a) '!F62</f>
        <v>2399.867463194948</v>
      </c>
      <c r="G62" s="35">
        <f t="shared" si="4"/>
        <v>11.71463874447185</v>
      </c>
      <c r="H62" s="36">
        <f xml:space="preserve"> VLOOKUP( $D62, 'Mortality table'!$A$2:$B$111, 2, 0 ) * $E$18</f>
        <v>0.32068999999999998</v>
      </c>
      <c r="I62" s="36">
        <f t="shared" si="17"/>
        <v>1</v>
      </c>
      <c r="J62" s="36">
        <f t="shared" si="10"/>
        <v>0.32068999999999998</v>
      </c>
      <c r="K62" s="34">
        <f t="shared" si="5"/>
        <v>937119.34553136304</v>
      </c>
      <c r="L62" s="34">
        <f t="shared" si="6"/>
        <v>28113.58036594091</v>
      </c>
      <c r="M62" s="34">
        <f t="shared" si="7"/>
        <v>1533869.2544031923</v>
      </c>
      <c r="N62" s="34">
        <f t="shared" si="8"/>
        <v>1533869.2544031923</v>
      </c>
      <c r="O62" s="34">
        <f t="shared" si="11"/>
        <v>-50952.568724573051</v>
      </c>
      <c r="P62" s="34">
        <f t="shared" si="1"/>
        <v>153386.92544031923</v>
      </c>
      <c r="Q62" s="34">
        <f t="shared" si="2"/>
        <v>0</v>
      </c>
      <c r="R62" s="34">
        <f t="shared" si="12"/>
        <v>74730.434129374073</v>
      </c>
      <c r="S62" s="34">
        <f t="shared" si="13"/>
        <v>113022.2196053067</v>
      </c>
      <c r="T62" s="87">
        <f t="shared" si="14"/>
        <v>152855.48598029563</v>
      </c>
      <c r="U62" s="30"/>
      <c r="V62" s="32"/>
      <c r="X62" s="31"/>
      <c r="Y62" s="31"/>
      <c r="Z62" s="30"/>
      <c r="AA62" s="33"/>
    </row>
    <row r="63" spans="2:27" x14ac:dyDescent="0.25">
      <c r="B63" s="24">
        <f t="shared" si="9"/>
        <v>37</v>
      </c>
      <c r="C63" s="95">
        <f t="shared" si="9"/>
        <v>2053</v>
      </c>
      <c r="D63" s="95">
        <f t="shared" si="15"/>
        <v>106</v>
      </c>
      <c r="E63" s="34">
        <f t="shared" si="19"/>
        <v>81595.493748628185</v>
      </c>
      <c r="F63" s="55">
        <f>'Model (a) '!F63</f>
        <v>2447.8648124588472</v>
      </c>
      <c r="G63" s="35">
        <f t="shared" si="4"/>
        <v>7.8944950498995796</v>
      </c>
      <c r="H63" s="36">
        <f xml:space="preserve"> VLOOKUP( $D63, 'Mortality table'!$A$2:$B$111, 2, 0 ) * $E$18</f>
        <v>0.3261</v>
      </c>
      <c r="I63" s="36">
        <f t="shared" si="17"/>
        <v>1</v>
      </c>
      <c r="J63" s="36">
        <f t="shared" si="10"/>
        <v>0.3261</v>
      </c>
      <c r="K63" s="34">
        <f t="shared" si="5"/>
        <v>644155.22149265732</v>
      </c>
      <c r="L63" s="34">
        <f t="shared" si="6"/>
        <v>19324.65664477973</v>
      </c>
      <c r="M63" s="34">
        <f t="shared" si="7"/>
        <v>916405.45389785117</v>
      </c>
      <c r="N63" s="34">
        <f t="shared" si="8"/>
        <v>916405.45389785117</v>
      </c>
      <c r="O63" s="34">
        <f t="shared" si="11"/>
        <v>-32211.254342467128</v>
      </c>
      <c r="P63" s="34">
        <f t="shared" si="1"/>
        <v>91640.545389785126</v>
      </c>
      <c r="Q63" s="34">
        <f t="shared" si="2"/>
        <v>0</v>
      </c>
      <c r="R63" s="34">
        <f t="shared" si="12"/>
        <v>47243.173035618318</v>
      </c>
      <c r="S63" s="34">
        <f t="shared" si="13"/>
        <v>76778.2987436853</v>
      </c>
      <c r="T63" s="87">
        <f t="shared" si="14"/>
        <v>91362.735834639898</v>
      </c>
      <c r="U63" s="30"/>
      <c r="V63" s="32"/>
      <c r="X63" s="31"/>
      <c r="Y63" s="31"/>
      <c r="Z63" s="30"/>
      <c r="AA63" s="33"/>
    </row>
    <row r="64" spans="2:27" x14ac:dyDescent="0.25">
      <c r="B64" s="24">
        <f t="shared" si="9"/>
        <v>38</v>
      </c>
      <c r="C64" s="95">
        <f t="shared" si="9"/>
        <v>2054</v>
      </c>
      <c r="D64" s="95">
        <f t="shared" si="15"/>
        <v>107</v>
      </c>
      <c r="E64" s="34">
        <f t="shared" si="19"/>
        <v>83227.403623600752</v>
      </c>
      <c r="F64" s="55">
        <f>'Model (a) '!F64</f>
        <v>2496.8221087080242</v>
      </c>
      <c r="G64" s="35">
        <f t="shared" si="4"/>
        <v>5.2806277388778291</v>
      </c>
      <c r="H64" s="36">
        <f xml:space="preserve"> VLOOKUP( $D64, 'Mortality table'!$A$2:$B$111, 2, 0 ) * $E$18</f>
        <v>0.33110000000000001</v>
      </c>
      <c r="I64" s="36">
        <f t="shared" si="17"/>
        <v>1</v>
      </c>
      <c r="J64" s="36">
        <f t="shared" si="10"/>
        <v>0.33110000000000001</v>
      </c>
      <c r="K64" s="34">
        <f t="shared" si="5"/>
        <v>439492.9362095673</v>
      </c>
      <c r="L64" s="34">
        <f t="shared" si="6"/>
        <v>13184.788086287026</v>
      </c>
      <c r="M64" s="34">
        <f t="shared" si="7"/>
        <v>491219.8932189325</v>
      </c>
      <c r="N64" s="34">
        <f t="shared" si="8"/>
        <v>491219.8932189325</v>
      </c>
      <c r="O64" s="34">
        <f t="shared" si="11"/>
        <v>-19244.514531854962</v>
      </c>
      <c r="P64" s="34">
        <f t="shared" si="1"/>
        <v>49121.989321893256</v>
      </c>
      <c r="Q64" s="34">
        <f t="shared" si="2"/>
        <v>0</v>
      </c>
      <c r="R64" s="34">
        <f t="shared" si="12"/>
        <v>28225.28798005381</v>
      </c>
      <c r="S64" s="34">
        <f t="shared" si="13"/>
        <v>51499.329516090715</v>
      </c>
      <c r="T64" s="87">
        <f t="shared" si="14"/>
        <v>48999.679902013195</v>
      </c>
      <c r="U64" s="30"/>
      <c r="V64" s="32"/>
      <c r="X64" s="31"/>
      <c r="Y64" s="31"/>
      <c r="Z64" s="30"/>
      <c r="AA64" s="33"/>
    </row>
    <row r="65" spans="1:27" x14ac:dyDescent="0.25">
      <c r="B65" s="24">
        <f t="shared" si="9"/>
        <v>39</v>
      </c>
      <c r="C65" s="95">
        <f t="shared" si="9"/>
        <v>2055</v>
      </c>
      <c r="D65" s="95">
        <f t="shared" si="15"/>
        <v>108</v>
      </c>
      <c r="E65" s="34">
        <f t="shared" si="19"/>
        <v>84891.951696072763</v>
      </c>
      <c r="F65" s="55">
        <f>'Model (a) '!F65</f>
        <v>2546.7585508821849</v>
      </c>
      <c r="G65" s="35">
        <f t="shared" si="4"/>
        <v>3.503326860803718</v>
      </c>
      <c r="H65" s="36">
        <f xml:space="preserve"> VLOOKUP( $D65, 'Mortality table'!$A$2:$B$111, 2, 0 ) * $E$18</f>
        <v>0.33656999999999998</v>
      </c>
      <c r="I65" s="36">
        <f t="shared" si="17"/>
        <v>1</v>
      </c>
      <c r="J65" s="36">
        <f t="shared" si="10"/>
        <v>0.33656999999999998</v>
      </c>
      <c r="K65" s="34">
        <f t="shared" si="5"/>
        <v>297404.25464290346</v>
      </c>
      <c r="L65" s="34">
        <f t="shared" si="6"/>
        <v>8922.1276392871114</v>
      </c>
      <c r="M65" s="34">
        <f t="shared" si="7"/>
        <v>199630.10773330997</v>
      </c>
      <c r="N65" s="34">
        <f t="shared" si="8"/>
        <v>199630.10773330997</v>
      </c>
      <c r="O65" s="34">
        <f t="shared" si="11"/>
        <v>-10315.617757597611</v>
      </c>
      <c r="P65" s="34">
        <f t="shared" si="1"/>
        <v>19963.010773331</v>
      </c>
      <c r="Q65" s="34">
        <f t="shared" si="2"/>
        <v>0</v>
      </c>
      <c r="R65" s="34">
        <f t="shared" si="12"/>
        <v>15129.572711143119</v>
      </c>
      <c r="S65" s="34">
        <f t="shared" si="13"/>
        <v>33972.933502107764</v>
      </c>
      <c r="T65" s="87">
        <f t="shared" si="14"/>
        <v>19926.71439010675</v>
      </c>
      <c r="U65" s="30"/>
      <c r="V65" s="32"/>
      <c r="X65" s="31"/>
      <c r="Y65" s="31"/>
      <c r="Z65" s="30"/>
      <c r="AA65" s="33"/>
    </row>
    <row r="66" spans="1:27" x14ac:dyDescent="0.25">
      <c r="B66" s="88">
        <f t="shared" si="9"/>
        <v>40</v>
      </c>
      <c r="C66" s="96">
        <f t="shared" si="9"/>
        <v>2056</v>
      </c>
      <c r="D66" s="96">
        <f t="shared" si="15"/>
        <v>109</v>
      </c>
      <c r="E66" s="89">
        <f t="shared" si="19"/>
        <v>86589.790729994216</v>
      </c>
      <c r="F66" s="101">
        <f>'Model (a) '!F66</f>
        <v>2597.6937218998287</v>
      </c>
      <c r="G66" s="91">
        <f t="shared" si="4"/>
        <v>2.3054693405577109</v>
      </c>
      <c r="H66" s="90">
        <f xml:space="preserve"> VLOOKUP( $D66, 'Mortality table'!$A$2:$B$111, 2, 0 ) * $E$18</f>
        <v>0.34192</v>
      </c>
      <c r="I66" s="90">
        <f t="shared" si="17"/>
        <v>1</v>
      </c>
      <c r="J66" s="90">
        <f t="shared" si="10"/>
        <v>0.34192</v>
      </c>
      <c r="K66" s="89">
        <f t="shared" si="5"/>
        <v>199630.10773330997</v>
      </c>
      <c r="L66" s="89">
        <f t="shared" si="6"/>
        <v>5988.9032319993039</v>
      </c>
      <c r="M66" s="89">
        <f xml:space="preserve"> SUM( K67:M67 ) / ( 1 + $E$12 )</f>
        <v>0</v>
      </c>
      <c r="N66" s="89">
        <f t="shared" si="8"/>
        <v>0</v>
      </c>
      <c r="O66" s="89">
        <f t="shared" si="11"/>
        <v>-4192.2322623995187</v>
      </c>
      <c r="P66" s="89">
        <f t="shared" si="1"/>
        <v>0</v>
      </c>
      <c r="Q66" s="89">
        <f t="shared" si="2"/>
        <v>0</v>
      </c>
      <c r="R66" s="89">
        <f t="shared" si="12"/>
        <v>6148.6073181859456</v>
      </c>
      <c r="S66" s="89">
        <f t="shared" si="13"/>
        <v>21919.385829117426</v>
      </c>
      <c r="T66" s="92">
        <f xml:space="preserve"> SUM( S67:T67 ) / ( 1 + $E$11 )</f>
        <v>0</v>
      </c>
      <c r="U66" s="30"/>
      <c r="V66" s="32"/>
      <c r="X66" s="31"/>
      <c r="Y66" s="31"/>
      <c r="Z66" s="30"/>
      <c r="AA66" s="33"/>
    </row>
    <row r="67" spans="1:27" x14ac:dyDescent="0.25">
      <c r="A67" s="6"/>
      <c r="B67" s="6"/>
      <c r="C67" s="6"/>
      <c r="D67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zoomScale="85" zoomScaleNormal="85" workbookViewId="0">
      <pane xSplit="4" ySplit="25" topLeftCell="E26" activePane="bottomRight" state="frozen"/>
      <selection pane="topRight" activeCell="D1" sqref="D1"/>
      <selection pane="bottomLeft" activeCell="A27" sqref="A27"/>
      <selection pane="bottomRight" activeCell="P17" sqref="P17"/>
    </sheetView>
  </sheetViews>
  <sheetFormatPr defaultRowHeight="13.5" x14ac:dyDescent="0.25"/>
  <cols>
    <col min="1" max="1" width="5.7109375" style="9" customWidth="1"/>
    <col min="2" max="4" width="13.7109375" style="9" customWidth="1"/>
    <col min="5" max="13" width="13.7109375" style="6" customWidth="1"/>
    <col min="14" max="15" width="13.7109375" style="17" customWidth="1"/>
    <col min="16" max="27" width="13.7109375" style="6" customWidth="1"/>
    <col min="28" max="245" width="9.140625" style="6"/>
    <col min="246" max="246" width="14.85546875" style="6" customWidth="1"/>
    <col min="247" max="247" width="15.85546875" style="6" customWidth="1"/>
    <col min="248" max="248" width="9.85546875" style="6" customWidth="1"/>
    <col min="249" max="249" width="6.85546875" style="6" customWidth="1"/>
    <col min="250" max="251" width="10.85546875" style="6" customWidth="1"/>
    <col min="252" max="252" width="5.7109375" style="6" customWidth="1"/>
    <col min="253" max="253" width="11.5703125" style="6" customWidth="1"/>
    <col min="254" max="254" width="9.140625" style="6"/>
    <col min="255" max="255" width="9.7109375" style="6" customWidth="1"/>
    <col min="256" max="256" width="8.5703125" style="6" customWidth="1"/>
    <col min="257" max="258" width="0" style="6" hidden="1" customWidth="1"/>
    <col min="259" max="259" width="8.28515625" style="6" customWidth="1"/>
    <col min="260" max="260" width="11.85546875" style="6" customWidth="1"/>
    <col min="261" max="261" width="11.42578125" style="6" customWidth="1"/>
    <col min="262" max="262" width="9.140625" style="6"/>
    <col min="263" max="263" width="7.85546875" style="6" customWidth="1"/>
    <col min="264" max="501" width="9.140625" style="6"/>
    <col min="502" max="502" width="14.85546875" style="6" customWidth="1"/>
    <col min="503" max="503" width="15.85546875" style="6" customWidth="1"/>
    <col min="504" max="504" width="9.85546875" style="6" customWidth="1"/>
    <col min="505" max="505" width="6.85546875" style="6" customWidth="1"/>
    <col min="506" max="507" width="10.85546875" style="6" customWidth="1"/>
    <col min="508" max="508" width="5.7109375" style="6" customWidth="1"/>
    <col min="509" max="509" width="11.5703125" style="6" customWidth="1"/>
    <col min="510" max="510" width="9.140625" style="6"/>
    <col min="511" max="511" width="9.7109375" style="6" customWidth="1"/>
    <col min="512" max="512" width="8.5703125" style="6" customWidth="1"/>
    <col min="513" max="514" width="0" style="6" hidden="1" customWidth="1"/>
    <col min="515" max="515" width="8.28515625" style="6" customWidth="1"/>
    <col min="516" max="516" width="11.85546875" style="6" customWidth="1"/>
    <col min="517" max="517" width="11.42578125" style="6" customWidth="1"/>
    <col min="518" max="518" width="9.140625" style="6"/>
    <col min="519" max="519" width="7.85546875" style="6" customWidth="1"/>
    <col min="520" max="757" width="9.140625" style="6"/>
    <col min="758" max="758" width="14.85546875" style="6" customWidth="1"/>
    <col min="759" max="759" width="15.85546875" style="6" customWidth="1"/>
    <col min="760" max="760" width="9.85546875" style="6" customWidth="1"/>
    <col min="761" max="761" width="6.85546875" style="6" customWidth="1"/>
    <col min="762" max="763" width="10.85546875" style="6" customWidth="1"/>
    <col min="764" max="764" width="5.7109375" style="6" customWidth="1"/>
    <col min="765" max="765" width="11.5703125" style="6" customWidth="1"/>
    <col min="766" max="766" width="9.140625" style="6"/>
    <col min="767" max="767" width="9.7109375" style="6" customWidth="1"/>
    <col min="768" max="768" width="8.5703125" style="6" customWidth="1"/>
    <col min="769" max="770" width="0" style="6" hidden="1" customWidth="1"/>
    <col min="771" max="771" width="8.28515625" style="6" customWidth="1"/>
    <col min="772" max="772" width="11.85546875" style="6" customWidth="1"/>
    <col min="773" max="773" width="11.42578125" style="6" customWidth="1"/>
    <col min="774" max="774" width="9.140625" style="6"/>
    <col min="775" max="775" width="7.85546875" style="6" customWidth="1"/>
    <col min="776" max="1013" width="9.140625" style="6"/>
    <col min="1014" max="1014" width="14.85546875" style="6" customWidth="1"/>
    <col min="1015" max="1015" width="15.85546875" style="6" customWidth="1"/>
    <col min="1016" max="1016" width="9.85546875" style="6" customWidth="1"/>
    <col min="1017" max="1017" width="6.85546875" style="6" customWidth="1"/>
    <col min="1018" max="1019" width="10.85546875" style="6" customWidth="1"/>
    <col min="1020" max="1020" width="5.7109375" style="6" customWidth="1"/>
    <col min="1021" max="1021" width="11.5703125" style="6" customWidth="1"/>
    <col min="1022" max="1022" width="9.140625" style="6"/>
    <col min="1023" max="1023" width="9.7109375" style="6" customWidth="1"/>
    <col min="1024" max="1024" width="8.5703125" style="6" customWidth="1"/>
    <col min="1025" max="1026" width="0" style="6" hidden="1" customWidth="1"/>
    <col min="1027" max="1027" width="8.28515625" style="6" customWidth="1"/>
    <col min="1028" max="1028" width="11.85546875" style="6" customWidth="1"/>
    <col min="1029" max="1029" width="11.42578125" style="6" customWidth="1"/>
    <col min="1030" max="1030" width="9.140625" style="6"/>
    <col min="1031" max="1031" width="7.85546875" style="6" customWidth="1"/>
    <col min="1032" max="1269" width="9.140625" style="6"/>
    <col min="1270" max="1270" width="14.85546875" style="6" customWidth="1"/>
    <col min="1271" max="1271" width="15.85546875" style="6" customWidth="1"/>
    <col min="1272" max="1272" width="9.85546875" style="6" customWidth="1"/>
    <col min="1273" max="1273" width="6.85546875" style="6" customWidth="1"/>
    <col min="1274" max="1275" width="10.85546875" style="6" customWidth="1"/>
    <col min="1276" max="1276" width="5.7109375" style="6" customWidth="1"/>
    <col min="1277" max="1277" width="11.5703125" style="6" customWidth="1"/>
    <col min="1278" max="1278" width="9.140625" style="6"/>
    <col min="1279" max="1279" width="9.7109375" style="6" customWidth="1"/>
    <col min="1280" max="1280" width="8.5703125" style="6" customWidth="1"/>
    <col min="1281" max="1282" width="0" style="6" hidden="1" customWidth="1"/>
    <col min="1283" max="1283" width="8.28515625" style="6" customWidth="1"/>
    <col min="1284" max="1284" width="11.85546875" style="6" customWidth="1"/>
    <col min="1285" max="1285" width="11.42578125" style="6" customWidth="1"/>
    <col min="1286" max="1286" width="9.140625" style="6"/>
    <col min="1287" max="1287" width="7.85546875" style="6" customWidth="1"/>
    <col min="1288" max="1525" width="9.140625" style="6"/>
    <col min="1526" max="1526" width="14.85546875" style="6" customWidth="1"/>
    <col min="1527" max="1527" width="15.85546875" style="6" customWidth="1"/>
    <col min="1528" max="1528" width="9.85546875" style="6" customWidth="1"/>
    <col min="1529" max="1529" width="6.85546875" style="6" customWidth="1"/>
    <col min="1530" max="1531" width="10.85546875" style="6" customWidth="1"/>
    <col min="1532" max="1532" width="5.7109375" style="6" customWidth="1"/>
    <col min="1533" max="1533" width="11.5703125" style="6" customWidth="1"/>
    <col min="1534" max="1534" width="9.140625" style="6"/>
    <col min="1535" max="1535" width="9.7109375" style="6" customWidth="1"/>
    <col min="1536" max="1536" width="8.5703125" style="6" customWidth="1"/>
    <col min="1537" max="1538" width="0" style="6" hidden="1" customWidth="1"/>
    <col min="1539" max="1539" width="8.28515625" style="6" customWidth="1"/>
    <col min="1540" max="1540" width="11.85546875" style="6" customWidth="1"/>
    <col min="1541" max="1541" width="11.42578125" style="6" customWidth="1"/>
    <col min="1542" max="1542" width="9.140625" style="6"/>
    <col min="1543" max="1543" width="7.85546875" style="6" customWidth="1"/>
    <col min="1544" max="1781" width="9.140625" style="6"/>
    <col min="1782" max="1782" width="14.85546875" style="6" customWidth="1"/>
    <col min="1783" max="1783" width="15.85546875" style="6" customWidth="1"/>
    <col min="1784" max="1784" width="9.85546875" style="6" customWidth="1"/>
    <col min="1785" max="1785" width="6.85546875" style="6" customWidth="1"/>
    <col min="1786" max="1787" width="10.85546875" style="6" customWidth="1"/>
    <col min="1788" max="1788" width="5.7109375" style="6" customWidth="1"/>
    <col min="1789" max="1789" width="11.5703125" style="6" customWidth="1"/>
    <col min="1790" max="1790" width="9.140625" style="6"/>
    <col min="1791" max="1791" width="9.7109375" style="6" customWidth="1"/>
    <col min="1792" max="1792" width="8.5703125" style="6" customWidth="1"/>
    <col min="1793" max="1794" width="0" style="6" hidden="1" customWidth="1"/>
    <col min="1795" max="1795" width="8.28515625" style="6" customWidth="1"/>
    <col min="1796" max="1796" width="11.85546875" style="6" customWidth="1"/>
    <col min="1797" max="1797" width="11.42578125" style="6" customWidth="1"/>
    <col min="1798" max="1798" width="9.140625" style="6"/>
    <col min="1799" max="1799" width="7.85546875" style="6" customWidth="1"/>
    <col min="1800" max="2037" width="9.140625" style="6"/>
    <col min="2038" max="2038" width="14.85546875" style="6" customWidth="1"/>
    <col min="2039" max="2039" width="15.85546875" style="6" customWidth="1"/>
    <col min="2040" max="2040" width="9.85546875" style="6" customWidth="1"/>
    <col min="2041" max="2041" width="6.85546875" style="6" customWidth="1"/>
    <col min="2042" max="2043" width="10.85546875" style="6" customWidth="1"/>
    <col min="2044" max="2044" width="5.7109375" style="6" customWidth="1"/>
    <col min="2045" max="2045" width="11.5703125" style="6" customWidth="1"/>
    <col min="2046" max="2046" width="9.140625" style="6"/>
    <col min="2047" max="2047" width="9.7109375" style="6" customWidth="1"/>
    <col min="2048" max="2048" width="8.5703125" style="6" customWidth="1"/>
    <col min="2049" max="2050" width="0" style="6" hidden="1" customWidth="1"/>
    <col min="2051" max="2051" width="8.28515625" style="6" customWidth="1"/>
    <col min="2052" max="2052" width="11.85546875" style="6" customWidth="1"/>
    <col min="2053" max="2053" width="11.42578125" style="6" customWidth="1"/>
    <col min="2054" max="2054" width="9.140625" style="6"/>
    <col min="2055" max="2055" width="7.85546875" style="6" customWidth="1"/>
    <col min="2056" max="2293" width="9.140625" style="6"/>
    <col min="2294" max="2294" width="14.85546875" style="6" customWidth="1"/>
    <col min="2295" max="2295" width="15.85546875" style="6" customWidth="1"/>
    <col min="2296" max="2296" width="9.85546875" style="6" customWidth="1"/>
    <col min="2297" max="2297" width="6.85546875" style="6" customWidth="1"/>
    <col min="2298" max="2299" width="10.85546875" style="6" customWidth="1"/>
    <col min="2300" max="2300" width="5.7109375" style="6" customWidth="1"/>
    <col min="2301" max="2301" width="11.5703125" style="6" customWidth="1"/>
    <col min="2302" max="2302" width="9.140625" style="6"/>
    <col min="2303" max="2303" width="9.7109375" style="6" customWidth="1"/>
    <col min="2304" max="2304" width="8.5703125" style="6" customWidth="1"/>
    <col min="2305" max="2306" width="0" style="6" hidden="1" customWidth="1"/>
    <col min="2307" max="2307" width="8.28515625" style="6" customWidth="1"/>
    <col min="2308" max="2308" width="11.85546875" style="6" customWidth="1"/>
    <col min="2309" max="2309" width="11.42578125" style="6" customWidth="1"/>
    <col min="2310" max="2310" width="9.140625" style="6"/>
    <col min="2311" max="2311" width="7.85546875" style="6" customWidth="1"/>
    <col min="2312" max="2549" width="9.140625" style="6"/>
    <col min="2550" max="2550" width="14.85546875" style="6" customWidth="1"/>
    <col min="2551" max="2551" width="15.85546875" style="6" customWidth="1"/>
    <col min="2552" max="2552" width="9.85546875" style="6" customWidth="1"/>
    <col min="2553" max="2553" width="6.85546875" style="6" customWidth="1"/>
    <col min="2554" max="2555" width="10.85546875" style="6" customWidth="1"/>
    <col min="2556" max="2556" width="5.7109375" style="6" customWidth="1"/>
    <col min="2557" max="2557" width="11.5703125" style="6" customWidth="1"/>
    <col min="2558" max="2558" width="9.140625" style="6"/>
    <col min="2559" max="2559" width="9.7109375" style="6" customWidth="1"/>
    <col min="2560" max="2560" width="8.5703125" style="6" customWidth="1"/>
    <col min="2561" max="2562" width="0" style="6" hidden="1" customWidth="1"/>
    <col min="2563" max="2563" width="8.28515625" style="6" customWidth="1"/>
    <col min="2564" max="2564" width="11.85546875" style="6" customWidth="1"/>
    <col min="2565" max="2565" width="11.42578125" style="6" customWidth="1"/>
    <col min="2566" max="2566" width="9.140625" style="6"/>
    <col min="2567" max="2567" width="7.85546875" style="6" customWidth="1"/>
    <col min="2568" max="2805" width="9.140625" style="6"/>
    <col min="2806" max="2806" width="14.85546875" style="6" customWidth="1"/>
    <col min="2807" max="2807" width="15.85546875" style="6" customWidth="1"/>
    <col min="2808" max="2808" width="9.85546875" style="6" customWidth="1"/>
    <col min="2809" max="2809" width="6.85546875" style="6" customWidth="1"/>
    <col min="2810" max="2811" width="10.85546875" style="6" customWidth="1"/>
    <col min="2812" max="2812" width="5.7109375" style="6" customWidth="1"/>
    <col min="2813" max="2813" width="11.5703125" style="6" customWidth="1"/>
    <col min="2814" max="2814" width="9.140625" style="6"/>
    <col min="2815" max="2815" width="9.7109375" style="6" customWidth="1"/>
    <col min="2816" max="2816" width="8.5703125" style="6" customWidth="1"/>
    <col min="2817" max="2818" width="0" style="6" hidden="1" customWidth="1"/>
    <col min="2819" max="2819" width="8.28515625" style="6" customWidth="1"/>
    <col min="2820" max="2820" width="11.85546875" style="6" customWidth="1"/>
    <col min="2821" max="2821" width="11.42578125" style="6" customWidth="1"/>
    <col min="2822" max="2822" width="9.140625" style="6"/>
    <col min="2823" max="2823" width="7.85546875" style="6" customWidth="1"/>
    <col min="2824" max="3061" width="9.140625" style="6"/>
    <col min="3062" max="3062" width="14.85546875" style="6" customWidth="1"/>
    <col min="3063" max="3063" width="15.85546875" style="6" customWidth="1"/>
    <col min="3064" max="3064" width="9.85546875" style="6" customWidth="1"/>
    <col min="3065" max="3065" width="6.85546875" style="6" customWidth="1"/>
    <col min="3066" max="3067" width="10.85546875" style="6" customWidth="1"/>
    <col min="3068" max="3068" width="5.7109375" style="6" customWidth="1"/>
    <col min="3069" max="3069" width="11.5703125" style="6" customWidth="1"/>
    <col min="3070" max="3070" width="9.140625" style="6"/>
    <col min="3071" max="3071" width="9.7109375" style="6" customWidth="1"/>
    <col min="3072" max="3072" width="8.5703125" style="6" customWidth="1"/>
    <col min="3073" max="3074" width="0" style="6" hidden="1" customWidth="1"/>
    <col min="3075" max="3075" width="8.28515625" style="6" customWidth="1"/>
    <col min="3076" max="3076" width="11.85546875" style="6" customWidth="1"/>
    <col min="3077" max="3077" width="11.42578125" style="6" customWidth="1"/>
    <col min="3078" max="3078" width="9.140625" style="6"/>
    <col min="3079" max="3079" width="7.85546875" style="6" customWidth="1"/>
    <col min="3080" max="3317" width="9.140625" style="6"/>
    <col min="3318" max="3318" width="14.85546875" style="6" customWidth="1"/>
    <col min="3319" max="3319" width="15.85546875" style="6" customWidth="1"/>
    <col min="3320" max="3320" width="9.85546875" style="6" customWidth="1"/>
    <col min="3321" max="3321" width="6.85546875" style="6" customWidth="1"/>
    <col min="3322" max="3323" width="10.85546875" style="6" customWidth="1"/>
    <col min="3324" max="3324" width="5.7109375" style="6" customWidth="1"/>
    <col min="3325" max="3325" width="11.5703125" style="6" customWidth="1"/>
    <col min="3326" max="3326" width="9.140625" style="6"/>
    <col min="3327" max="3327" width="9.7109375" style="6" customWidth="1"/>
    <col min="3328" max="3328" width="8.5703125" style="6" customWidth="1"/>
    <col min="3329" max="3330" width="0" style="6" hidden="1" customWidth="1"/>
    <col min="3331" max="3331" width="8.28515625" style="6" customWidth="1"/>
    <col min="3332" max="3332" width="11.85546875" style="6" customWidth="1"/>
    <col min="3333" max="3333" width="11.42578125" style="6" customWidth="1"/>
    <col min="3334" max="3334" width="9.140625" style="6"/>
    <col min="3335" max="3335" width="7.85546875" style="6" customWidth="1"/>
    <col min="3336" max="3573" width="9.140625" style="6"/>
    <col min="3574" max="3574" width="14.85546875" style="6" customWidth="1"/>
    <col min="3575" max="3575" width="15.85546875" style="6" customWidth="1"/>
    <col min="3576" max="3576" width="9.85546875" style="6" customWidth="1"/>
    <col min="3577" max="3577" width="6.85546875" style="6" customWidth="1"/>
    <col min="3578" max="3579" width="10.85546875" style="6" customWidth="1"/>
    <col min="3580" max="3580" width="5.7109375" style="6" customWidth="1"/>
    <col min="3581" max="3581" width="11.5703125" style="6" customWidth="1"/>
    <col min="3582" max="3582" width="9.140625" style="6"/>
    <col min="3583" max="3583" width="9.7109375" style="6" customWidth="1"/>
    <col min="3584" max="3584" width="8.5703125" style="6" customWidth="1"/>
    <col min="3585" max="3586" width="0" style="6" hidden="1" customWidth="1"/>
    <col min="3587" max="3587" width="8.28515625" style="6" customWidth="1"/>
    <col min="3588" max="3588" width="11.85546875" style="6" customWidth="1"/>
    <col min="3589" max="3589" width="11.42578125" style="6" customWidth="1"/>
    <col min="3590" max="3590" width="9.140625" style="6"/>
    <col min="3591" max="3591" width="7.85546875" style="6" customWidth="1"/>
    <col min="3592" max="3829" width="9.140625" style="6"/>
    <col min="3830" max="3830" width="14.85546875" style="6" customWidth="1"/>
    <col min="3831" max="3831" width="15.85546875" style="6" customWidth="1"/>
    <col min="3832" max="3832" width="9.85546875" style="6" customWidth="1"/>
    <col min="3833" max="3833" width="6.85546875" style="6" customWidth="1"/>
    <col min="3834" max="3835" width="10.85546875" style="6" customWidth="1"/>
    <col min="3836" max="3836" width="5.7109375" style="6" customWidth="1"/>
    <col min="3837" max="3837" width="11.5703125" style="6" customWidth="1"/>
    <col min="3838" max="3838" width="9.140625" style="6"/>
    <col min="3839" max="3839" width="9.7109375" style="6" customWidth="1"/>
    <col min="3840" max="3840" width="8.5703125" style="6" customWidth="1"/>
    <col min="3841" max="3842" width="0" style="6" hidden="1" customWidth="1"/>
    <col min="3843" max="3843" width="8.28515625" style="6" customWidth="1"/>
    <col min="3844" max="3844" width="11.85546875" style="6" customWidth="1"/>
    <col min="3845" max="3845" width="11.42578125" style="6" customWidth="1"/>
    <col min="3846" max="3846" width="9.140625" style="6"/>
    <col min="3847" max="3847" width="7.85546875" style="6" customWidth="1"/>
    <col min="3848" max="4085" width="9.140625" style="6"/>
    <col min="4086" max="4086" width="14.85546875" style="6" customWidth="1"/>
    <col min="4087" max="4087" width="15.85546875" style="6" customWidth="1"/>
    <col min="4088" max="4088" width="9.85546875" style="6" customWidth="1"/>
    <col min="4089" max="4089" width="6.85546875" style="6" customWidth="1"/>
    <col min="4090" max="4091" width="10.85546875" style="6" customWidth="1"/>
    <col min="4092" max="4092" width="5.7109375" style="6" customWidth="1"/>
    <col min="4093" max="4093" width="11.5703125" style="6" customWidth="1"/>
    <col min="4094" max="4094" width="9.140625" style="6"/>
    <col min="4095" max="4095" width="9.7109375" style="6" customWidth="1"/>
    <col min="4096" max="4096" width="8.5703125" style="6" customWidth="1"/>
    <col min="4097" max="4098" width="0" style="6" hidden="1" customWidth="1"/>
    <col min="4099" max="4099" width="8.28515625" style="6" customWidth="1"/>
    <col min="4100" max="4100" width="11.85546875" style="6" customWidth="1"/>
    <col min="4101" max="4101" width="11.42578125" style="6" customWidth="1"/>
    <col min="4102" max="4102" width="9.140625" style="6"/>
    <col min="4103" max="4103" width="7.85546875" style="6" customWidth="1"/>
    <col min="4104" max="4341" width="9.140625" style="6"/>
    <col min="4342" max="4342" width="14.85546875" style="6" customWidth="1"/>
    <col min="4343" max="4343" width="15.85546875" style="6" customWidth="1"/>
    <col min="4344" max="4344" width="9.85546875" style="6" customWidth="1"/>
    <col min="4345" max="4345" width="6.85546875" style="6" customWidth="1"/>
    <col min="4346" max="4347" width="10.85546875" style="6" customWidth="1"/>
    <col min="4348" max="4348" width="5.7109375" style="6" customWidth="1"/>
    <col min="4349" max="4349" width="11.5703125" style="6" customWidth="1"/>
    <col min="4350" max="4350" width="9.140625" style="6"/>
    <col min="4351" max="4351" width="9.7109375" style="6" customWidth="1"/>
    <col min="4352" max="4352" width="8.5703125" style="6" customWidth="1"/>
    <col min="4353" max="4354" width="0" style="6" hidden="1" customWidth="1"/>
    <col min="4355" max="4355" width="8.28515625" style="6" customWidth="1"/>
    <col min="4356" max="4356" width="11.85546875" style="6" customWidth="1"/>
    <col min="4357" max="4357" width="11.42578125" style="6" customWidth="1"/>
    <col min="4358" max="4358" width="9.140625" style="6"/>
    <col min="4359" max="4359" width="7.85546875" style="6" customWidth="1"/>
    <col min="4360" max="4597" width="9.140625" style="6"/>
    <col min="4598" max="4598" width="14.85546875" style="6" customWidth="1"/>
    <col min="4599" max="4599" width="15.85546875" style="6" customWidth="1"/>
    <col min="4600" max="4600" width="9.85546875" style="6" customWidth="1"/>
    <col min="4601" max="4601" width="6.85546875" style="6" customWidth="1"/>
    <col min="4602" max="4603" width="10.85546875" style="6" customWidth="1"/>
    <col min="4604" max="4604" width="5.7109375" style="6" customWidth="1"/>
    <col min="4605" max="4605" width="11.5703125" style="6" customWidth="1"/>
    <col min="4606" max="4606" width="9.140625" style="6"/>
    <col min="4607" max="4607" width="9.7109375" style="6" customWidth="1"/>
    <col min="4608" max="4608" width="8.5703125" style="6" customWidth="1"/>
    <col min="4609" max="4610" width="0" style="6" hidden="1" customWidth="1"/>
    <col min="4611" max="4611" width="8.28515625" style="6" customWidth="1"/>
    <col min="4612" max="4612" width="11.85546875" style="6" customWidth="1"/>
    <col min="4613" max="4613" width="11.42578125" style="6" customWidth="1"/>
    <col min="4614" max="4614" width="9.140625" style="6"/>
    <col min="4615" max="4615" width="7.85546875" style="6" customWidth="1"/>
    <col min="4616" max="4853" width="9.140625" style="6"/>
    <col min="4854" max="4854" width="14.85546875" style="6" customWidth="1"/>
    <col min="4855" max="4855" width="15.85546875" style="6" customWidth="1"/>
    <col min="4856" max="4856" width="9.85546875" style="6" customWidth="1"/>
    <col min="4857" max="4857" width="6.85546875" style="6" customWidth="1"/>
    <col min="4858" max="4859" width="10.85546875" style="6" customWidth="1"/>
    <col min="4860" max="4860" width="5.7109375" style="6" customWidth="1"/>
    <col min="4861" max="4861" width="11.5703125" style="6" customWidth="1"/>
    <col min="4862" max="4862" width="9.140625" style="6"/>
    <col min="4863" max="4863" width="9.7109375" style="6" customWidth="1"/>
    <col min="4864" max="4864" width="8.5703125" style="6" customWidth="1"/>
    <col min="4865" max="4866" width="0" style="6" hidden="1" customWidth="1"/>
    <col min="4867" max="4867" width="8.28515625" style="6" customWidth="1"/>
    <col min="4868" max="4868" width="11.85546875" style="6" customWidth="1"/>
    <col min="4869" max="4869" width="11.42578125" style="6" customWidth="1"/>
    <col min="4870" max="4870" width="9.140625" style="6"/>
    <col min="4871" max="4871" width="7.85546875" style="6" customWidth="1"/>
    <col min="4872" max="5109" width="9.140625" style="6"/>
    <col min="5110" max="5110" width="14.85546875" style="6" customWidth="1"/>
    <col min="5111" max="5111" width="15.85546875" style="6" customWidth="1"/>
    <col min="5112" max="5112" width="9.85546875" style="6" customWidth="1"/>
    <col min="5113" max="5113" width="6.85546875" style="6" customWidth="1"/>
    <col min="5114" max="5115" width="10.85546875" style="6" customWidth="1"/>
    <col min="5116" max="5116" width="5.7109375" style="6" customWidth="1"/>
    <col min="5117" max="5117" width="11.5703125" style="6" customWidth="1"/>
    <col min="5118" max="5118" width="9.140625" style="6"/>
    <col min="5119" max="5119" width="9.7109375" style="6" customWidth="1"/>
    <col min="5120" max="5120" width="8.5703125" style="6" customWidth="1"/>
    <col min="5121" max="5122" width="0" style="6" hidden="1" customWidth="1"/>
    <col min="5123" max="5123" width="8.28515625" style="6" customWidth="1"/>
    <col min="5124" max="5124" width="11.85546875" style="6" customWidth="1"/>
    <col min="5125" max="5125" width="11.42578125" style="6" customWidth="1"/>
    <col min="5126" max="5126" width="9.140625" style="6"/>
    <col min="5127" max="5127" width="7.85546875" style="6" customWidth="1"/>
    <col min="5128" max="5365" width="9.140625" style="6"/>
    <col min="5366" max="5366" width="14.85546875" style="6" customWidth="1"/>
    <col min="5367" max="5367" width="15.85546875" style="6" customWidth="1"/>
    <col min="5368" max="5368" width="9.85546875" style="6" customWidth="1"/>
    <col min="5369" max="5369" width="6.85546875" style="6" customWidth="1"/>
    <col min="5370" max="5371" width="10.85546875" style="6" customWidth="1"/>
    <col min="5372" max="5372" width="5.7109375" style="6" customWidth="1"/>
    <col min="5373" max="5373" width="11.5703125" style="6" customWidth="1"/>
    <col min="5374" max="5374" width="9.140625" style="6"/>
    <col min="5375" max="5375" width="9.7109375" style="6" customWidth="1"/>
    <col min="5376" max="5376" width="8.5703125" style="6" customWidth="1"/>
    <col min="5377" max="5378" width="0" style="6" hidden="1" customWidth="1"/>
    <col min="5379" max="5379" width="8.28515625" style="6" customWidth="1"/>
    <col min="5380" max="5380" width="11.85546875" style="6" customWidth="1"/>
    <col min="5381" max="5381" width="11.42578125" style="6" customWidth="1"/>
    <col min="5382" max="5382" width="9.140625" style="6"/>
    <col min="5383" max="5383" width="7.85546875" style="6" customWidth="1"/>
    <col min="5384" max="5621" width="9.140625" style="6"/>
    <col min="5622" max="5622" width="14.85546875" style="6" customWidth="1"/>
    <col min="5623" max="5623" width="15.85546875" style="6" customWidth="1"/>
    <col min="5624" max="5624" width="9.85546875" style="6" customWidth="1"/>
    <col min="5625" max="5625" width="6.85546875" style="6" customWidth="1"/>
    <col min="5626" max="5627" width="10.85546875" style="6" customWidth="1"/>
    <col min="5628" max="5628" width="5.7109375" style="6" customWidth="1"/>
    <col min="5629" max="5629" width="11.5703125" style="6" customWidth="1"/>
    <col min="5630" max="5630" width="9.140625" style="6"/>
    <col min="5631" max="5631" width="9.7109375" style="6" customWidth="1"/>
    <col min="5632" max="5632" width="8.5703125" style="6" customWidth="1"/>
    <col min="5633" max="5634" width="0" style="6" hidden="1" customWidth="1"/>
    <col min="5635" max="5635" width="8.28515625" style="6" customWidth="1"/>
    <col min="5636" max="5636" width="11.85546875" style="6" customWidth="1"/>
    <col min="5637" max="5637" width="11.42578125" style="6" customWidth="1"/>
    <col min="5638" max="5638" width="9.140625" style="6"/>
    <col min="5639" max="5639" width="7.85546875" style="6" customWidth="1"/>
    <col min="5640" max="5877" width="9.140625" style="6"/>
    <col min="5878" max="5878" width="14.85546875" style="6" customWidth="1"/>
    <col min="5879" max="5879" width="15.85546875" style="6" customWidth="1"/>
    <col min="5880" max="5880" width="9.85546875" style="6" customWidth="1"/>
    <col min="5881" max="5881" width="6.85546875" style="6" customWidth="1"/>
    <col min="5882" max="5883" width="10.85546875" style="6" customWidth="1"/>
    <col min="5884" max="5884" width="5.7109375" style="6" customWidth="1"/>
    <col min="5885" max="5885" width="11.5703125" style="6" customWidth="1"/>
    <col min="5886" max="5886" width="9.140625" style="6"/>
    <col min="5887" max="5887" width="9.7109375" style="6" customWidth="1"/>
    <col min="5888" max="5888" width="8.5703125" style="6" customWidth="1"/>
    <col min="5889" max="5890" width="0" style="6" hidden="1" customWidth="1"/>
    <col min="5891" max="5891" width="8.28515625" style="6" customWidth="1"/>
    <col min="5892" max="5892" width="11.85546875" style="6" customWidth="1"/>
    <col min="5893" max="5893" width="11.42578125" style="6" customWidth="1"/>
    <col min="5894" max="5894" width="9.140625" style="6"/>
    <col min="5895" max="5895" width="7.85546875" style="6" customWidth="1"/>
    <col min="5896" max="6133" width="9.140625" style="6"/>
    <col min="6134" max="6134" width="14.85546875" style="6" customWidth="1"/>
    <col min="6135" max="6135" width="15.85546875" style="6" customWidth="1"/>
    <col min="6136" max="6136" width="9.85546875" style="6" customWidth="1"/>
    <col min="6137" max="6137" width="6.85546875" style="6" customWidth="1"/>
    <col min="6138" max="6139" width="10.85546875" style="6" customWidth="1"/>
    <col min="6140" max="6140" width="5.7109375" style="6" customWidth="1"/>
    <col min="6141" max="6141" width="11.5703125" style="6" customWidth="1"/>
    <col min="6142" max="6142" width="9.140625" style="6"/>
    <col min="6143" max="6143" width="9.7109375" style="6" customWidth="1"/>
    <col min="6144" max="6144" width="8.5703125" style="6" customWidth="1"/>
    <col min="6145" max="6146" width="0" style="6" hidden="1" customWidth="1"/>
    <col min="6147" max="6147" width="8.28515625" style="6" customWidth="1"/>
    <col min="6148" max="6148" width="11.85546875" style="6" customWidth="1"/>
    <col min="6149" max="6149" width="11.42578125" style="6" customWidth="1"/>
    <col min="6150" max="6150" width="9.140625" style="6"/>
    <col min="6151" max="6151" width="7.85546875" style="6" customWidth="1"/>
    <col min="6152" max="6389" width="9.140625" style="6"/>
    <col min="6390" max="6390" width="14.85546875" style="6" customWidth="1"/>
    <col min="6391" max="6391" width="15.85546875" style="6" customWidth="1"/>
    <col min="6392" max="6392" width="9.85546875" style="6" customWidth="1"/>
    <col min="6393" max="6393" width="6.85546875" style="6" customWidth="1"/>
    <col min="6394" max="6395" width="10.85546875" style="6" customWidth="1"/>
    <col min="6396" max="6396" width="5.7109375" style="6" customWidth="1"/>
    <col min="6397" max="6397" width="11.5703125" style="6" customWidth="1"/>
    <col min="6398" max="6398" width="9.140625" style="6"/>
    <col min="6399" max="6399" width="9.7109375" style="6" customWidth="1"/>
    <col min="6400" max="6400" width="8.5703125" style="6" customWidth="1"/>
    <col min="6401" max="6402" width="0" style="6" hidden="1" customWidth="1"/>
    <col min="6403" max="6403" width="8.28515625" style="6" customWidth="1"/>
    <col min="6404" max="6404" width="11.85546875" style="6" customWidth="1"/>
    <col min="6405" max="6405" width="11.42578125" style="6" customWidth="1"/>
    <col min="6406" max="6406" width="9.140625" style="6"/>
    <col min="6407" max="6407" width="7.85546875" style="6" customWidth="1"/>
    <col min="6408" max="6645" width="9.140625" style="6"/>
    <col min="6646" max="6646" width="14.85546875" style="6" customWidth="1"/>
    <col min="6647" max="6647" width="15.85546875" style="6" customWidth="1"/>
    <col min="6648" max="6648" width="9.85546875" style="6" customWidth="1"/>
    <col min="6649" max="6649" width="6.85546875" style="6" customWidth="1"/>
    <col min="6650" max="6651" width="10.85546875" style="6" customWidth="1"/>
    <col min="6652" max="6652" width="5.7109375" style="6" customWidth="1"/>
    <col min="6653" max="6653" width="11.5703125" style="6" customWidth="1"/>
    <col min="6654" max="6654" width="9.140625" style="6"/>
    <col min="6655" max="6655" width="9.7109375" style="6" customWidth="1"/>
    <col min="6656" max="6656" width="8.5703125" style="6" customWidth="1"/>
    <col min="6657" max="6658" width="0" style="6" hidden="1" customWidth="1"/>
    <col min="6659" max="6659" width="8.28515625" style="6" customWidth="1"/>
    <col min="6660" max="6660" width="11.85546875" style="6" customWidth="1"/>
    <col min="6661" max="6661" width="11.42578125" style="6" customWidth="1"/>
    <col min="6662" max="6662" width="9.140625" style="6"/>
    <col min="6663" max="6663" width="7.85546875" style="6" customWidth="1"/>
    <col min="6664" max="6901" width="9.140625" style="6"/>
    <col min="6902" max="6902" width="14.85546875" style="6" customWidth="1"/>
    <col min="6903" max="6903" width="15.85546875" style="6" customWidth="1"/>
    <col min="6904" max="6904" width="9.85546875" style="6" customWidth="1"/>
    <col min="6905" max="6905" width="6.85546875" style="6" customWidth="1"/>
    <col min="6906" max="6907" width="10.85546875" style="6" customWidth="1"/>
    <col min="6908" max="6908" width="5.7109375" style="6" customWidth="1"/>
    <col min="6909" max="6909" width="11.5703125" style="6" customWidth="1"/>
    <col min="6910" max="6910" width="9.140625" style="6"/>
    <col min="6911" max="6911" width="9.7109375" style="6" customWidth="1"/>
    <col min="6912" max="6912" width="8.5703125" style="6" customWidth="1"/>
    <col min="6913" max="6914" width="0" style="6" hidden="1" customWidth="1"/>
    <col min="6915" max="6915" width="8.28515625" style="6" customWidth="1"/>
    <col min="6916" max="6916" width="11.85546875" style="6" customWidth="1"/>
    <col min="6917" max="6917" width="11.42578125" style="6" customWidth="1"/>
    <col min="6918" max="6918" width="9.140625" style="6"/>
    <col min="6919" max="6919" width="7.85546875" style="6" customWidth="1"/>
    <col min="6920" max="7157" width="9.140625" style="6"/>
    <col min="7158" max="7158" width="14.85546875" style="6" customWidth="1"/>
    <col min="7159" max="7159" width="15.85546875" style="6" customWidth="1"/>
    <col min="7160" max="7160" width="9.85546875" style="6" customWidth="1"/>
    <col min="7161" max="7161" width="6.85546875" style="6" customWidth="1"/>
    <col min="7162" max="7163" width="10.85546875" style="6" customWidth="1"/>
    <col min="7164" max="7164" width="5.7109375" style="6" customWidth="1"/>
    <col min="7165" max="7165" width="11.5703125" style="6" customWidth="1"/>
    <col min="7166" max="7166" width="9.140625" style="6"/>
    <col min="7167" max="7167" width="9.7109375" style="6" customWidth="1"/>
    <col min="7168" max="7168" width="8.5703125" style="6" customWidth="1"/>
    <col min="7169" max="7170" width="0" style="6" hidden="1" customWidth="1"/>
    <col min="7171" max="7171" width="8.28515625" style="6" customWidth="1"/>
    <col min="7172" max="7172" width="11.85546875" style="6" customWidth="1"/>
    <col min="7173" max="7173" width="11.42578125" style="6" customWidth="1"/>
    <col min="7174" max="7174" width="9.140625" style="6"/>
    <col min="7175" max="7175" width="7.85546875" style="6" customWidth="1"/>
    <col min="7176" max="7413" width="9.140625" style="6"/>
    <col min="7414" max="7414" width="14.85546875" style="6" customWidth="1"/>
    <col min="7415" max="7415" width="15.85546875" style="6" customWidth="1"/>
    <col min="7416" max="7416" width="9.85546875" style="6" customWidth="1"/>
    <col min="7417" max="7417" width="6.85546875" style="6" customWidth="1"/>
    <col min="7418" max="7419" width="10.85546875" style="6" customWidth="1"/>
    <col min="7420" max="7420" width="5.7109375" style="6" customWidth="1"/>
    <col min="7421" max="7421" width="11.5703125" style="6" customWidth="1"/>
    <col min="7422" max="7422" width="9.140625" style="6"/>
    <col min="7423" max="7423" width="9.7109375" style="6" customWidth="1"/>
    <col min="7424" max="7424" width="8.5703125" style="6" customWidth="1"/>
    <col min="7425" max="7426" width="0" style="6" hidden="1" customWidth="1"/>
    <col min="7427" max="7427" width="8.28515625" style="6" customWidth="1"/>
    <col min="7428" max="7428" width="11.85546875" style="6" customWidth="1"/>
    <col min="7429" max="7429" width="11.42578125" style="6" customWidth="1"/>
    <col min="7430" max="7430" width="9.140625" style="6"/>
    <col min="7431" max="7431" width="7.85546875" style="6" customWidth="1"/>
    <col min="7432" max="7669" width="9.140625" style="6"/>
    <col min="7670" max="7670" width="14.85546875" style="6" customWidth="1"/>
    <col min="7671" max="7671" width="15.85546875" style="6" customWidth="1"/>
    <col min="7672" max="7672" width="9.85546875" style="6" customWidth="1"/>
    <col min="7673" max="7673" width="6.85546875" style="6" customWidth="1"/>
    <col min="7674" max="7675" width="10.85546875" style="6" customWidth="1"/>
    <col min="7676" max="7676" width="5.7109375" style="6" customWidth="1"/>
    <col min="7677" max="7677" width="11.5703125" style="6" customWidth="1"/>
    <col min="7678" max="7678" width="9.140625" style="6"/>
    <col min="7679" max="7679" width="9.7109375" style="6" customWidth="1"/>
    <col min="7680" max="7680" width="8.5703125" style="6" customWidth="1"/>
    <col min="7681" max="7682" width="0" style="6" hidden="1" customWidth="1"/>
    <col min="7683" max="7683" width="8.28515625" style="6" customWidth="1"/>
    <col min="7684" max="7684" width="11.85546875" style="6" customWidth="1"/>
    <col min="7685" max="7685" width="11.42578125" style="6" customWidth="1"/>
    <col min="7686" max="7686" width="9.140625" style="6"/>
    <col min="7687" max="7687" width="7.85546875" style="6" customWidth="1"/>
    <col min="7688" max="7925" width="9.140625" style="6"/>
    <col min="7926" max="7926" width="14.85546875" style="6" customWidth="1"/>
    <col min="7927" max="7927" width="15.85546875" style="6" customWidth="1"/>
    <col min="7928" max="7928" width="9.85546875" style="6" customWidth="1"/>
    <col min="7929" max="7929" width="6.85546875" style="6" customWidth="1"/>
    <col min="7930" max="7931" width="10.85546875" style="6" customWidth="1"/>
    <col min="7932" max="7932" width="5.7109375" style="6" customWidth="1"/>
    <col min="7933" max="7933" width="11.5703125" style="6" customWidth="1"/>
    <col min="7934" max="7934" width="9.140625" style="6"/>
    <col min="7935" max="7935" width="9.7109375" style="6" customWidth="1"/>
    <col min="7936" max="7936" width="8.5703125" style="6" customWidth="1"/>
    <col min="7937" max="7938" width="0" style="6" hidden="1" customWidth="1"/>
    <col min="7939" max="7939" width="8.28515625" style="6" customWidth="1"/>
    <col min="7940" max="7940" width="11.85546875" style="6" customWidth="1"/>
    <col min="7941" max="7941" width="11.42578125" style="6" customWidth="1"/>
    <col min="7942" max="7942" width="9.140625" style="6"/>
    <col min="7943" max="7943" width="7.85546875" style="6" customWidth="1"/>
    <col min="7944" max="8181" width="9.140625" style="6"/>
    <col min="8182" max="8182" width="14.85546875" style="6" customWidth="1"/>
    <col min="8183" max="8183" width="15.85546875" style="6" customWidth="1"/>
    <col min="8184" max="8184" width="9.85546875" style="6" customWidth="1"/>
    <col min="8185" max="8185" width="6.85546875" style="6" customWidth="1"/>
    <col min="8186" max="8187" width="10.85546875" style="6" customWidth="1"/>
    <col min="8188" max="8188" width="5.7109375" style="6" customWidth="1"/>
    <col min="8189" max="8189" width="11.5703125" style="6" customWidth="1"/>
    <col min="8190" max="8190" width="9.140625" style="6"/>
    <col min="8191" max="8191" width="9.7109375" style="6" customWidth="1"/>
    <col min="8192" max="8192" width="8.5703125" style="6" customWidth="1"/>
    <col min="8193" max="8194" width="0" style="6" hidden="1" customWidth="1"/>
    <col min="8195" max="8195" width="8.28515625" style="6" customWidth="1"/>
    <col min="8196" max="8196" width="11.85546875" style="6" customWidth="1"/>
    <col min="8197" max="8197" width="11.42578125" style="6" customWidth="1"/>
    <col min="8198" max="8198" width="9.140625" style="6"/>
    <col min="8199" max="8199" width="7.85546875" style="6" customWidth="1"/>
    <col min="8200" max="8437" width="9.140625" style="6"/>
    <col min="8438" max="8438" width="14.85546875" style="6" customWidth="1"/>
    <col min="8439" max="8439" width="15.85546875" style="6" customWidth="1"/>
    <col min="8440" max="8440" width="9.85546875" style="6" customWidth="1"/>
    <col min="8441" max="8441" width="6.85546875" style="6" customWidth="1"/>
    <col min="8442" max="8443" width="10.85546875" style="6" customWidth="1"/>
    <col min="8444" max="8444" width="5.7109375" style="6" customWidth="1"/>
    <col min="8445" max="8445" width="11.5703125" style="6" customWidth="1"/>
    <col min="8446" max="8446" width="9.140625" style="6"/>
    <col min="8447" max="8447" width="9.7109375" style="6" customWidth="1"/>
    <col min="8448" max="8448" width="8.5703125" style="6" customWidth="1"/>
    <col min="8449" max="8450" width="0" style="6" hidden="1" customWidth="1"/>
    <col min="8451" max="8451" width="8.28515625" style="6" customWidth="1"/>
    <col min="8452" max="8452" width="11.85546875" style="6" customWidth="1"/>
    <col min="8453" max="8453" width="11.42578125" style="6" customWidth="1"/>
    <col min="8454" max="8454" width="9.140625" style="6"/>
    <col min="8455" max="8455" width="7.85546875" style="6" customWidth="1"/>
    <col min="8456" max="8693" width="9.140625" style="6"/>
    <col min="8694" max="8694" width="14.85546875" style="6" customWidth="1"/>
    <col min="8695" max="8695" width="15.85546875" style="6" customWidth="1"/>
    <col min="8696" max="8696" width="9.85546875" style="6" customWidth="1"/>
    <col min="8697" max="8697" width="6.85546875" style="6" customWidth="1"/>
    <col min="8698" max="8699" width="10.85546875" style="6" customWidth="1"/>
    <col min="8700" max="8700" width="5.7109375" style="6" customWidth="1"/>
    <col min="8701" max="8701" width="11.5703125" style="6" customWidth="1"/>
    <col min="8702" max="8702" width="9.140625" style="6"/>
    <col min="8703" max="8703" width="9.7109375" style="6" customWidth="1"/>
    <col min="8704" max="8704" width="8.5703125" style="6" customWidth="1"/>
    <col min="8705" max="8706" width="0" style="6" hidden="1" customWidth="1"/>
    <col min="8707" max="8707" width="8.28515625" style="6" customWidth="1"/>
    <col min="8708" max="8708" width="11.85546875" style="6" customWidth="1"/>
    <col min="8709" max="8709" width="11.42578125" style="6" customWidth="1"/>
    <col min="8710" max="8710" width="9.140625" style="6"/>
    <col min="8711" max="8711" width="7.85546875" style="6" customWidth="1"/>
    <col min="8712" max="8949" width="9.140625" style="6"/>
    <col min="8950" max="8950" width="14.85546875" style="6" customWidth="1"/>
    <col min="8951" max="8951" width="15.85546875" style="6" customWidth="1"/>
    <col min="8952" max="8952" width="9.85546875" style="6" customWidth="1"/>
    <col min="8953" max="8953" width="6.85546875" style="6" customWidth="1"/>
    <col min="8954" max="8955" width="10.85546875" style="6" customWidth="1"/>
    <col min="8956" max="8956" width="5.7109375" style="6" customWidth="1"/>
    <col min="8957" max="8957" width="11.5703125" style="6" customWidth="1"/>
    <col min="8958" max="8958" width="9.140625" style="6"/>
    <col min="8959" max="8959" width="9.7109375" style="6" customWidth="1"/>
    <col min="8960" max="8960" width="8.5703125" style="6" customWidth="1"/>
    <col min="8961" max="8962" width="0" style="6" hidden="1" customWidth="1"/>
    <col min="8963" max="8963" width="8.28515625" style="6" customWidth="1"/>
    <col min="8964" max="8964" width="11.85546875" style="6" customWidth="1"/>
    <col min="8965" max="8965" width="11.42578125" style="6" customWidth="1"/>
    <col min="8966" max="8966" width="9.140625" style="6"/>
    <col min="8967" max="8967" width="7.85546875" style="6" customWidth="1"/>
    <col min="8968" max="9205" width="9.140625" style="6"/>
    <col min="9206" max="9206" width="14.85546875" style="6" customWidth="1"/>
    <col min="9207" max="9207" width="15.85546875" style="6" customWidth="1"/>
    <col min="9208" max="9208" width="9.85546875" style="6" customWidth="1"/>
    <col min="9209" max="9209" width="6.85546875" style="6" customWidth="1"/>
    <col min="9210" max="9211" width="10.85546875" style="6" customWidth="1"/>
    <col min="9212" max="9212" width="5.7109375" style="6" customWidth="1"/>
    <col min="9213" max="9213" width="11.5703125" style="6" customWidth="1"/>
    <col min="9214" max="9214" width="9.140625" style="6"/>
    <col min="9215" max="9215" width="9.7109375" style="6" customWidth="1"/>
    <col min="9216" max="9216" width="8.5703125" style="6" customWidth="1"/>
    <col min="9217" max="9218" width="0" style="6" hidden="1" customWidth="1"/>
    <col min="9219" max="9219" width="8.28515625" style="6" customWidth="1"/>
    <col min="9220" max="9220" width="11.85546875" style="6" customWidth="1"/>
    <col min="9221" max="9221" width="11.42578125" style="6" customWidth="1"/>
    <col min="9222" max="9222" width="9.140625" style="6"/>
    <col min="9223" max="9223" width="7.85546875" style="6" customWidth="1"/>
    <col min="9224" max="9461" width="9.140625" style="6"/>
    <col min="9462" max="9462" width="14.85546875" style="6" customWidth="1"/>
    <col min="9463" max="9463" width="15.85546875" style="6" customWidth="1"/>
    <col min="9464" max="9464" width="9.85546875" style="6" customWidth="1"/>
    <col min="9465" max="9465" width="6.85546875" style="6" customWidth="1"/>
    <col min="9466" max="9467" width="10.85546875" style="6" customWidth="1"/>
    <col min="9468" max="9468" width="5.7109375" style="6" customWidth="1"/>
    <col min="9469" max="9469" width="11.5703125" style="6" customWidth="1"/>
    <col min="9470" max="9470" width="9.140625" style="6"/>
    <col min="9471" max="9471" width="9.7109375" style="6" customWidth="1"/>
    <col min="9472" max="9472" width="8.5703125" style="6" customWidth="1"/>
    <col min="9473" max="9474" width="0" style="6" hidden="1" customWidth="1"/>
    <col min="9475" max="9475" width="8.28515625" style="6" customWidth="1"/>
    <col min="9476" max="9476" width="11.85546875" style="6" customWidth="1"/>
    <col min="9477" max="9477" width="11.42578125" style="6" customWidth="1"/>
    <col min="9478" max="9478" width="9.140625" style="6"/>
    <col min="9479" max="9479" width="7.85546875" style="6" customWidth="1"/>
    <col min="9480" max="9717" width="9.140625" style="6"/>
    <col min="9718" max="9718" width="14.85546875" style="6" customWidth="1"/>
    <col min="9719" max="9719" width="15.85546875" style="6" customWidth="1"/>
    <col min="9720" max="9720" width="9.85546875" style="6" customWidth="1"/>
    <col min="9721" max="9721" width="6.85546875" style="6" customWidth="1"/>
    <col min="9722" max="9723" width="10.85546875" style="6" customWidth="1"/>
    <col min="9724" max="9724" width="5.7109375" style="6" customWidth="1"/>
    <col min="9725" max="9725" width="11.5703125" style="6" customWidth="1"/>
    <col min="9726" max="9726" width="9.140625" style="6"/>
    <col min="9727" max="9727" width="9.7109375" style="6" customWidth="1"/>
    <col min="9728" max="9728" width="8.5703125" style="6" customWidth="1"/>
    <col min="9729" max="9730" width="0" style="6" hidden="1" customWidth="1"/>
    <col min="9731" max="9731" width="8.28515625" style="6" customWidth="1"/>
    <col min="9732" max="9732" width="11.85546875" style="6" customWidth="1"/>
    <col min="9733" max="9733" width="11.42578125" style="6" customWidth="1"/>
    <col min="9734" max="9734" width="9.140625" style="6"/>
    <col min="9735" max="9735" width="7.85546875" style="6" customWidth="1"/>
    <col min="9736" max="9973" width="9.140625" style="6"/>
    <col min="9974" max="9974" width="14.85546875" style="6" customWidth="1"/>
    <col min="9975" max="9975" width="15.85546875" style="6" customWidth="1"/>
    <col min="9976" max="9976" width="9.85546875" style="6" customWidth="1"/>
    <col min="9977" max="9977" width="6.85546875" style="6" customWidth="1"/>
    <col min="9978" max="9979" width="10.85546875" style="6" customWidth="1"/>
    <col min="9980" max="9980" width="5.7109375" style="6" customWidth="1"/>
    <col min="9981" max="9981" width="11.5703125" style="6" customWidth="1"/>
    <col min="9982" max="9982" width="9.140625" style="6"/>
    <col min="9983" max="9983" width="9.7109375" style="6" customWidth="1"/>
    <col min="9984" max="9984" width="8.5703125" style="6" customWidth="1"/>
    <col min="9985" max="9986" width="0" style="6" hidden="1" customWidth="1"/>
    <col min="9987" max="9987" width="8.28515625" style="6" customWidth="1"/>
    <col min="9988" max="9988" width="11.85546875" style="6" customWidth="1"/>
    <col min="9989" max="9989" width="11.42578125" style="6" customWidth="1"/>
    <col min="9990" max="9990" width="9.140625" style="6"/>
    <col min="9991" max="9991" width="7.85546875" style="6" customWidth="1"/>
    <col min="9992" max="10229" width="9.140625" style="6"/>
    <col min="10230" max="10230" width="14.85546875" style="6" customWidth="1"/>
    <col min="10231" max="10231" width="15.85546875" style="6" customWidth="1"/>
    <col min="10232" max="10232" width="9.85546875" style="6" customWidth="1"/>
    <col min="10233" max="10233" width="6.85546875" style="6" customWidth="1"/>
    <col min="10234" max="10235" width="10.85546875" style="6" customWidth="1"/>
    <col min="10236" max="10236" width="5.7109375" style="6" customWidth="1"/>
    <col min="10237" max="10237" width="11.5703125" style="6" customWidth="1"/>
    <col min="10238" max="10238" width="9.140625" style="6"/>
    <col min="10239" max="10239" width="9.7109375" style="6" customWidth="1"/>
    <col min="10240" max="10240" width="8.5703125" style="6" customWidth="1"/>
    <col min="10241" max="10242" width="0" style="6" hidden="1" customWidth="1"/>
    <col min="10243" max="10243" width="8.28515625" style="6" customWidth="1"/>
    <col min="10244" max="10244" width="11.85546875" style="6" customWidth="1"/>
    <col min="10245" max="10245" width="11.42578125" style="6" customWidth="1"/>
    <col min="10246" max="10246" width="9.140625" style="6"/>
    <col min="10247" max="10247" width="7.85546875" style="6" customWidth="1"/>
    <col min="10248" max="10485" width="9.140625" style="6"/>
    <col min="10486" max="10486" width="14.85546875" style="6" customWidth="1"/>
    <col min="10487" max="10487" width="15.85546875" style="6" customWidth="1"/>
    <col min="10488" max="10488" width="9.85546875" style="6" customWidth="1"/>
    <col min="10489" max="10489" width="6.85546875" style="6" customWidth="1"/>
    <col min="10490" max="10491" width="10.85546875" style="6" customWidth="1"/>
    <col min="10492" max="10492" width="5.7109375" style="6" customWidth="1"/>
    <col min="10493" max="10493" width="11.5703125" style="6" customWidth="1"/>
    <col min="10494" max="10494" width="9.140625" style="6"/>
    <col min="10495" max="10495" width="9.7109375" style="6" customWidth="1"/>
    <col min="10496" max="10496" width="8.5703125" style="6" customWidth="1"/>
    <col min="10497" max="10498" width="0" style="6" hidden="1" customWidth="1"/>
    <col min="10499" max="10499" width="8.28515625" style="6" customWidth="1"/>
    <col min="10500" max="10500" width="11.85546875" style="6" customWidth="1"/>
    <col min="10501" max="10501" width="11.42578125" style="6" customWidth="1"/>
    <col min="10502" max="10502" width="9.140625" style="6"/>
    <col min="10503" max="10503" width="7.85546875" style="6" customWidth="1"/>
    <col min="10504" max="10741" width="9.140625" style="6"/>
    <col min="10742" max="10742" width="14.85546875" style="6" customWidth="1"/>
    <col min="10743" max="10743" width="15.85546875" style="6" customWidth="1"/>
    <col min="10744" max="10744" width="9.85546875" style="6" customWidth="1"/>
    <col min="10745" max="10745" width="6.85546875" style="6" customWidth="1"/>
    <col min="10746" max="10747" width="10.85546875" style="6" customWidth="1"/>
    <col min="10748" max="10748" width="5.7109375" style="6" customWidth="1"/>
    <col min="10749" max="10749" width="11.5703125" style="6" customWidth="1"/>
    <col min="10750" max="10750" width="9.140625" style="6"/>
    <col min="10751" max="10751" width="9.7109375" style="6" customWidth="1"/>
    <col min="10752" max="10752" width="8.5703125" style="6" customWidth="1"/>
    <col min="10753" max="10754" width="0" style="6" hidden="1" customWidth="1"/>
    <col min="10755" max="10755" width="8.28515625" style="6" customWidth="1"/>
    <col min="10756" max="10756" width="11.85546875" style="6" customWidth="1"/>
    <col min="10757" max="10757" width="11.42578125" style="6" customWidth="1"/>
    <col min="10758" max="10758" width="9.140625" style="6"/>
    <col min="10759" max="10759" width="7.85546875" style="6" customWidth="1"/>
    <col min="10760" max="10997" width="9.140625" style="6"/>
    <col min="10998" max="10998" width="14.85546875" style="6" customWidth="1"/>
    <col min="10999" max="10999" width="15.85546875" style="6" customWidth="1"/>
    <col min="11000" max="11000" width="9.85546875" style="6" customWidth="1"/>
    <col min="11001" max="11001" width="6.85546875" style="6" customWidth="1"/>
    <col min="11002" max="11003" width="10.85546875" style="6" customWidth="1"/>
    <col min="11004" max="11004" width="5.7109375" style="6" customWidth="1"/>
    <col min="11005" max="11005" width="11.5703125" style="6" customWidth="1"/>
    <col min="11006" max="11006" width="9.140625" style="6"/>
    <col min="11007" max="11007" width="9.7109375" style="6" customWidth="1"/>
    <col min="11008" max="11008" width="8.5703125" style="6" customWidth="1"/>
    <col min="11009" max="11010" width="0" style="6" hidden="1" customWidth="1"/>
    <col min="11011" max="11011" width="8.28515625" style="6" customWidth="1"/>
    <col min="11012" max="11012" width="11.85546875" style="6" customWidth="1"/>
    <col min="11013" max="11013" width="11.42578125" style="6" customWidth="1"/>
    <col min="11014" max="11014" width="9.140625" style="6"/>
    <col min="11015" max="11015" width="7.85546875" style="6" customWidth="1"/>
    <col min="11016" max="11253" width="9.140625" style="6"/>
    <col min="11254" max="11254" width="14.85546875" style="6" customWidth="1"/>
    <col min="11255" max="11255" width="15.85546875" style="6" customWidth="1"/>
    <col min="11256" max="11256" width="9.85546875" style="6" customWidth="1"/>
    <col min="11257" max="11257" width="6.85546875" style="6" customWidth="1"/>
    <col min="11258" max="11259" width="10.85546875" style="6" customWidth="1"/>
    <col min="11260" max="11260" width="5.7109375" style="6" customWidth="1"/>
    <col min="11261" max="11261" width="11.5703125" style="6" customWidth="1"/>
    <col min="11262" max="11262" width="9.140625" style="6"/>
    <col min="11263" max="11263" width="9.7109375" style="6" customWidth="1"/>
    <col min="11264" max="11264" width="8.5703125" style="6" customWidth="1"/>
    <col min="11265" max="11266" width="0" style="6" hidden="1" customWidth="1"/>
    <col min="11267" max="11267" width="8.28515625" style="6" customWidth="1"/>
    <col min="11268" max="11268" width="11.85546875" style="6" customWidth="1"/>
    <col min="11269" max="11269" width="11.42578125" style="6" customWidth="1"/>
    <col min="11270" max="11270" width="9.140625" style="6"/>
    <col min="11271" max="11271" width="7.85546875" style="6" customWidth="1"/>
    <col min="11272" max="11509" width="9.140625" style="6"/>
    <col min="11510" max="11510" width="14.85546875" style="6" customWidth="1"/>
    <col min="11511" max="11511" width="15.85546875" style="6" customWidth="1"/>
    <col min="11512" max="11512" width="9.85546875" style="6" customWidth="1"/>
    <col min="11513" max="11513" width="6.85546875" style="6" customWidth="1"/>
    <col min="11514" max="11515" width="10.85546875" style="6" customWidth="1"/>
    <col min="11516" max="11516" width="5.7109375" style="6" customWidth="1"/>
    <col min="11517" max="11517" width="11.5703125" style="6" customWidth="1"/>
    <col min="11518" max="11518" width="9.140625" style="6"/>
    <col min="11519" max="11519" width="9.7109375" style="6" customWidth="1"/>
    <col min="11520" max="11520" width="8.5703125" style="6" customWidth="1"/>
    <col min="11521" max="11522" width="0" style="6" hidden="1" customWidth="1"/>
    <col min="11523" max="11523" width="8.28515625" style="6" customWidth="1"/>
    <col min="11524" max="11524" width="11.85546875" style="6" customWidth="1"/>
    <col min="11525" max="11525" width="11.42578125" style="6" customWidth="1"/>
    <col min="11526" max="11526" width="9.140625" style="6"/>
    <col min="11527" max="11527" width="7.85546875" style="6" customWidth="1"/>
    <col min="11528" max="11765" width="9.140625" style="6"/>
    <col min="11766" max="11766" width="14.85546875" style="6" customWidth="1"/>
    <col min="11767" max="11767" width="15.85546875" style="6" customWidth="1"/>
    <col min="11768" max="11768" width="9.85546875" style="6" customWidth="1"/>
    <col min="11769" max="11769" width="6.85546875" style="6" customWidth="1"/>
    <col min="11770" max="11771" width="10.85546875" style="6" customWidth="1"/>
    <col min="11772" max="11772" width="5.7109375" style="6" customWidth="1"/>
    <col min="11773" max="11773" width="11.5703125" style="6" customWidth="1"/>
    <col min="11774" max="11774" width="9.140625" style="6"/>
    <col min="11775" max="11775" width="9.7109375" style="6" customWidth="1"/>
    <col min="11776" max="11776" width="8.5703125" style="6" customWidth="1"/>
    <col min="11777" max="11778" width="0" style="6" hidden="1" customWidth="1"/>
    <col min="11779" max="11779" width="8.28515625" style="6" customWidth="1"/>
    <col min="11780" max="11780" width="11.85546875" style="6" customWidth="1"/>
    <col min="11781" max="11781" width="11.42578125" style="6" customWidth="1"/>
    <col min="11782" max="11782" width="9.140625" style="6"/>
    <col min="11783" max="11783" width="7.85546875" style="6" customWidth="1"/>
    <col min="11784" max="12021" width="9.140625" style="6"/>
    <col min="12022" max="12022" width="14.85546875" style="6" customWidth="1"/>
    <col min="12023" max="12023" width="15.85546875" style="6" customWidth="1"/>
    <col min="12024" max="12024" width="9.85546875" style="6" customWidth="1"/>
    <col min="12025" max="12025" width="6.85546875" style="6" customWidth="1"/>
    <col min="12026" max="12027" width="10.85546875" style="6" customWidth="1"/>
    <col min="12028" max="12028" width="5.7109375" style="6" customWidth="1"/>
    <col min="12029" max="12029" width="11.5703125" style="6" customWidth="1"/>
    <col min="12030" max="12030" width="9.140625" style="6"/>
    <col min="12031" max="12031" width="9.7109375" style="6" customWidth="1"/>
    <col min="12032" max="12032" width="8.5703125" style="6" customWidth="1"/>
    <col min="12033" max="12034" width="0" style="6" hidden="1" customWidth="1"/>
    <col min="12035" max="12035" width="8.28515625" style="6" customWidth="1"/>
    <col min="12036" max="12036" width="11.85546875" style="6" customWidth="1"/>
    <col min="12037" max="12037" width="11.42578125" style="6" customWidth="1"/>
    <col min="12038" max="12038" width="9.140625" style="6"/>
    <col min="12039" max="12039" width="7.85546875" style="6" customWidth="1"/>
    <col min="12040" max="12277" width="9.140625" style="6"/>
    <col min="12278" max="12278" width="14.85546875" style="6" customWidth="1"/>
    <col min="12279" max="12279" width="15.85546875" style="6" customWidth="1"/>
    <col min="12280" max="12280" width="9.85546875" style="6" customWidth="1"/>
    <col min="12281" max="12281" width="6.85546875" style="6" customWidth="1"/>
    <col min="12282" max="12283" width="10.85546875" style="6" customWidth="1"/>
    <col min="12284" max="12284" width="5.7109375" style="6" customWidth="1"/>
    <col min="12285" max="12285" width="11.5703125" style="6" customWidth="1"/>
    <col min="12286" max="12286" width="9.140625" style="6"/>
    <col min="12287" max="12287" width="9.7109375" style="6" customWidth="1"/>
    <col min="12288" max="12288" width="8.5703125" style="6" customWidth="1"/>
    <col min="12289" max="12290" width="0" style="6" hidden="1" customWidth="1"/>
    <col min="12291" max="12291" width="8.28515625" style="6" customWidth="1"/>
    <col min="12292" max="12292" width="11.85546875" style="6" customWidth="1"/>
    <col min="12293" max="12293" width="11.42578125" style="6" customWidth="1"/>
    <col min="12294" max="12294" width="9.140625" style="6"/>
    <col min="12295" max="12295" width="7.85546875" style="6" customWidth="1"/>
    <col min="12296" max="12533" width="9.140625" style="6"/>
    <col min="12534" max="12534" width="14.85546875" style="6" customWidth="1"/>
    <col min="12535" max="12535" width="15.85546875" style="6" customWidth="1"/>
    <col min="12536" max="12536" width="9.85546875" style="6" customWidth="1"/>
    <col min="12537" max="12537" width="6.85546875" style="6" customWidth="1"/>
    <col min="12538" max="12539" width="10.85546875" style="6" customWidth="1"/>
    <col min="12540" max="12540" width="5.7109375" style="6" customWidth="1"/>
    <col min="12541" max="12541" width="11.5703125" style="6" customWidth="1"/>
    <col min="12542" max="12542" width="9.140625" style="6"/>
    <col min="12543" max="12543" width="9.7109375" style="6" customWidth="1"/>
    <col min="12544" max="12544" width="8.5703125" style="6" customWidth="1"/>
    <col min="12545" max="12546" width="0" style="6" hidden="1" customWidth="1"/>
    <col min="12547" max="12547" width="8.28515625" style="6" customWidth="1"/>
    <col min="12548" max="12548" width="11.85546875" style="6" customWidth="1"/>
    <col min="12549" max="12549" width="11.42578125" style="6" customWidth="1"/>
    <col min="12550" max="12550" width="9.140625" style="6"/>
    <col min="12551" max="12551" width="7.85546875" style="6" customWidth="1"/>
    <col min="12552" max="12789" width="9.140625" style="6"/>
    <col min="12790" max="12790" width="14.85546875" style="6" customWidth="1"/>
    <col min="12791" max="12791" width="15.85546875" style="6" customWidth="1"/>
    <col min="12792" max="12792" width="9.85546875" style="6" customWidth="1"/>
    <col min="12793" max="12793" width="6.85546875" style="6" customWidth="1"/>
    <col min="12794" max="12795" width="10.85546875" style="6" customWidth="1"/>
    <col min="12796" max="12796" width="5.7109375" style="6" customWidth="1"/>
    <col min="12797" max="12797" width="11.5703125" style="6" customWidth="1"/>
    <col min="12798" max="12798" width="9.140625" style="6"/>
    <col min="12799" max="12799" width="9.7109375" style="6" customWidth="1"/>
    <col min="12800" max="12800" width="8.5703125" style="6" customWidth="1"/>
    <col min="12801" max="12802" width="0" style="6" hidden="1" customWidth="1"/>
    <col min="12803" max="12803" width="8.28515625" style="6" customWidth="1"/>
    <col min="12804" max="12804" width="11.85546875" style="6" customWidth="1"/>
    <col min="12805" max="12805" width="11.42578125" style="6" customWidth="1"/>
    <col min="12806" max="12806" width="9.140625" style="6"/>
    <col min="12807" max="12807" width="7.85546875" style="6" customWidth="1"/>
    <col min="12808" max="13045" width="9.140625" style="6"/>
    <col min="13046" max="13046" width="14.85546875" style="6" customWidth="1"/>
    <col min="13047" max="13047" width="15.85546875" style="6" customWidth="1"/>
    <col min="13048" max="13048" width="9.85546875" style="6" customWidth="1"/>
    <col min="13049" max="13049" width="6.85546875" style="6" customWidth="1"/>
    <col min="13050" max="13051" width="10.85546875" style="6" customWidth="1"/>
    <col min="13052" max="13052" width="5.7109375" style="6" customWidth="1"/>
    <col min="13053" max="13053" width="11.5703125" style="6" customWidth="1"/>
    <col min="13054" max="13054" width="9.140625" style="6"/>
    <col min="13055" max="13055" width="9.7109375" style="6" customWidth="1"/>
    <col min="13056" max="13056" width="8.5703125" style="6" customWidth="1"/>
    <col min="13057" max="13058" width="0" style="6" hidden="1" customWidth="1"/>
    <col min="13059" max="13059" width="8.28515625" style="6" customWidth="1"/>
    <col min="13060" max="13060" width="11.85546875" style="6" customWidth="1"/>
    <col min="13061" max="13061" width="11.42578125" style="6" customWidth="1"/>
    <col min="13062" max="13062" width="9.140625" style="6"/>
    <col min="13063" max="13063" width="7.85546875" style="6" customWidth="1"/>
    <col min="13064" max="13301" width="9.140625" style="6"/>
    <col min="13302" max="13302" width="14.85546875" style="6" customWidth="1"/>
    <col min="13303" max="13303" width="15.85546875" style="6" customWidth="1"/>
    <col min="13304" max="13304" width="9.85546875" style="6" customWidth="1"/>
    <col min="13305" max="13305" width="6.85546875" style="6" customWidth="1"/>
    <col min="13306" max="13307" width="10.85546875" style="6" customWidth="1"/>
    <col min="13308" max="13308" width="5.7109375" style="6" customWidth="1"/>
    <col min="13309" max="13309" width="11.5703125" style="6" customWidth="1"/>
    <col min="13310" max="13310" width="9.140625" style="6"/>
    <col min="13311" max="13311" width="9.7109375" style="6" customWidth="1"/>
    <col min="13312" max="13312" width="8.5703125" style="6" customWidth="1"/>
    <col min="13313" max="13314" width="0" style="6" hidden="1" customWidth="1"/>
    <col min="13315" max="13315" width="8.28515625" style="6" customWidth="1"/>
    <col min="13316" max="13316" width="11.85546875" style="6" customWidth="1"/>
    <col min="13317" max="13317" width="11.42578125" style="6" customWidth="1"/>
    <col min="13318" max="13318" width="9.140625" style="6"/>
    <col min="13319" max="13319" width="7.85546875" style="6" customWidth="1"/>
    <col min="13320" max="13557" width="9.140625" style="6"/>
    <col min="13558" max="13558" width="14.85546875" style="6" customWidth="1"/>
    <col min="13559" max="13559" width="15.85546875" style="6" customWidth="1"/>
    <col min="13560" max="13560" width="9.85546875" style="6" customWidth="1"/>
    <col min="13561" max="13561" width="6.85546875" style="6" customWidth="1"/>
    <col min="13562" max="13563" width="10.85546875" style="6" customWidth="1"/>
    <col min="13564" max="13564" width="5.7109375" style="6" customWidth="1"/>
    <col min="13565" max="13565" width="11.5703125" style="6" customWidth="1"/>
    <col min="13566" max="13566" width="9.140625" style="6"/>
    <col min="13567" max="13567" width="9.7109375" style="6" customWidth="1"/>
    <col min="13568" max="13568" width="8.5703125" style="6" customWidth="1"/>
    <col min="13569" max="13570" width="0" style="6" hidden="1" customWidth="1"/>
    <col min="13571" max="13571" width="8.28515625" style="6" customWidth="1"/>
    <col min="13572" max="13572" width="11.85546875" style="6" customWidth="1"/>
    <col min="13573" max="13573" width="11.42578125" style="6" customWidth="1"/>
    <col min="13574" max="13574" width="9.140625" style="6"/>
    <col min="13575" max="13575" width="7.85546875" style="6" customWidth="1"/>
    <col min="13576" max="13813" width="9.140625" style="6"/>
    <col min="13814" max="13814" width="14.85546875" style="6" customWidth="1"/>
    <col min="13815" max="13815" width="15.85546875" style="6" customWidth="1"/>
    <col min="13816" max="13816" width="9.85546875" style="6" customWidth="1"/>
    <col min="13817" max="13817" width="6.85546875" style="6" customWidth="1"/>
    <col min="13818" max="13819" width="10.85546875" style="6" customWidth="1"/>
    <col min="13820" max="13820" width="5.7109375" style="6" customWidth="1"/>
    <col min="13821" max="13821" width="11.5703125" style="6" customWidth="1"/>
    <col min="13822" max="13822" width="9.140625" style="6"/>
    <col min="13823" max="13823" width="9.7109375" style="6" customWidth="1"/>
    <col min="13824" max="13824" width="8.5703125" style="6" customWidth="1"/>
    <col min="13825" max="13826" width="0" style="6" hidden="1" customWidth="1"/>
    <col min="13827" max="13827" width="8.28515625" style="6" customWidth="1"/>
    <col min="13828" max="13828" width="11.85546875" style="6" customWidth="1"/>
    <col min="13829" max="13829" width="11.42578125" style="6" customWidth="1"/>
    <col min="13830" max="13830" width="9.140625" style="6"/>
    <col min="13831" max="13831" width="7.85546875" style="6" customWidth="1"/>
    <col min="13832" max="14069" width="9.140625" style="6"/>
    <col min="14070" max="14070" width="14.85546875" style="6" customWidth="1"/>
    <col min="14071" max="14071" width="15.85546875" style="6" customWidth="1"/>
    <col min="14072" max="14072" width="9.85546875" style="6" customWidth="1"/>
    <col min="14073" max="14073" width="6.85546875" style="6" customWidth="1"/>
    <col min="14074" max="14075" width="10.85546875" style="6" customWidth="1"/>
    <col min="14076" max="14076" width="5.7109375" style="6" customWidth="1"/>
    <col min="14077" max="14077" width="11.5703125" style="6" customWidth="1"/>
    <col min="14078" max="14078" width="9.140625" style="6"/>
    <col min="14079" max="14079" width="9.7109375" style="6" customWidth="1"/>
    <col min="14080" max="14080" width="8.5703125" style="6" customWidth="1"/>
    <col min="14081" max="14082" width="0" style="6" hidden="1" customWidth="1"/>
    <col min="14083" max="14083" width="8.28515625" style="6" customWidth="1"/>
    <col min="14084" max="14084" width="11.85546875" style="6" customWidth="1"/>
    <col min="14085" max="14085" width="11.42578125" style="6" customWidth="1"/>
    <col min="14086" max="14086" width="9.140625" style="6"/>
    <col min="14087" max="14087" width="7.85546875" style="6" customWidth="1"/>
    <col min="14088" max="14325" width="9.140625" style="6"/>
    <col min="14326" max="14326" width="14.85546875" style="6" customWidth="1"/>
    <col min="14327" max="14327" width="15.85546875" style="6" customWidth="1"/>
    <col min="14328" max="14328" width="9.85546875" style="6" customWidth="1"/>
    <col min="14329" max="14329" width="6.85546875" style="6" customWidth="1"/>
    <col min="14330" max="14331" width="10.85546875" style="6" customWidth="1"/>
    <col min="14332" max="14332" width="5.7109375" style="6" customWidth="1"/>
    <col min="14333" max="14333" width="11.5703125" style="6" customWidth="1"/>
    <col min="14334" max="14334" width="9.140625" style="6"/>
    <col min="14335" max="14335" width="9.7109375" style="6" customWidth="1"/>
    <col min="14336" max="14336" width="8.5703125" style="6" customWidth="1"/>
    <col min="14337" max="14338" width="0" style="6" hidden="1" customWidth="1"/>
    <col min="14339" max="14339" width="8.28515625" style="6" customWidth="1"/>
    <col min="14340" max="14340" width="11.85546875" style="6" customWidth="1"/>
    <col min="14341" max="14341" width="11.42578125" style="6" customWidth="1"/>
    <col min="14342" max="14342" width="9.140625" style="6"/>
    <col min="14343" max="14343" width="7.85546875" style="6" customWidth="1"/>
    <col min="14344" max="14581" width="9.140625" style="6"/>
    <col min="14582" max="14582" width="14.85546875" style="6" customWidth="1"/>
    <col min="14583" max="14583" width="15.85546875" style="6" customWidth="1"/>
    <col min="14584" max="14584" width="9.85546875" style="6" customWidth="1"/>
    <col min="14585" max="14585" width="6.85546875" style="6" customWidth="1"/>
    <col min="14586" max="14587" width="10.85546875" style="6" customWidth="1"/>
    <col min="14588" max="14588" width="5.7109375" style="6" customWidth="1"/>
    <col min="14589" max="14589" width="11.5703125" style="6" customWidth="1"/>
    <col min="14590" max="14590" width="9.140625" style="6"/>
    <col min="14591" max="14591" width="9.7109375" style="6" customWidth="1"/>
    <col min="14592" max="14592" width="8.5703125" style="6" customWidth="1"/>
    <col min="14593" max="14594" width="0" style="6" hidden="1" customWidth="1"/>
    <col min="14595" max="14595" width="8.28515625" style="6" customWidth="1"/>
    <col min="14596" max="14596" width="11.85546875" style="6" customWidth="1"/>
    <col min="14597" max="14597" width="11.42578125" style="6" customWidth="1"/>
    <col min="14598" max="14598" width="9.140625" style="6"/>
    <col min="14599" max="14599" width="7.85546875" style="6" customWidth="1"/>
    <col min="14600" max="14837" width="9.140625" style="6"/>
    <col min="14838" max="14838" width="14.85546875" style="6" customWidth="1"/>
    <col min="14839" max="14839" width="15.85546875" style="6" customWidth="1"/>
    <col min="14840" max="14840" width="9.85546875" style="6" customWidth="1"/>
    <col min="14841" max="14841" width="6.85546875" style="6" customWidth="1"/>
    <col min="14842" max="14843" width="10.85546875" style="6" customWidth="1"/>
    <col min="14844" max="14844" width="5.7109375" style="6" customWidth="1"/>
    <col min="14845" max="14845" width="11.5703125" style="6" customWidth="1"/>
    <col min="14846" max="14846" width="9.140625" style="6"/>
    <col min="14847" max="14847" width="9.7109375" style="6" customWidth="1"/>
    <col min="14848" max="14848" width="8.5703125" style="6" customWidth="1"/>
    <col min="14849" max="14850" width="0" style="6" hidden="1" customWidth="1"/>
    <col min="14851" max="14851" width="8.28515625" style="6" customWidth="1"/>
    <col min="14852" max="14852" width="11.85546875" style="6" customWidth="1"/>
    <col min="14853" max="14853" width="11.42578125" style="6" customWidth="1"/>
    <col min="14854" max="14854" width="9.140625" style="6"/>
    <col min="14855" max="14855" width="7.85546875" style="6" customWidth="1"/>
    <col min="14856" max="15093" width="9.140625" style="6"/>
    <col min="15094" max="15094" width="14.85546875" style="6" customWidth="1"/>
    <col min="15095" max="15095" width="15.85546875" style="6" customWidth="1"/>
    <col min="15096" max="15096" width="9.85546875" style="6" customWidth="1"/>
    <col min="15097" max="15097" width="6.85546875" style="6" customWidth="1"/>
    <col min="15098" max="15099" width="10.85546875" style="6" customWidth="1"/>
    <col min="15100" max="15100" width="5.7109375" style="6" customWidth="1"/>
    <col min="15101" max="15101" width="11.5703125" style="6" customWidth="1"/>
    <col min="15102" max="15102" width="9.140625" style="6"/>
    <col min="15103" max="15103" width="9.7109375" style="6" customWidth="1"/>
    <col min="15104" max="15104" width="8.5703125" style="6" customWidth="1"/>
    <col min="15105" max="15106" width="0" style="6" hidden="1" customWidth="1"/>
    <col min="15107" max="15107" width="8.28515625" style="6" customWidth="1"/>
    <col min="15108" max="15108" width="11.85546875" style="6" customWidth="1"/>
    <col min="15109" max="15109" width="11.42578125" style="6" customWidth="1"/>
    <col min="15110" max="15110" width="9.140625" style="6"/>
    <col min="15111" max="15111" width="7.85546875" style="6" customWidth="1"/>
    <col min="15112" max="15349" width="9.140625" style="6"/>
    <col min="15350" max="15350" width="14.85546875" style="6" customWidth="1"/>
    <col min="15351" max="15351" width="15.85546875" style="6" customWidth="1"/>
    <col min="15352" max="15352" width="9.85546875" style="6" customWidth="1"/>
    <col min="15353" max="15353" width="6.85546875" style="6" customWidth="1"/>
    <col min="15354" max="15355" width="10.85546875" style="6" customWidth="1"/>
    <col min="15356" max="15356" width="5.7109375" style="6" customWidth="1"/>
    <col min="15357" max="15357" width="11.5703125" style="6" customWidth="1"/>
    <col min="15358" max="15358" width="9.140625" style="6"/>
    <col min="15359" max="15359" width="9.7109375" style="6" customWidth="1"/>
    <col min="15360" max="15360" width="8.5703125" style="6" customWidth="1"/>
    <col min="15361" max="15362" width="0" style="6" hidden="1" customWidth="1"/>
    <col min="15363" max="15363" width="8.28515625" style="6" customWidth="1"/>
    <col min="15364" max="15364" width="11.85546875" style="6" customWidth="1"/>
    <col min="15365" max="15365" width="11.42578125" style="6" customWidth="1"/>
    <col min="15366" max="15366" width="9.140625" style="6"/>
    <col min="15367" max="15367" width="7.85546875" style="6" customWidth="1"/>
    <col min="15368" max="15605" width="9.140625" style="6"/>
    <col min="15606" max="15606" width="14.85546875" style="6" customWidth="1"/>
    <col min="15607" max="15607" width="15.85546875" style="6" customWidth="1"/>
    <col min="15608" max="15608" width="9.85546875" style="6" customWidth="1"/>
    <col min="15609" max="15609" width="6.85546875" style="6" customWidth="1"/>
    <col min="15610" max="15611" width="10.85546875" style="6" customWidth="1"/>
    <col min="15612" max="15612" width="5.7109375" style="6" customWidth="1"/>
    <col min="15613" max="15613" width="11.5703125" style="6" customWidth="1"/>
    <col min="15614" max="15614" width="9.140625" style="6"/>
    <col min="15615" max="15615" width="9.7109375" style="6" customWidth="1"/>
    <col min="15616" max="15616" width="8.5703125" style="6" customWidth="1"/>
    <col min="15617" max="15618" width="0" style="6" hidden="1" customWidth="1"/>
    <col min="15619" max="15619" width="8.28515625" style="6" customWidth="1"/>
    <col min="15620" max="15620" width="11.85546875" style="6" customWidth="1"/>
    <col min="15621" max="15621" width="11.42578125" style="6" customWidth="1"/>
    <col min="15622" max="15622" width="9.140625" style="6"/>
    <col min="15623" max="15623" width="7.85546875" style="6" customWidth="1"/>
    <col min="15624" max="15861" width="9.140625" style="6"/>
    <col min="15862" max="15862" width="14.85546875" style="6" customWidth="1"/>
    <col min="15863" max="15863" width="15.85546875" style="6" customWidth="1"/>
    <col min="15864" max="15864" width="9.85546875" style="6" customWidth="1"/>
    <col min="15865" max="15865" width="6.85546875" style="6" customWidth="1"/>
    <col min="15866" max="15867" width="10.85546875" style="6" customWidth="1"/>
    <col min="15868" max="15868" width="5.7109375" style="6" customWidth="1"/>
    <col min="15869" max="15869" width="11.5703125" style="6" customWidth="1"/>
    <col min="15870" max="15870" width="9.140625" style="6"/>
    <col min="15871" max="15871" width="9.7109375" style="6" customWidth="1"/>
    <col min="15872" max="15872" width="8.5703125" style="6" customWidth="1"/>
    <col min="15873" max="15874" width="0" style="6" hidden="1" customWidth="1"/>
    <col min="15875" max="15875" width="8.28515625" style="6" customWidth="1"/>
    <col min="15876" max="15876" width="11.85546875" style="6" customWidth="1"/>
    <col min="15877" max="15877" width="11.42578125" style="6" customWidth="1"/>
    <col min="15878" max="15878" width="9.140625" style="6"/>
    <col min="15879" max="15879" width="7.85546875" style="6" customWidth="1"/>
    <col min="15880" max="16117" width="9.140625" style="6"/>
    <col min="16118" max="16118" width="14.85546875" style="6" customWidth="1"/>
    <col min="16119" max="16119" width="15.85546875" style="6" customWidth="1"/>
    <col min="16120" max="16120" width="9.85546875" style="6" customWidth="1"/>
    <col min="16121" max="16121" width="6.85546875" style="6" customWidth="1"/>
    <col min="16122" max="16123" width="10.85546875" style="6" customWidth="1"/>
    <col min="16124" max="16124" width="5.7109375" style="6" customWidth="1"/>
    <col min="16125" max="16125" width="11.5703125" style="6" customWidth="1"/>
    <col min="16126" max="16126" width="9.140625" style="6"/>
    <col min="16127" max="16127" width="9.7109375" style="6" customWidth="1"/>
    <col min="16128" max="16128" width="8.5703125" style="6" customWidth="1"/>
    <col min="16129" max="16130" width="0" style="6" hidden="1" customWidth="1"/>
    <col min="16131" max="16131" width="8.28515625" style="6" customWidth="1"/>
    <col min="16132" max="16132" width="11.85546875" style="6" customWidth="1"/>
    <col min="16133" max="16133" width="11.42578125" style="6" customWidth="1"/>
    <col min="16134" max="16134" width="9.140625" style="6"/>
    <col min="16135" max="16135" width="7.85546875" style="6" customWidth="1"/>
    <col min="16136" max="16384" width="9.140625" style="6"/>
  </cols>
  <sheetData>
    <row r="1" spans="2:20" s="9" customFormat="1" x14ac:dyDescent="0.25">
      <c r="D1" s="9" t="s">
        <v>67</v>
      </c>
      <c r="E1" s="39" t="s">
        <v>68</v>
      </c>
      <c r="N1" s="18"/>
      <c r="O1" s="18"/>
      <c r="T1" s="37"/>
    </row>
    <row r="2" spans="2:20" s="9" customFormat="1" x14ac:dyDescent="0.25">
      <c r="B2" s="2" t="s">
        <v>43</v>
      </c>
      <c r="C2" s="47"/>
      <c r="D2" s="3"/>
      <c r="E2" s="3"/>
      <c r="F2" s="10"/>
      <c r="G2" s="10"/>
      <c r="H2" s="10"/>
      <c r="I2" s="10"/>
      <c r="J2" s="10"/>
      <c r="K2" s="48"/>
      <c r="L2" s="2" t="s">
        <v>9</v>
      </c>
      <c r="M2" s="15"/>
      <c r="N2" s="15"/>
      <c r="O2" s="75"/>
      <c r="T2" s="37"/>
    </row>
    <row r="3" spans="2:20" s="9" customFormat="1" x14ac:dyDescent="0.25">
      <c r="B3" s="4"/>
      <c r="C3" s="1"/>
      <c r="D3" s="1"/>
      <c r="E3" s="1"/>
      <c r="F3" s="6"/>
      <c r="G3" s="6"/>
      <c r="H3" s="6"/>
      <c r="I3" s="6"/>
      <c r="J3" s="6"/>
      <c r="K3" s="49"/>
      <c r="L3" s="4"/>
      <c r="M3" s="17"/>
      <c r="N3" s="17"/>
      <c r="O3" s="83" t="s">
        <v>69</v>
      </c>
      <c r="P3" s="110" t="s">
        <v>69</v>
      </c>
      <c r="T3" s="37"/>
    </row>
    <row r="4" spans="2:20" s="9" customFormat="1" x14ac:dyDescent="0.25">
      <c r="B4" s="5" t="s">
        <v>6</v>
      </c>
      <c r="C4" s="6"/>
      <c r="D4" s="6"/>
      <c r="E4" s="38">
        <v>70</v>
      </c>
      <c r="F4" s="6" t="s">
        <v>51</v>
      </c>
      <c r="G4" s="6"/>
      <c r="H4" s="6"/>
      <c r="I4" s="6"/>
      <c r="J4" s="6"/>
      <c r="K4" s="49"/>
      <c r="L4" s="4"/>
      <c r="M4" s="17"/>
      <c r="N4" s="17"/>
      <c r="O4" s="83" t="s">
        <v>55</v>
      </c>
      <c r="P4" s="98" t="s">
        <v>55</v>
      </c>
      <c r="T4" s="37"/>
    </row>
    <row r="5" spans="2:20" s="9" customFormat="1" x14ac:dyDescent="0.25">
      <c r="B5" s="5" t="s">
        <v>0</v>
      </c>
      <c r="C5" s="6"/>
      <c r="D5" s="6"/>
      <c r="E5" s="39" t="s">
        <v>33</v>
      </c>
      <c r="F5" s="6" t="s">
        <v>30</v>
      </c>
      <c r="G5" s="6"/>
      <c r="H5" s="6"/>
      <c r="I5" s="6"/>
      <c r="J5" s="6"/>
      <c r="K5" s="49"/>
      <c r="L5" s="4"/>
      <c r="M5" s="17"/>
      <c r="N5" s="17"/>
      <c r="O5" s="82">
        <v>42735</v>
      </c>
      <c r="P5" s="99">
        <v>43100</v>
      </c>
      <c r="T5" s="37"/>
    </row>
    <row r="6" spans="2:20" s="9" customFormat="1" x14ac:dyDescent="0.25">
      <c r="B6" s="5" t="s">
        <v>10</v>
      </c>
      <c r="C6" s="6"/>
      <c r="D6" s="6"/>
      <c r="E6" s="40">
        <v>40000</v>
      </c>
      <c r="F6" s="6" t="s">
        <v>50</v>
      </c>
      <c r="G6" s="6"/>
      <c r="H6" s="6"/>
      <c r="I6" s="6"/>
      <c r="J6" s="6"/>
      <c r="K6" s="49"/>
      <c r="L6" s="4" t="s">
        <v>34</v>
      </c>
      <c r="M6" s="6"/>
      <c r="N6" s="6"/>
      <c r="O6" s="43">
        <v>2500000000</v>
      </c>
      <c r="P6" s="105">
        <f>O6</f>
        <v>2500000000</v>
      </c>
      <c r="T6" s="37"/>
    </row>
    <row r="7" spans="2:20" s="9" customFormat="1" x14ac:dyDescent="0.25">
      <c r="B7" s="5" t="s">
        <v>11</v>
      </c>
      <c r="C7" s="6"/>
      <c r="D7" s="6"/>
      <c r="E7" s="40">
        <v>5000</v>
      </c>
      <c r="F7" s="6" t="s">
        <v>35</v>
      </c>
      <c r="G7" s="6"/>
      <c r="H7" s="6"/>
      <c r="I7" s="6"/>
      <c r="J7" s="6"/>
      <c r="K7" s="49"/>
      <c r="L7" s="4" t="s">
        <v>20</v>
      </c>
      <c r="M7" s="6"/>
      <c r="N7" s="6"/>
      <c r="O7" s="43">
        <v>500000000</v>
      </c>
      <c r="P7" s="105">
        <f t="shared" ref="P7:P10" si="0">O7</f>
        <v>500000000</v>
      </c>
      <c r="T7" s="37"/>
    </row>
    <row r="8" spans="2:20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49"/>
      <c r="L8" s="4" t="s">
        <v>19</v>
      </c>
      <c r="M8" s="6"/>
      <c r="N8" s="6"/>
      <c r="O8" s="43">
        <v>50000000</v>
      </c>
      <c r="P8" s="105">
        <f t="shared" si="0"/>
        <v>50000000</v>
      </c>
      <c r="T8" s="37"/>
    </row>
    <row r="9" spans="2:20" s="9" customFormat="1" x14ac:dyDescent="0.25">
      <c r="B9" s="5" t="s">
        <v>16</v>
      </c>
      <c r="C9" s="6"/>
      <c r="D9" s="6"/>
      <c r="E9" s="40">
        <v>40</v>
      </c>
      <c r="F9" s="6" t="s">
        <v>1</v>
      </c>
      <c r="G9" s="6"/>
      <c r="H9" s="6"/>
      <c r="I9" s="6"/>
      <c r="J9" s="6"/>
      <c r="K9" s="49"/>
      <c r="L9" s="4" t="s">
        <v>14</v>
      </c>
      <c r="M9" s="6"/>
      <c r="N9" s="6"/>
      <c r="O9" s="78" t="s">
        <v>36</v>
      </c>
      <c r="P9" s="105"/>
      <c r="T9" s="37"/>
    </row>
    <row r="10" spans="2:20" s="9" customFormat="1" x14ac:dyDescent="0.25">
      <c r="B10" s="5" t="s">
        <v>7</v>
      </c>
      <c r="C10" s="6"/>
      <c r="D10" s="6"/>
      <c r="E10" s="81">
        <v>0.04</v>
      </c>
      <c r="F10" s="6" t="s">
        <v>31</v>
      </c>
      <c r="G10" s="6"/>
      <c r="H10" s="6"/>
      <c r="I10" s="6"/>
      <c r="J10" s="6"/>
      <c r="K10" s="49"/>
      <c r="L10" s="76" t="s">
        <v>39</v>
      </c>
      <c r="M10" s="8"/>
      <c r="N10" s="8"/>
      <c r="O10" s="44">
        <v>150000000</v>
      </c>
      <c r="P10" s="105">
        <f t="shared" si="0"/>
        <v>150000000</v>
      </c>
      <c r="T10" s="37"/>
    </row>
    <row r="11" spans="2:20" s="9" customFormat="1" x14ac:dyDescent="0.25">
      <c r="B11" s="5" t="s">
        <v>12</v>
      </c>
      <c r="C11" s="6"/>
      <c r="D11" s="6"/>
      <c r="E11" s="41">
        <v>0.1</v>
      </c>
      <c r="F11" s="6" t="s">
        <v>31</v>
      </c>
      <c r="G11" s="6"/>
      <c r="H11" s="6"/>
      <c r="I11" s="6"/>
      <c r="J11" s="6"/>
      <c r="K11" s="49"/>
      <c r="T11" s="37"/>
    </row>
    <row r="12" spans="2:20" s="9" customFormat="1" x14ac:dyDescent="0.25">
      <c r="B12" s="5" t="s">
        <v>13</v>
      </c>
      <c r="C12" s="6"/>
      <c r="D12" s="6"/>
      <c r="E12" s="41">
        <v>0.03</v>
      </c>
      <c r="F12" s="6" t="s">
        <v>31</v>
      </c>
      <c r="G12" s="6"/>
      <c r="H12" s="6"/>
      <c r="I12" s="6"/>
      <c r="J12" s="6"/>
      <c r="K12" s="49"/>
      <c r="L12" s="77" t="s">
        <v>46</v>
      </c>
      <c r="M12" s="10"/>
      <c r="N12" s="10"/>
      <c r="O12" s="45">
        <v>0.1</v>
      </c>
      <c r="T12" s="37"/>
    </row>
    <row r="13" spans="2:20" s="9" customFormat="1" x14ac:dyDescent="0.25">
      <c r="B13" s="5" t="s">
        <v>17</v>
      </c>
      <c r="C13" s="6"/>
      <c r="D13" s="6"/>
      <c r="E13" s="41">
        <v>0.3</v>
      </c>
      <c r="F13" s="6"/>
      <c r="G13" s="6"/>
      <c r="H13" s="6"/>
      <c r="I13" s="6"/>
      <c r="J13" s="6"/>
      <c r="K13" s="49"/>
      <c r="L13" s="76" t="s">
        <v>21</v>
      </c>
      <c r="M13" s="8"/>
      <c r="N13" s="8"/>
      <c r="O13" s="46">
        <v>0</v>
      </c>
      <c r="T13" s="37"/>
    </row>
    <row r="14" spans="2:20" s="9" customFormat="1" x14ac:dyDescent="0.25">
      <c r="B14" s="5" t="s">
        <v>18</v>
      </c>
      <c r="C14" s="6"/>
      <c r="D14" s="6"/>
      <c r="E14" s="41">
        <v>0</v>
      </c>
      <c r="F14" s="6"/>
      <c r="G14" s="6"/>
      <c r="H14" s="6"/>
      <c r="I14" s="6"/>
      <c r="J14" s="6"/>
      <c r="K14" s="49"/>
      <c r="N14" s="18"/>
      <c r="O14" s="98" t="s">
        <v>69</v>
      </c>
      <c r="P14" s="110" t="s">
        <v>69</v>
      </c>
      <c r="T14" s="37"/>
    </row>
    <row r="15" spans="2:20" s="9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49"/>
      <c r="N15" s="18"/>
      <c r="O15" s="98" t="s">
        <v>55</v>
      </c>
      <c r="P15" s="98" t="s">
        <v>55</v>
      </c>
      <c r="T15" s="37"/>
    </row>
    <row r="16" spans="2:20" s="9" customFormat="1" x14ac:dyDescent="0.25">
      <c r="B16" s="5" t="s">
        <v>5</v>
      </c>
      <c r="C16" s="6"/>
      <c r="D16" s="6"/>
      <c r="E16" s="41">
        <v>0.02</v>
      </c>
      <c r="F16" s="6" t="s">
        <v>32</v>
      </c>
      <c r="G16" s="6"/>
      <c r="H16" s="6"/>
      <c r="I16" s="6"/>
      <c r="J16" s="6"/>
      <c r="K16" s="49"/>
      <c r="N16" s="18"/>
      <c r="O16" s="99">
        <v>42735</v>
      </c>
      <c r="P16" s="99">
        <v>43100</v>
      </c>
      <c r="T16" s="37"/>
    </row>
    <row r="17" spans="1:27" s="9" customFormat="1" ht="15" x14ac:dyDescent="0.25">
      <c r="B17" s="5" t="s">
        <v>52</v>
      </c>
      <c r="C17" s="6"/>
      <c r="D17" s="1"/>
      <c r="E17" s="42">
        <v>1200</v>
      </c>
      <c r="F17" s="6" t="s">
        <v>53</v>
      </c>
      <c r="G17" s="6"/>
      <c r="H17" s="6"/>
      <c r="I17" s="6"/>
      <c r="J17" s="6"/>
      <c r="K17" s="49"/>
      <c r="N17" s="9" t="s">
        <v>27</v>
      </c>
      <c r="O17" s="55">
        <f>'Model (a) '!O17</f>
        <v>378123175.0487166</v>
      </c>
      <c r="P17" s="37">
        <f>T27</f>
        <v>253732208.75048271</v>
      </c>
      <c r="Q17" s="119">
        <f>P17-'Model (a)+Exp+Inv'!P17</f>
        <v>6101805.0012919009</v>
      </c>
      <c r="R17" s="107">
        <f>-K27-L27+R27/(1-E13)-E13*(R27/(1-E13)-K27-L27-(N27-N26))</f>
        <v>-59601742.158061765</v>
      </c>
      <c r="S17" s="108" t="s">
        <v>40</v>
      </c>
      <c r="T17" s="37"/>
    </row>
    <row r="18" spans="1:27" s="9" customFormat="1" ht="15" x14ac:dyDescent="0.25">
      <c r="B18" s="5" t="s">
        <v>2</v>
      </c>
      <c r="C18" s="6"/>
      <c r="D18" s="6"/>
      <c r="E18" s="81">
        <v>0.95</v>
      </c>
      <c r="F18" s="6" t="s">
        <v>54</v>
      </c>
      <c r="G18" s="6"/>
      <c r="H18" s="6"/>
      <c r="I18" s="6"/>
      <c r="J18" s="6"/>
      <c r="K18" s="49"/>
      <c r="N18" s="9" t="s">
        <v>28</v>
      </c>
      <c r="O18" s="55">
        <f>'Model (a) '!O18</f>
        <v>9116081.290678978</v>
      </c>
      <c r="P18" s="105">
        <f>P6+P7+P8-P10-N27-P27-Q27-(K27+L27)*(1-$E$13)+R27-(N27-N26)*-$E$13</f>
        <v>16693096.613206532</v>
      </c>
      <c r="Q18" s="119">
        <f>P18-'Model (a)+Exp+Inv'!P18</f>
        <v>-49704730.878640741</v>
      </c>
      <c r="T18" s="37"/>
    </row>
    <row r="19" spans="1:27" s="9" customFormat="1" x14ac:dyDescent="0.25">
      <c r="B19" s="5" t="s">
        <v>3</v>
      </c>
      <c r="C19" s="6"/>
      <c r="D19" s="6"/>
      <c r="E19" s="79" t="s">
        <v>49</v>
      </c>
      <c r="F19" s="6"/>
      <c r="G19" s="6"/>
      <c r="H19" s="6"/>
      <c r="I19" s="6"/>
      <c r="J19" s="6"/>
      <c r="K19" s="49"/>
      <c r="N19" s="11" t="s">
        <v>37</v>
      </c>
      <c r="O19" s="97">
        <f>SUM(O17:O18)</f>
        <v>387239256.33939558</v>
      </c>
      <c r="P19" s="97">
        <f>SUM(P17:P18)</f>
        <v>270425305.36368924</v>
      </c>
      <c r="T19" s="37"/>
    </row>
    <row r="20" spans="1:27" s="9" customFormat="1" x14ac:dyDescent="0.25">
      <c r="B20" s="7" t="s">
        <v>8</v>
      </c>
      <c r="C20" s="8"/>
      <c r="D20" s="8"/>
      <c r="E20" s="80">
        <v>0</v>
      </c>
      <c r="F20" s="8" t="s">
        <v>31</v>
      </c>
      <c r="G20" s="8"/>
      <c r="H20" s="8"/>
      <c r="I20" s="8"/>
      <c r="J20" s="8"/>
      <c r="K20" s="50"/>
      <c r="N20" s="18"/>
      <c r="O20" s="18"/>
    </row>
    <row r="21" spans="1:27" s="9" customFormat="1" x14ac:dyDescent="0.25">
      <c r="B21" s="6"/>
      <c r="C21" s="6"/>
      <c r="D21" s="6"/>
      <c r="E21" s="21"/>
      <c r="N21" s="18"/>
      <c r="O21" s="18"/>
      <c r="U21" s="37"/>
      <c r="W21" s="37"/>
    </row>
    <row r="22" spans="1:27" s="9" customFormat="1" x14ac:dyDescent="0.25"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5"/>
      <c r="O22" s="15"/>
      <c r="P22" s="10"/>
      <c r="Q22" s="10"/>
      <c r="R22" s="10"/>
      <c r="S22" s="10"/>
      <c r="T22" s="48"/>
    </row>
    <row r="23" spans="1:27" s="9" customFormat="1" ht="16.5" x14ac:dyDescent="0.25">
      <c r="B23" s="16" t="s">
        <v>4</v>
      </c>
      <c r="C23" s="22"/>
      <c r="D23" s="22"/>
      <c r="E23" s="22"/>
      <c r="F23" s="22"/>
      <c r="G23" s="22"/>
      <c r="H23" s="22"/>
      <c r="I23" s="22"/>
      <c r="J23" s="22"/>
      <c r="K23" s="6"/>
      <c r="L23" s="6"/>
      <c r="M23" s="6"/>
      <c r="N23" s="17"/>
      <c r="O23" s="17"/>
      <c r="P23" s="6"/>
      <c r="Q23" s="6"/>
      <c r="R23" s="6"/>
      <c r="S23" s="6"/>
      <c r="T23" s="49"/>
      <c r="V23" s="25"/>
      <c r="AA23" s="25"/>
    </row>
    <row r="24" spans="1:27" s="9" customFormat="1" x14ac:dyDescent="0.25">
      <c r="B24" s="12"/>
      <c r="C24" s="11"/>
      <c r="D24" s="100" t="s">
        <v>65</v>
      </c>
      <c r="E24" s="26" t="s">
        <v>22</v>
      </c>
      <c r="F24" s="26" t="s">
        <v>22</v>
      </c>
      <c r="G24" s="26" t="s">
        <v>22</v>
      </c>
      <c r="H24" s="26"/>
      <c r="I24" s="26"/>
      <c r="J24" s="26"/>
      <c r="K24" s="26" t="s">
        <v>22</v>
      </c>
      <c r="L24" s="26" t="s">
        <v>22</v>
      </c>
      <c r="M24" s="26" t="s">
        <v>22</v>
      </c>
      <c r="N24" s="26" t="s">
        <v>22</v>
      </c>
      <c r="O24" s="26" t="s">
        <v>22</v>
      </c>
      <c r="P24" s="26" t="s">
        <v>22</v>
      </c>
      <c r="Q24" s="56" t="s">
        <v>22</v>
      </c>
      <c r="R24" s="26" t="s">
        <v>22</v>
      </c>
      <c r="S24" s="26" t="s">
        <v>22</v>
      </c>
      <c r="T24" s="85" t="s">
        <v>22</v>
      </c>
    </row>
    <row r="25" spans="1:27" s="29" customFormat="1" ht="40.5" x14ac:dyDescent="0.25">
      <c r="A25" s="13"/>
      <c r="B25" s="23" t="s">
        <v>47</v>
      </c>
      <c r="C25" s="93" t="s">
        <v>48</v>
      </c>
      <c r="D25" s="93" t="s">
        <v>15</v>
      </c>
      <c r="E25" s="93" t="s">
        <v>56</v>
      </c>
      <c r="F25" s="93" t="s">
        <v>66</v>
      </c>
      <c r="G25" s="93" t="s">
        <v>58</v>
      </c>
      <c r="H25" s="93" t="s">
        <v>23</v>
      </c>
      <c r="I25" s="93" t="s">
        <v>57</v>
      </c>
      <c r="J25" s="93" t="s">
        <v>24</v>
      </c>
      <c r="K25" s="93" t="s">
        <v>59</v>
      </c>
      <c r="L25" s="93" t="s">
        <v>60</v>
      </c>
      <c r="M25" s="93" t="s">
        <v>25</v>
      </c>
      <c r="N25" s="93" t="s">
        <v>61</v>
      </c>
      <c r="O25" s="93" t="s">
        <v>41</v>
      </c>
      <c r="P25" s="93" t="s">
        <v>26</v>
      </c>
      <c r="Q25" s="103" t="s">
        <v>38</v>
      </c>
      <c r="R25" s="93" t="s">
        <v>62</v>
      </c>
      <c r="S25" s="93" t="s">
        <v>63</v>
      </c>
      <c r="T25" s="104" t="s">
        <v>64</v>
      </c>
    </row>
    <row r="26" spans="1:27" s="29" customFormat="1" x14ac:dyDescent="0.25">
      <c r="A26" s="13"/>
      <c r="B26" s="102">
        <v>0</v>
      </c>
      <c r="C26" s="56"/>
      <c r="D26" s="26"/>
      <c r="E26" s="26"/>
      <c r="F26" s="26"/>
      <c r="G26" s="73">
        <f>$E$7</f>
        <v>5000</v>
      </c>
      <c r="H26" s="26"/>
      <c r="I26" s="26"/>
      <c r="J26" s="26"/>
      <c r="K26" s="27"/>
      <c r="L26" s="28"/>
      <c r="M26" s="55">
        <f>'Model (a) '!M26</f>
        <v>2628076289.7357464</v>
      </c>
      <c r="N26" s="55">
        <f>'Model (a) '!N26</f>
        <v>2628076289.7357464</v>
      </c>
      <c r="O26" s="34"/>
      <c r="P26" s="34">
        <f t="shared" ref="P26:P66" si="1" xml:space="preserve"> $O$12 * M26</f>
        <v>262807628.97357464</v>
      </c>
      <c r="Q26" s="34">
        <f t="shared" ref="Q26:Q66" si="2">+$O$13*P26</f>
        <v>0</v>
      </c>
      <c r="R26" s="34"/>
      <c r="S26" s="30"/>
      <c r="T26" s="86"/>
      <c r="U26" s="30"/>
      <c r="W26" s="6"/>
      <c r="X26" s="6"/>
      <c r="Y26" s="6"/>
      <c r="Z26" s="30"/>
    </row>
    <row r="27" spans="1:27" x14ac:dyDescent="0.25">
      <c r="B27" s="24">
        <f t="shared" ref="B27" si="3">B26+1</f>
        <v>1</v>
      </c>
      <c r="C27" s="94">
        <v>2017</v>
      </c>
      <c r="D27" s="95">
        <f>E4</f>
        <v>70</v>
      </c>
      <c r="E27" s="71">
        <f xml:space="preserve"> $E$6</f>
        <v>40000</v>
      </c>
      <c r="F27" s="70">
        <v>1500</v>
      </c>
      <c r="G27" s="73">
        <f t="shared" ref="G27:G66" si="4" xml:space="preserve"> G26 * ( 1 - J27 )</f>
        <v>4904</v>
      </c>
      <c r="H27" s="109">
        <f>'Model (a) '!H27</f>
        <v>1.9199999999999998E-2</v>
      </c>
      <c r="I27" s="36">
        <f xml:space="preserve"> 1</f>
        <v>1</v>
      </c>
      <c r="J27" s="36">
        <f xml:space="preserve"> H27 * I27</f>
        <v>1.9199999999999998E-2</v>
      </c>
      <c r="K27" s="34">
        <f t="shared" ref="K27:K66" si="5" xml:space="preserve"> E27 * $G27</f>
        <v>196160000</v>
      </c>
      <c r="L27" s="34">
        <f t="shared" ref="L27:L66" si="6" xml:space="preserve"> F27 * $G27</f>
        <v>7356000</v>
      </c>
      <c r="M27" s="34">
        <f t="shared" ref="M27:M65" si="7" xml:space="preserve"> SUM( K28:M28 ) / ( 1 + $E$12 )</f>
        <v>2567004692.0261197</v>
      </c>
      <c r="N27" s="34">
        <f t="shared" ref="N27:N66" si="8" xml:space="preserve"> M27</f>
        <v>2567004692.0261197</v>
      </c>
      <c r="O27" s="55">
        <f>'Model (a) '!O27</f>
        <v>-55189602.08445067</v>
      </c>
      <c r="P27" s="34">
        <f t="shared" si="1"/>
        <v>256700469.20261198</v>
      </c>
      <c r="Q27" s="34">
        <f t="shared" si="2"/>
        <v>0</v>
      </c>
      <c r="R27" s="55">
        <f>'Model (a) '!R27</f>
        <v>101180937.15482622</v>
      </c>
      <c r="S27" s="34">
        <f xml:space="preserve"> O27 + R27 - ( P27 + Q27 - P26 - Q26 )</f>
        <v>52098494.84133821</v>
      </c>
      <c r="T27" s="87">
        <f xml:space="preserve"> SUM( S28:T28 ) / ( 1 + $E$11 )</f>
        <v>253732208.75048271</v>
      </c>
      <c r="U27" s="30"/>
      <c r="V27" s="32"/>
      <c r="Z27" s="30"/>
      <c r="AA27" s="33"/>
    </row>
    <row r="28" spans="1:27" x14ac:dyDescent="0.25">
      <c r="B28" s="24">
        <f t="shared" ref="B28:C66" si="9">B27+1</f>
        <v>2</v>
      </c>
      <c r="C28" s="95">
        <f t="shared" si="9"/>
        <v>2018</v>
      </c>
      <c r="D28" s="95">
        <f>D27+B28-B27</f>
        <v>71</v>
      </c>
      <c r="E28" s="34">
        <f xml:space="preserve"> E27 * ( 1 + $E$16 )</f>
        <v>40800</v>
      </c>
      <c r="F28" s="55">
        <f>'Model (a) '!F28</f>
        <v>1224</v>
      </c>
      <c r="G28" s="35">
        <f t="shared" si="4"/>
        <v>4806.1651999999995</v>
      </c>
      <c r="H28" s="36">
        <f xml:space="preserve"> VLOOKUP( $D28, 'Mortality table'!$A$2:$B$111, 2, 0 ) * $E$18</f>
        <v>1.9949999999999999E-2</v>
      </c>
      <c r="I28" s="36">
        <f xml:space="preserve"> I27 * ( 1 - $E$20 )</f>
        <v>1</v>
      </c>
      <c r="J28" s="36">
        <f t="shared" ref="J28:J66" si="10" xml:space="preserve"> H28 * I28</f>
        <v>1.9949999999999999E-2</v>
      </c>
      <c r="K28" s="34">
        <f t="shared" si="5"/>
        <v>196091540.15999997</v>
      </c>
      <c r="L28" s="34">
        <f t="shared" si="6"/>
        <v>5882746.2047999995</v>
      </c>
      <c r="M28" s="34">
        <f t="shared" si="7"/>
        <v>2442040546.4221034</v>
      </c>
      <c r="N28" s="34">
        <f t="shared" si="8"/>
        <v>2442040546.4221034</v>
      </c>
      <c r="O28" s="34">
        <f t="shared" ref="O28:O66" si="11">( - K28 - L28 - ( N28 - N27 ) ) * ( 1 - $E$13 )</f>
        <v>-53907098.532548569</v>
      </c>
      <c r="P28" s="34">
        <f t="shared" si="1"/>
        <v>244204054.64221036</v>
      </c>
      <c r="Q28" s="34">
        <f t="shared" si="2"/>
        <v>0</v>
      </c>
      <c r="R28" s="34">
        <f t="shared" ref="R28:R66" si="12" xml:space="preserve"> ( M27 + P27 + Q27 ) * $E$10 * ( 1 - $E$13 )</f>
        <v>79063744.514404476</v>
      </c>
      <c r="S28" s="34">
        <f t="shared" ref="S28:S66" si="13" xml:space="preserve"> O28 + R28 - ( P28 + Q28 - P27 - Q27 )</f>
        <v>37653060.542257525</v>
      </c>
      <c r="T28" s="87">
        <f t="shared" ref="T28:T65" si="14" xml:space="preserve"> SUM( S29:T29 ) / ( 1 + $E$11 )</f>
        <v>241452369.0832735</v>
      </c>
      <c r="U28" s="30"/>
      <c r="V28" s="32"/>
      <c r="Z28" s="30"/>
      <c r="AA28" s="33"/>
    </row>
    <row r="29" spans="1:27" x14ac:dyDescent="0.25">
      <c r="B29" s="24">
        <f t="shared" si="9"/>
        <v>3</v>
      </c>
      <c r="C29" s="95">
        <f t="shared" si="9"/>
        <v>2019</v>
      </c>
      <c r="D29" s="95">
        <f t="shared" ref="D29:D66" si="15">D28+B29-B28</f>
        <v>72</v>
      </c>
      <c r="E29" s="34">
        <f t="shared" ref="E29:E66" si="16" xml:space="preserve"> E28 * ( 1 + $E$16 )</f>
        <v>41616</v>
      </c>
      <c r="F29" s="55">
        <f>'Model (a) '!F29</f>
        <v>1248.48</v>
      </c>
      <c r="G29" s="35">
        <f t="shared" si="4"/>
        <v>4700.2373189919999</v>
      </c>
      <c r="H29" s="36">
        <f xml:space="preserve"> VLOOKUP( $D29, 'Mortality table'!$A$2:$B$111, 2, 0 ) * $E$18</f>
        <v>2.2039999999999997E-2</v>
      </c>
      <c r="I29" s="36">
        <f t="shared" ref="I29:I66" si="17" xml:space="preserve"> I28 * ( 1 - $E$20 )</f>
        <v>1</v>
      </c>
      <c r="J29" s="36">
        <f t="shared" si="10"/>
        <v>2.2039999999999997E-2</v>
      </c>
      <c r="K29" s="34">
        <f t="shared" si="5"/>
        <v>195605076.26717106</v>
      </c>
      <c r="L29" s="34">
        <f t="shared" si="6"/>
        <v>5868152.2880151318</v>
      </c>
      <c r="M29" s="34">
        <f t="shared" si="7"/>
        <v>2313828534.2595801</v>
      </c>
      <c r="N29" s="34">
        <f t="shared" si="8"/>
        <v>2313828534.2595801</v>
      </c>
      <c r="O29" s="34">
        <f t="shared" si="11"/>
        <v>-51282851.474864036</v>
      </c>
      <c r="P29" s="34">
        <f t="shared" si="1"/>
        <v>231382853.42595804</v>
      </c>
      <c r="Q29" s="34">
        <f t="shared" si="2"/>
        <v>0</v>
      </c>
      <c r="R29" s="34">
        <f t="shared" si="12"/>
        <v>75214848.829800785</v>
      </c>
      <c r="S29" s="34">
        <f t="shared" si="13"/>
        <v>36753198.571189076</v>
      </c>
      <c r="T29" s="87">
        <f t="shared" si="14"/>
        <v>228844407.4204118</v>
      </c>
      <c r="U29" s="30"/>
      <c r="V29" s="32"/>
      <c r="Z29" s="30"/>
      <c r="AA29" s="33"/>
    </row>
    <row r="30" spans="1:27" x14ac:dyDescent="0.25">
      <c r="B30" s="24">
        <f t="shared" si="9"/>
        <v>4</v>
      </c>
      <c r="C30" s="95">
        <f t="shared" si="9"/>
        <v>2020</v>
      </c>
      <c r="D30" s="95">
        <f t="shared" si="15"/>
        <v>73</v>
      </c>
      <c r="E30" s="34">
        <f t="shared" si="16"/>
        <v>42448.32</v>
      </c>
      <c r="F30" s="55">
        <f>'Model (a) '!F30</f>
        <v>1273.4496000000001</v>
      </c>
      <c r="G30" s="35">
        <f t="shared" si="4"/>
        <v>4584.0521527038363</v>
      </c>
      <c r="H30" s="36">
        <f xml:space="preserve"> VLOOKUP( $D30, 'Mortality table'!$A$2:$B$111, 2, 0 ) * $E$18</f>
        <v>2.4719000000000001E-2</v>
      </c>
      <c r="I30" s="36">
        <f t="shared" si="17"/>
        <v>1</v>
      </c>
      <c r="J30" s="36">
        <f t="shared" si="10"/>
        <v>2.4719000000000001E-2</v>
      </c>
      <c r="K30" s="34">
        <f t="shared" si="5"/>
        <v>194585312.67466131</v>
      </c>
      <c r="L30" s="34">
        <f t="shared" si="6"/>
        <v>5837559.3802398397</v>
      </c>
      <c r="M30" s="34">
        <f t="shared" si="7"/>
        <v>2182820518.2324667</v>
      </c>
      <c r="N30" s="34">
        <f t="shared" si="8"/>
        <v>2182820518.2324667</v>
      </c>
      <c r="O30" s="34">
        <f t="shared" si="11"/>
        <v>-48590399.219451398</v>
      </c>
      <c r="P30" s="34">
        <f t="shared" si="1"/>
        <v>218282051.82324669</v>
      </c>
      <c r="Q30" s="34">
        <f t="shared" si="2"/>
        <v>0</v>
      </c>
      <c r="R30" s="34">
        <f t="shared" si="12"/>
        <v>71265918.855195075</v>
      </c>
      <c r="S30" s="34">
        <f t="shared" si="13"/>
        <v>35776321.238455027</v>
      </c>
      <c r="T30" s="87">
        <f t="shared" si="14"/>
        <v>215952526.92399797</v>
      </c>
      <c r="U30" s="30"/>
      <c r="V30" s="32"/>
      <c r="Z30" s="30"/>
      <c r="AA30" s="33"/>
    </row>
    <row r="31" spans="1:27" x14ac:dyDescent="0.25">
      <c r="B31" s="24">
        <f t="shared" si="9"/>
        <v>5</v>
      </c>
      <c r="C31" s="95">
        <f t="shared" si="9"/>
        <v>2021</v>
      </c>
      <c r="D31" s="95">
        <f t="shared" si="15"/>
        <v>74</v>
      </c>
      <c r="E31" s="34">
        <f t="shared" si="16"/>
        <v>43297.286399999997</v>
      </c>
      <c r="F31" s="55">
        <f>'Model (a) '!F31</f>
        <v>1298.9185920000002</v>
      </c>
      <c r="G31" s="35">
        <f t="shared" si="4"/>
        <v>4456.1066730697194</v>
      </c>
      <c r="H31" s="36">
        <f xml:space="preserve"> VLOOKUP( $D31, 'Mortality table'!$A$2:$B$111, 2, 0 ) * $E$18</f>
        <v>2.7910999999999998E-2</v>
      </c>
      <c r="I31" s="36">
        <f t="shared" si="17"/>
        <v>1</v>
      </c>
      <c r="J31" s="36">
        <f t="shared" si="10"/>
        <v>2.7910999999999998E-2</v>
      </c>
      <c r="K31" s="34">
        <f t="shared" si="5"/>
        <v>192937326.85285079</v>
      </c>
      <c r="L31" s="34">
        <f t="shared" si="6"/>
        <v>5788119.805585525</v>
      </c>
      <c r="M31" s="34">
        <f t="shared" si="7"/>
        <v>2049579687.1210043</v>
      </c>
      <c r="N31" s="34">
        <f t="shared" si="8"/>
        <v>2049579687.1210043</v>
      </c>
      <c r="O31" s="34">
        <f t="shared" si="11"/>
        <v>-45839230.882881775</v>
      </c>
      <c r="P31" s="34">
        <f t="shared" si="1"/>
        <v>204957968.71210045</v>
      </c>
      <c r="Q31" s="34">
        <f t="shared" si="2"/>
        <v>0</v>
      </c>
      <c r="R31" s="34">
        <f t="shared" si="12"/>
        <v>67230871.961559966</v>
      </c>
      <c r="S31" s="34">
        <f t="shared" si="13"/>
        <v>34715724.189824432</v>
      </c>
      <c r="T31" s="87">
        <f t="shared" si="14"/>
        <v>202832055.42657337</v>
      </c>
      <c r="U31" s="30"/>
      <c r="V31" s="32"/>
      <c r="Z31" s="30"/>
      <c r="AA31" s="33"/>
    </row>
    <row r="32" spans="1:27" x14ac:dyDescent="0.25">
      <c r="B32" s="24">
        <f t="shared" si="9"/>
        <v>6</v>
      </c>
      <c r="C32" s="95">
        <f t="shared" si="9"/>
        <v>2022</v>
      </c>
      <c r="D32" s="95">
        <f t="shared" si="15"/>
        <v>75</v>
      </c>
      <c r="E32" s="34">
        <f t="shared" si="16"/>
        <v>44163.232127999996</v>
      </c>
      <c r="F32" s="55">
        <f>'Model (a) '!F32</f>
        <v>1324.8969638400004</v>
      </c>
      <c r="G32" s="35">
        <f t="shared" si="4"/>
        <v>4315.8997327082543</v>
      </c>
      <c r="H32" s="36">
        <f xml:space="preserve"> VLOOKUP( $D32, 'Mortality table'!$A$2:$B$111, 2, 0 ) * $E$18</f>
        <v>3.1463999999999992E-2</v>
      </c>
      <c r="I32" s="36">
        <f t="shared" si="17"/>
        <v>1</v>
      </c>
      <c r="J32" s="36">
        <f t="shared" si="10"/>
        <v>3.1463999999999992E-2</v>
      </c>
      <c r="K32" s="34">
        <f t="shared" si="5"/>
        <v>190604081.73676777</v>
      </c>
      <c r="L32" s="34">
        <f t="shared" si="6"/>
        <v>5718122.4521030355</v>
      </c>
      <c r="M32" s="34">
        <f t="shared" si="7"/>
        <v>1914744873.5457637</v>
      </c>
      <c r="N32" s="34">
        <f t="shared" si="8"/>
        <v>1914744873.5457637</v>
      </c>
      <c r="O32" s="34">
        <f t="shared" si="11"/>
        <v>-43041173.429541141</v>
      </c>
      <c r="P32" s="34">
        <f t="shared" si="1"/>
        <v>191474487.35457638</v>
      </c>
      <c r="Q32" s="34">
        <f t="shared" si="2"/>
        <v>0</v>
      </c>
      <c r="R32" s="34">
        <f t="shared" si="12"/>
        <v>63127054.363326922</v>
      </c>
      <c r="S32" s="34">
        <f t="shared" si="13"/>
        <v>33569362.291309848</v>
      </c>
      <c r="T32" s="87">
        <f t="shared" si="14"/>
        <v>189545898.67792088</v>
      </c>
      <c r="U32" s="30"/>
      <c r="V32" s="32"/>
      <c r="Z32" s="30"/>
      <c r="AA32" s="33"/>
    </row>
    <row r="33" spans="2:27" x14ac:dyDescent="0.25">
      <c r="B33" s="24">
        <f t="shared" si="9"/>
        <v>7</v>
      </c>
      <c r="C33" s="95">
        <f t="shared" si="9"/>
        <v>2023</v>
      </c>
      <c r="D33" s="95">
        <f t="shared" si="15"/>
        <v>76</v>
      </c>
      <c r="E33" s="34">
        <f t="shared" si="16"/>
        <v>45046.496770559999</v>
      </c>
      <c r="F33" s="55">
        <f>'Model (a) '!F33</f>
        <v>1351.3949031168004</v>
      </c>
      <c r="G33" s="35">
        <f t="shared" si="4"/>
        <v>4163.5398403441877</v>
      </c>
      <c r="H33" s="36">
        <f xml:space="preserve"> VLOOKUP( $D33, 'Mortality table'!$A$2:$B$111, 2, 0 ) * $E$18</f>
        <v>3.5302E-2</v>
      </c>
      <c r="I33" s="36">
        <f t="shared" si="17"/>
        <v>1</v>
      </c>
      <c r="J33" s="36">
        <f t="shared" si="10"/>
        <v>3.5302E-2</v>
      </c>
      <c r="K33" s="34">
        <f t="shared" si="5"/>
        <v>187552883.97216234</v>
      </c>
      <c r="L33" s="34">
        <f t="shared" si="6"/>
        <v>5626586.5191648724</v>
      </c>
      <c r="M33" s="34">
        <f t="shared" si="7"/>
        <v>1779007749.2608094</v>
      </c>
      <c r="N33" s="34">
        <f t="shared" si="8"/>
        <v>1779007749.2608094</v>
      </c>
      <c r="O33" s="34">
        <f t="shared" si="11"/>
        <v>-40209642.344461016</v>
      </c>
      <c r="P33" s="34">
        <f t="shared" si="1"/>
        <v>177900774.92608094</v>
      </c>
      <c r="Q33" s="34">
        <f t="shared" si="2"/>
        <v>0</v>
      </c>
      <c r="R33" s="34">
        <f t="shared" si="12"/>
        <v>58974142.105209522</v>
      </c>
      <c r="S33" s="34">
        <f t="shared" si="13"/>
        <v>32338212.189243942</v>
      </c>
      <c r="T33" s="87">
        <f t="shared" si="14"/>
        <v>176162276.35646904</v>
      </c>
      <c r="U33" s="30"/>
      <c r="V33" s="32"/>
      <c r="Z33" s="30"/>
      <c r="AA33" s="33"/>
    </row>
    <row r="34" spans="2:27" x14ac:dyDescent="0.25">
      <c r="B34" s="24">
        <f t="shared" si="9"/>
        <v>8</v>
      </c>
      <c r="C34" s="95">
        <f t="shared" si="9"/>
        <v>2024</v>
      </c>
      <c r="D34" s="95">
        <f t="shared" si="15"/>
        <v>77</v>
      </c>
      <c r="E34" s="34">
        <f t="shared" si="16"/>
        <v>45947.4267059712</v>
      </c>
      <c r="F34" s="55">
        <f>'Model (a) '!F34</f>
        <v>1378.4228011791365</v>
      </c>
      <c r="G34" s="35">
        <f t="shared" si="4"/>
        <v>3999.2736212531681</v>
      </c>
      <c r="H34" s="36">
        <f xml:space="preserve"> VLOOKUP( $D34, 'Mortality table'!$A$2:$B$111, 2, 0 ) * $E$18</f>
        <v>3.9453499999999996E-2</v>
      </c>
      <c r="I34" s="36">
        <f t="shared" si="17"/>
        <v>1</v>
      </c>
      <c r="J34" s="36">
        <f t="shared" si="10"/>
        <v>3.9453499999999996E-2</v>
      </c>
      <c r="K34" s="34">
        <f t="shared" si="5"/>
        <v>183756331.58965397</v>
      </c>
      <c r="L34" s="34">
        <f t="shared" si="6"/>
        <v>5512689.9476896208</v>
      </c>
      <c r="M34" s="34">
        <f t="shared" si="7"/>
        <v>1643108960.2012901</v>
      </c>
      <c r="N34" s="34">
        <f t="shared" si="8"/>
        <v>1643108960.2012901</v>
      </c>
      <c r="O34" s="34">
        <f t="shared" si="11"/>
        <v>-37359162.734477006</v>
      </c>
      <c r="P34" s="34">
        <f t="shared" si="1"/>
        <v>164310896.02012902</v>
      </c>
      <c r="Q34" s="34">
        <f t="shared" si="2"/>
        <v>0</v>
      </c>
      <c r="R34" s="34">
        <f t="shared" si="12"/>
        <v>54793438.677232936</v>
      </c>
      <c r="S34" s="34">
        <f t="shared" si="13"/>
        <v>31024154.848707847</v>
      </c>
      <c r="T34" s="87">
        <f t="shared" si="14"/>
        <v>162754349.14340809</v>
      </c>
      <c r="U34" s="30"/>
      <c r="V34" s="32"/>
      <c r="Z34" s="30"/>
      <c r="AA34" s="33"/>
    </row>
    <row r="35" spans="2:27" x14ac:dyDescent="0.25">
      <c r="B35" s="24">
        <f t="shared" si="9"/>
        <v>9</v>
      </c>
      <c r="C35" s="95">
        <f t="shared" si="9"/>
        <v>2025</v>
      </c>
      <c r="D35" s="95">
        <f t="shared" si="15"/>
        <v>78</v>
      </c>
      <c r="E35" s="34">
        <f t="shared" si="16"/>
        <v>46866.375240090623</v>
      </c>
      <c r="F35" s="55">
        <f>'Model (a) '!F35</f>
        <v>1405.9912572027192</v>
      </c>
      <c r="G35" s="35">
        <f t="shared" si="4"/>
        <v>3823.2135986247399</v>
      </c>
      <c r="H35" s="36">
        <f xml:space="preserve"> VLOOKUP( $D35, 'Mortality table'!$A$2:$B$111, 2, 0 ) * $E$18</f>
        <v>4.4023E-2</v>
      </c>
      <c r="I35" s="36">
        <f t="shared" si="17"/>
        <v>1</v>
      </c>
      <c r="J35" s="36">
        <f t="shared" si="10"/>
        <v>4.4023E-2</v>
      </c>
      <c r="K35" s="34">
        <f t="shared" si="5"/>
        <v>179180163.13616428</v>
      </c>
      <c r="L35" s="34">
        <f t="shared" si="6"/>
        <v>5375404.8940849304</v>
      </c>
      <c r="M35" s="34">
        <f t="shared" si="7"/>
        <v>1507846660.9770799</v>
      </c>
      <c r="N35" s="34">
        <f t="shared" si="8"/>
        <v>1507846660.9770799</v>
      </c>
      <c r="O35" s="34">
        <f t="shared" si="11"/>
        <v>-34505288.164227262</v>
      </c>
      <c r="P35" s="34">
        <f t="shared" si="1"/>
        <v>150784666.09770799</v>
      </c>
      <c r="Q35" s="34">
        <f t="shared" si="2"/>
        <v>0</v>
      </c>
      <c r="R35" s="34">
        <f t="shared" si="12"/>
        <v>50607755.974199735</v>
      </c>
      <c r="S35" s="34">
        <f t="shared" si="13"/>
        <v>29628697.732393511</v>
      </c>
      <c r="T35" s="87">
        <f t="shared" si="14"/>
        <v>149401086.32535541</v>
      </c>
      <c r="U35" s="30"/>
      <c r="V35" s="32"/>
      <c r="Z35" s="30"/>
      <c r="AA35" s="33"/>
    </row>
    <row r="36" spans="2:27" x14ac:dyDescent="0.25">
      <c r="B36" s="24">
        <f t="shared" si="9"/>
        <v>10</v>
      </c>
      <c r="C36" s="95">
        <f t="shared" si="9"/>
        <v>2026</v>
      </c>
      <c r="D36" s="95">
        <f t="shared" si="15"/>
        <v>79</v>
      </c>
      <c r="E36" s="34">
        <f t="shared" si="16"/>
        <v>47803.702744892435</v>
      </c>
      <c r="F36" s="55">
        <f>'Model (a) '!F36</f>
        <v>1434.1110823467736</v>
      </c>
      <c r="G36" s="35">
        <f t="shared" si="4"/>
        <v>3635.5454243158465</v>
      </c>
      <c r="H36" s="36">
        <f xml:space="preserve"> VLOOKUP( $D36, 'Mortality table'!$A$2:$B$111, 2, 0 ) * $E$18</f>
        <v>4.9086499999999998E-2</v>
      </c>
      <c r="I36" s="36">
        <f t="shared" si="17"/>
        <v>1</v>
      </c>
      <c r="J36" s="36">
        <f t="shared" si="10"/>
        <v>4.9086499999999998E-2</v>
      </c>
      <c r="K36" s="34">
        <f t="shared" si="5"/>
        <v>173792532.77954856</v>
      </c>
      <c r="L36" s="34">
        <f t="shared" si="6"/>
        <v>5213775.9833864588</v>
      </c>
      <c r="M36" s="34">
        <f t="shared" si="7"/>
        <v>1374075752.0434573</v>
      </c>
      <c r="N36" s="34">
        <f t="shared" si="8"/>
        <v>1374075752.0434573</v>
      </c>
      <c r="O36" s="34">
        <f t="shared" si="11"/>
        <v>-31664779.880518686</v>
      </c>
      <c r="P36" s="34">
        <f t="shared" si="1"/>
        <v>137407575.20434573</v>
      </c>
      <c r="Q36" s="34">
        <f t="shared" si="2"/>
        <v>0</v>
      </c>
      <c r="R36" s="34">
        <f t="shared" si="12"/>
        <v>46441677.158094063</v>
      </c>
      <c r="S36" s="34">
        <f t="shared" si="13"/>
        <v>28153988.170937631</v>
      </c>
      <c r="T36" s="87">
        <f t="shared" si="14"/>
        <v>136187206.78695333</v>
      </c>
      <c r="U36" s="30"/>
      <c r="V36" s="32"/>
      <c r="X36" s="31"/>
      <c r="Y36" s="31"/>
      <c r="Z36" s="30"/>
      <c r="AA36" s="33"/>
    </row>
    <row r="37" spans="2:27" x14ac:dyDescent="0.25">
      <c r="B37" s="24">
        <f t="shared" si="9"/>
        <v>11</v>
      </c>
      <c r="C37" s="95">
        <f t="shared" si="9"/>
        <v>2027</v>
      </c>
      <c r="D37" s="95">
        <f t="shared" si="15"/>
        <v>80</v>
      </c>
      <c r="E37" s="34">
        <f t="shared" si="16"/>
        <v>48759.776799790285</v>
      </c>
      <c r="F37" s="55">
        <f>'Model (a) '!F37</f>
        <v>1462.7933039937091</v>
      </c>
      <c r="G37" s="35">
        <f t="shared" si="4"/>
        <v>3436.6083786972836</v>
      </c>
      <c r="H37" s="36">
        <f xml:space="preserve"> VLOOKUP( $D37, 'Mortality table'!$A$2:$B$111, 2, 0 ) * $E$18</f>
        <v>5.4719999999999998E-2</v>
      </c>
      <c r="I37" s="36">
        <f t="shared" si="17"/>
        <v>1</v>
      </c>
      <c r="J37" s="36">
        <f t="shared" si="10"/>
        <v>5.4719999999999998E-2</v>
      </c>
      <c r="K37" s="34">
        <f t="shared" si="5"/>
        <v>167568257.49356872</v>
      </c>
      <c r="L37" s="34">
        <f t="shared" si="6"/>
        <v>5027047.7248070631</v>
      </c>
      <c r="M37" s="34">
        <f t="shared" si="7"/>
        <v>1242702719.3863854</v>
      </c>
      <c r="N37" s="34">
        <f t="shared" si="8"/>
        <v>1242702719.3863854</v>
      </c>
      <c r="O37" s="34">
        <f t="shared" si="11"/>
        <v>-28855590.792912759</v>
      </c>
      <c r="P37" s="34">
        <f t="shared" si="1"/>
        <v>124270271.93863855</v>
      </c>
      <c r="Q37" s="34">
        <f t="shared" si="2"/>
        <v>0</v>
      </c>
      <c r="R37" s="34">
        <f t="shared" si="12"/>
        <v>42321533.162938476</v>
      </c>
      <c r="S37" s="34">
        <f t="shared" si="13"/>
        <v>26603245.635732897</v>
      </c>
      <c r="T37" s="87">
        <f t="shared" si="14"/>
        <v>123202681.82991579</v>
      </c>
      <c r="U37" s="30"/>
      <c r="V37" s="32"/>
      <c r="X37" s="31"/>
      <c r="Y37" s="31"/>
      <c r="Z37" s="30"/>
      <c r="AA37" s="33"/>
    </row>
    <row r="38" spans="2:27" x14ac:dyDescent="0.25">
      <c r="B38" s="24">
        <f t="shared" si="9"/>
        <v>12</v>
      </c>
      <c r="C38" s="95">
        <f t="shared" si="9"/>
        <v>2028</v>
      </c>
      <c r="D38" s="95">
        <f t="shared" si="15"/>
        <v>81</v>
      </c>
      <c r="E38" s="34">
        <f t="shared" si="16"/>
        <v>49734.972335786093</v>
      </c>
      <c r="F38" s="55">
        <f>'Model (a) '!F38</f>
        <v>1492.0491700735834</v>
      </c>
      <c r="G38" s="35">
        <f t="shared" si="4"/>
        <v>3226.9443381213409</v>
      </c>
      <c r="H38" s="36">
        <f xml:space="preserve"> VLOOKUP( $D38, 'Mortality table'!$A$2:$B$111, 2, 0 ) * $E$18</f>
        <v>6.1008999999999994E-2</v>
      </c>
      <c r="I38" s="36">
        <f t="shared" si="17"/>
        <v>1</v>
      </c>
      <c r="J38" s="36">
        <f t="shared" si="10"/>
        <v>6.1008999999999994E-2</v>
      </c>
      <c r="K38" s="34">
        <f t="shared" si="5"/>
        <v>160491987.38558647</v>
      </c>
      <c r="L38" s="34">
        <f t="shared" si="6"/>
        <v>4814759.6215675958</v>
      </c>
      <c r="M38" s="34">
        <f t="shared" si="7"/>
        <v>1114677053.9608231</v>
      </c>
      <c r="N38" s="34">
        <f t="shared" si="8"/>
        <v>1114677053.9608231</v>
      </c>
      <c r="O38" s="34">
        <f t="shared" si="11"/>
        <v>-26096757.107114185</v>
      </c>
      <c r="P38" s="34">
        <f t="shared" si="1"/>
        <v>111467705.39608231</v>
      </c>
      <c r="Q38" s="34">
        <f t="shared" si="2"/>
        <v>0</v>
      </c>
      <c r="R38" s="34">
        <f t="shared" si="12"/>
        <v>38275243.757100672</v>
      </c>
      <c r="S38" s="34">
        <f t="shared" si="13"/>
        <v>24981053.192542728</v>
      </c>
      <c r="T38" s="87">
        <f t="shared" si="14"/>
        <v>110541896.82036467</v>
      </c>
      <c r="U38" s="30"/>
      <c r="V38" s="32"/>
      <c r="X38" s="31"/>
      <c r="Y38" s="31"/>
      <c r="Z38" s="30"/>
      <c r="AA38" s="33"/>
    </row>
    <row r="39" spans="2:27" x14ac:dyDescent="0.25">
      <c r="B39" s="24">
        <f t="shared" si="9"/>
        <v>13</v>
      </c>
      <c r="C39" s="95">
        <f t="shared" si="9"/>
        <v>2029</v>
      </c>
      <c r="D39" s="95">
        <f t="shared" si="15"/>
        <v>82</v>
      </c>
      <c r="E39" s="34">
        <f t="shared" si="16"/>
        <v>50729.671782501813</v>
      </c>
      <c r="F39" s="55">
        <f>'Model (a) '!F39</f>
        <v>1521.8901534750551</v>
      </c>
      <c r="G39" s="35">
        <f t="shared" si="4"/>
        <v>3007.4475842423276</v>
      </c>
      <c r="H39" s="36">
        <f xml:space="preserve"> VLOOKUP( $D39, 'Mortality table'!$A$2:$B$111, 2, 0 ) * $E$18</f>
        <v>6.8019999999999997E-2</v>
      </c>
      <c r="I39" s="36">
        <f t="shared" si="17"/>
        <v>1</v>
      </c>
      <c r="J39" s="36">
        <f t="shared" si="10"/>
        <v>6.8019999999999997E-2</v>
      </c>
      <c r="K39" s="34">
        <f t="shared" si="5"/>
        <v>152566828.85169125</v>
      </c>
      <c r="L39" s="34">
        <f t="shared" si="6"/>
        <v>4577004.8655507397</v>
      </c>
      <c r="M39" s="34">
        <f t="shared" si="7"/>
        <v>990973531.8624059</v>
      </c>
      <c r="N39" s="34">
        <f t="shared" si="8"/>
        <v>990973531.8624059</v>
      </c>
      <c r="O39" s="34">
        <f t="shared" si="11"/>
        <v>-23408218.133177366</v>
      </c>
      <c r="P39" s="34">
        <f t="shared" si="1"/>
        <v>99097353.186240599</v>
      </c>
      <c r="Q39" s="34">
        <f t="shared" si="2"/>
        <v>0</v>
      </c>
      <c r="R39" s="34">
        <f t="shared" si="12"/>
        <v>34332053.261993356</v>
      </c>
      <c r="S39" s="34">
        <f t="shared" si="13"/>
        <v>23294187.338657703</v>
      </c>
      <c r="T39" s="87">
        <f t="shared" si="14"/>
        <v>98301899.163743436</v>
      </c>
      <c r="U39" s="30"/>
      <c r="V39" s="32"/>
      <c r="X39" s="31"/>
      <c r="Y39" s="31"/>
      <c r="Z39" s="30"/>
      <c r="AA39" s="33"/>
    </row>
    <row r="40" spans="2:27" x14ac:dyDescent="0.25">
      <c r="B40" s="24">
        <f t="shared" si="9"/>
        <v>14</v>
      </c>
      <c r="C40" s="95">
        <f t="shared" si="9"/>
        <v>2030</v>
      </c>
      <c r="D40" s="95">
        <f t="shared" si="15"/>
        <v>83</v>
      </c>
      <c r="E40" s="34">
        <f t="shared" si="16"/>
        <v>51744.26521815185</v>
      </c>
      <c r="F40" s="55">
        <f>'Model (a) '!F40</f>
        <v>1552.3279565445562</v>
      </c>
      <c r="G40" s="35">
        <f t="shared" si="4"/>
        <v>2779.3672706247658</v>
      </c>
      <c r="H40" s="36">
        <f xml:space="preserve"> VLOOKUP( $D40, 'Mortality table'!$A$2:$B$111, 2, 0 ) * $E$18</f>
        <v>7.5838499999999989E-2</v>
      </c>
      <c r="I40" s="36">
        <f t="shared" si="17"/>
        <v>1</v>
      </c>
      <c r="J40" s="36">
        <f t="shared" si="10"/>
        <v>7.5838499999999989E-2</v>
      </c>
      <c r="K40" s="34">
        <f t="shared" si="5"/>
        <v>143816317.1898587</v>
      </c>
      <c r="L40" s="34">
        <f t="shared" si="6"/>
        <v>4314489.5156957628</v>
      </c>
      <c r="M40" s="34">
        <f t="shared" si="7"/>
        <v>872571931.11272359</v>
      </c>
      <c r="N40" s="34">
        <f t="shared" si="8"/>
        <v>872571931.11272359</v>
      </c>
      <c r="O40" s="34">
        <f t="shared" si="11"/>
        <v>-20810444.169110503</v>
      </c>
      <c r="P40" s="34">
        <f t="shared" si="1"/>
        <v>87257193.111272365</v>
      </c>
      <c r="Q40" s="34">
        <f t="shared" si="2"/>
        <v>0</v>
      </c>
      <c r="R40" s="34">
        <f t="shared" si="12"/>
        <v>30521984.781362098</v>
      </c>
      <c r="S40" s="34">
        <f t="shared" si="13"/>
        <v>21551700.687219828</v>
      </c>
      <c r="T40" s="87">
        <f t="shared" si="14"/>
        <v>86580388.392897964</v>
      </c>
      <c r="U40" s="30"/>
      <c r="V40" s="32"/>
      <c r="X40" s="31"/>
      <c r="Y40" s="31"/>
      <c r="Z40" s="30"/>
      <c r="AA40" s="33"/>
    </row>
    <row r="41" spans="2:27" x14ac:dyDescent="0.25">
      <c r="B41" s="24">
        <f t="shared" si="9"/>
        <v>15</v>
      </c>
      <c r="C41" s="95">
        <f t="shared" si="9"/>
        <v>2031</v>
      </c>
      <c r="D41" s="95">
        <f t="shared" si="15"/>
        <v>84</v>
      </c>
      <c r="E41" s="34">
        <f t="shared" si="16"/>
        <v>52779.150522514887</v>
      </c>
      <c r="F41" s="55">
        <f>'Model (a) '!F41</f>
        <v>1583.3745156754474</v>
      </c>
      <c r="G41" s="35">
        <f t="shared" si="4"/>
        <v>2544.4773838497254</v>
      </c>
      <c r="H41" s="36">
        <f xml:space="preserve"> VLOOKUP( $D41, 'Mortality table'!$A$2:$B$111, 2, 0 ) * $E$18</f>
        <v>8.451199999999999E-2</v>
      </c>
      <c r="I41" s="36">
        <f t="shared" si="17"/>
        <v>1</v>
      </c>
      <c r="J41" s="36">
        <f t="shared" si="10"/>
        <v>8.451199999999999E-2</v>
      </c>
      <c r="K41" s="34">
        <f t="shared" si="5"/>
        <v>134295354.84333953</v>
      </c>
      <c r="L41" s="34">
        <f t="shared" si="6"/>
        <v>4028860.6453001881</v>
      </c>
      <c r="M41" s="34">
        <f t="shared" si="7"/>
        <v>760424873.55746555</v>
      </c>
      <c r="N41" s="34">
        <f t="shared" si="8"/>
        <v>760424873.55746555</v>
      </c>
      <c r="O41" s="34">
        <f t="shared" si="11"/>
        <v>-18324010.553367171</v>
      </c>
      <c r="P41" s="34">
        <f t="shared" si="1"/>
        <v>76042487.355746552</v>
      </c>
      <c r="Q41" s="34">
        <f t="shared" si="2"/>
        <v>0</v>
      </c>
      <c r="R41" s="34">
        <f t="shared" si="12"/>
        <v>26875215.478271887</v>
      </c>
      <c r="S41" s="34">
        <f t="shared" si="13"/>
        <v>19765910.680430528</v>
      </c>
      <c r="T41" s="87">
        <f t="shared" si="14"/>
        <v>75472516.551757231</v>
      </c>
      <c r="U41" s="30"/>
      <c r="V41" s="32"/>
      <c r="X41" s="31"/>
      <c r="Y41" s="31"/>
      <c r="Z41" s="30"/>
      <c r="AA41" s="33"/>
    </row>
    <row r="42" spans="2:27" x14ac:dyDescent="0.25">
      <c r="B42" s="24">
        <f t="shared" si="9"/>
        <v>16</v>
      </c>
      <c r="C42" s="95">
        <f t="shared" si="9"/>
        <v>2032</v>
      </c>
      <c r="D42" s="95">
        <f t="shared" si="15"/>
        <v>85</v>
      </c>
      <c r="E42" s="34">
        <f t="shared" si="16"/>
        <v>53834.733532965183</v>
      </c>
      <c r="F42" s="55">
        <f>'Model (a) '!F42</f>
        <v>1615.0420059889564</v>
      </c>
      <c r="G42" s="35">
        <f t="shared" si="4"/>
        <v>2305.0000781526323</v>
      </c>
      <c r="H42" s="36">
        <f xml:space="preserve"> VLOOKUP( $D42, 'Mortality table'!$A$2:$B$111, 2, 0 ) * $E$18</f>
        <v>9.4116500000000006E-2</v>
      </c>
      <c r="I42" s="36">
        <f t="shared" si="17"/>
        <v>1</v>
      </c>
      <c r="J42" s="36">
        <f t="shared" si="10"/>
        <v>9.4116500000000006E-2</v>
      </c>
      <c r="K42" s="34">
        <f t="shared" si="5"/>
        <v>124089065.00081089</v>
      </c>
      <c r="L42" s="34">
        <f t="shared" si="6"/>
        <v>3722671.9500243287</v>
      </c>
      <c r="M42" s="34">
        <f t="shared" si="7"/>
        <v>655425882.81335437</v>
      </c>
      <c r="N42" s="34">
        <f t="shared" si="8"/>
        <v>655425882.81335437</v>
      </c>
      <c r="O42" s="34">
        <f t="shared" si="11"/>
        <v>-15968922.344706822</v>
      </c>
      <c r="P42" s="34">
        <f t="shared" si="1"/>
        <v>65542588.281335443</v>
      </c>
      <c r="Q42" s="34">
        <f t="shared" si="2"/>
        <v>0</v>
      </c>
      <c r="R42" s="34">
        <f t="shared" si="12"/>
        <v>23421086.105569936</v>
      </c>
      <c r="S42" s="34">
        <f t="shared" si="13"/>
        <v>17952062.835274223</v>
      </c>
      <c r="T42" s="87">
        <f t="shared" si="14"/>
        <v>65067705.371658742</v>
      </c>
      <c r="U42" s="30"/>
      <c r="V42" s="32"/>
      <c r="X42" s="31"/>
      <c r="Y42" s="31"/>
      <c r="Z42" s="30"/>
      <c r="AA42" s="33"/>
    </row>
    <row r="43" spans="2:27" x14ac:dyDescent="0.25">
      <c r="B43" s="24">
        <f t="shared" si="9"/>
        <v>17</v>
      </c>
      <c r="C43" s="95">
        <f t="shared" si="9"/>
        <v>2033</v>
      </c>
      <c r="D43" s="95">
        <f t="shared" si="15"/>
        <v>86</v>
      </c>
      <c r="E43" s="34">
        <f t="shared" si="16"/>
        <v>54911.428203624491</v>
      </c>
      <c r="F43" s="55">
        <f>'Model (a) '!F43</f>
        <v>1647.3428461087356</v>
      </c>
      <c r="G43" s="35">
        <f t="shared" si="4"/>
        <v>2063.6896199708335</v>
      </c>
      <c r="H43" s="36">
        <f xml:space="preserve"> VLOOKUP( $D43, 'Mortality table'!$A$2:$B$111, 2, 0 ) * $E$18</f>
        <v>0.10469000000000001</v>
      </c>
      <c r="I43" s="36">
        <f t="shared" si="17"/>
        <v>1</v>
      </c>
      <c r="J43" s="36">
        <f t="shared" si="10"/>
        <v>0.10469000000000001</v>
      </c>
      <c r="K43" s="34">
        <f t="shared" si="5"/>
        <v>113320144.40159354</v>
      </c>
      <c r="L43" s="34">
        <f t="shared" si="6"/>
        <v>3399604.332047808</v>
      </c>
      <c r="M43" s="34">
        <f t="shared" si="7"/>
        <v>558368910.56411362</v>
      </c>
      <c r="N43" s="34">
        <f t="shared" si="8"/>
        <v>558368910.56411362</v>
      </c>
      <c r="O43" s="34">
        <f t="shared" si="11"/>
        <v>-13763943.539080409</v>
      </c>
      <c r="P43" s="34">
        <f t="shared" si="1"/>
        <v>55836891.056411363</v>
      </c>
      <c r="Q43" s="34">
        <f t="shared" si="2"/>
        <v>0</v>
      </c>
      <c r="R43" s="34">
        <f t="shared" si="12"/>
        <v>20187117.190651316</v>
      </c>
      <c r="S43" s="34">
        <f t="shared" si="13"/>
        <v>16128870.876494987</v>
      </c>
      <c r="T43" s="87">
        <f t="shared" si="14"/>
        <v>55445605.032329634</v>
      </c>
      <c r="U43" s="30"/>
      <c r="V43" s="32"/>
      <c r="X43" s="31"/>
      <c r="Y43" s="31"/>
      <c r="Z43" s="30"/>
      <c r="AA43" s="33"/>
    </row>
    <row r="44" spans="2:27" x14ac:dyDescent="0.25">
      <c r="B44" s="24">
        <f t="shared" si="9"/>
        <v>18</v>
      </c>
      <c r="C44" s="95">
        <f t="shared" si="9"/>
        <v>2034</v>
      </c>
      <c r="D44" s="95">
        <f t="shared" si="15"/>
        <v>87</v>
      </c>
      <c r="E44" s="34">
        <f t="shared" si="16"/>
        <v>56009.656767696979</v>
      </c>
      <c r="F44" s="55">
        <f>'Model (a) '!F44</f>
        <v>1680.2897030309102</v>
      </c>
      <c r="G44" s="35">
        <f t="shared" si="4"/>
        <v>1823.802211166184</v>
      </c>
      <c r="H44" s="36">
        <f xml:space="preserve"> VLOOKUP( $D44, 'Mortality table'!$A$2:$B$111, 2, 0 ) * $E$18</f>
        <v>0.116242</v>
      </c>
      <c r="I44" s="36">
        <f t="shared" si="17"/>
        <v>1</v>
      </c>
      <c r="J44" s="36">
        <f t="shared" si="10"/>
        <v>0.116242</v>
      </c>
      <c r="K44" s="34">
        <f t="shared" si="5"/>
        <v>102150535.85958476</v>
      </c>
      <c r="L44" s="34">
        <f t="shared" si="6"/>
        <v>3064516.0757875447</v>
      </c>
      <c r="M44" s="34">
        <f t="shared" si="7"/>
        <v>469904925.9456647</v>
      </c>
      <c r="N44" s="34">
        <f t="shared" si="8"/>
        <v>469904925.9456647</v>
      </c>
      <c r="O44" s="34">
        <f t="shared" si="11"/>
        <v>-11725747.121846376</v>
      </c>
      <c r="P44" s="34">
        <f t="shared" si="1"/>
        <v>46990492.594566472</v>
      </c>
      <c r="Q44" s="34">
        <f t="shared" si="2"/>
        <v>0</v>
      </c>
      <c r="R44" s="34">
        <f t="shared" si="12"/>
        <v>17197762.445374701</v>
      </c>
      <c r="S44" s="34">
        <f t="shared" si="13"/>
        <v>14318413.785373216</v>
      </c>
      <c r="T44" s="87">
        <f t="shared" si="14"/>
        <v>46671751.750189386</v>
      </c>
      <c r="U44" s="30"/>
      <c r="V44" s="32"/>
      <c r="X44" s="31"/>
      <c r="Y44" s="31"/>
      <c r="Z44" s="30"/>
      <c r="AA44" s="33"/>
    </row>
    <row r="45" spans="2:27" x14ac:dyDescent="0.25">
      <c r="B45" s="24">
        <f t="shared" si="9"/>
        <v>19</v>
      </c>
      <c r="C45" s="95">
        <f t="shared" si="9"/>
        <v>2035</v>
      </c>
      <c r="D45" s="95">
        <f t="shared" si="15"/>
        <v>88</v>
      </c>
      <c r="E45" s="34">
        <f t="shared" si="16"/>
        <v>57129.849903050919</v>
      </c>
      <c r="F45" s="55">
        <f>'Model (a) '!F45</f>
        <v>1713.8954970915286</v>
      </c>
      <c r="G45" s="35">
        <f t="shared" si="4"/>
        <v>1589.310489469914</v>
      </c>
      <c r="H45" s="36">
        <f xml:space="preserve"> VLOOKUP( $D45, 'Mortality table'!$A$2:$B$111, 2, 0 ) * $E$18</f>
        <v>0.12857299999999999</v>
      </c>
      <c r="I45" s="36">
        <f t="shared" si="17"/>
        <v>1</v>
      </c>
      <c r="J45" s="36">
        <f t="shared" si="10"/>
        <v>0.12857299999999999</v>
      </c>
      <c r="K45" s="34">
        <f t="shared" si="5"/>
        <v>90797069.712760583</v>
      </c>
      <c r="L45" s="34">
        <f t="shared" si="6"/>
        <v>2723912.0913828188</v>
      </c>
      <c r="M45" s="34">
        <f t="shared" si="7"/>
        <v>390481091.91989124</v>
      </c>
      <c r="N45" s="34">
        <f t="shared" si="8"/>
        <v>390481091.91989124</v>
      </c>
      <c r="O45" s="34">
        <f t="shared" si="11"/>
        <v>-9868003.4448589534</v>
      </c>
      <c r="P45" s="34">
        <f t="shared" si="1"/>
        <v>39048109.191989124</v>
      </c>
      <c r="Q45" s="34">
        <f t="shared" si="2"/>
        <v>0</v>
      </c>
      <c r="R45" s="34">
        <f t="shared" si="12"/>
        <v>14473071.71912647</v>
      </c>
      <c r="S45" s="34">
        <f t="shared" si="13"/>
        <v>12547451.676844865</v>
      </c>
      <c r="T45" s="87">
        <f t="shared" si="14"/>
        <v>38791475.248363465</v>
      </c>
      <c r="U45" s="30"/>
      <c r="V45" s="32"/>
      <c r="X45" s="31"/>
      <c r="Y45" s="31"/>
      <c r="Z45" s="30"/>
      <c r="AA45" s="33"/>
    </row>
    <row r="46" spans="2:27" x14ac:dyDescent="0.25">
      <c r="B46" s="24">
        <f t="shared" si="9"/>
        <v>20</v>
      </c>
      <c r="C46" s="95">
        <f t="shared" si="9"/>
        <v>2036</v>
      </c>
      <c r="D46" s="95">
        <f t="shared" si="15"/>
        <v>89</v>
      </c>
      <c r="E46" s="34">
        <f t="shared" si="16"/>
        <v>58272.446901111936</v>
      </c>
      <c r="F46" s="55">
        <f>'Model (a) '!F46</f>
        <v>1748.1734070333591</v>
      </c>
      <c r="G46" s="35">
        <f t="shared" si="4"/>
        <v>1364.4643772826475</v>
      </c>
      <c r="H46" s="36">
        <f xml:space="preserve"> VLOOKUP( $D46, 'Mortality table'!$A$2:$B$111, 2, 0 ) * $E$18</f>
        <v>0.14147399999999999</v>
      </c>
      <c r="I46" s="36">
        <f t="shared" si="17"/>
        <v>1</v>
      </c>
      <c r="J46" s="36">
        <f t="shared" si="10"/>
        <v>0.14147399999999999</v>
      </c>
      <c r="K46" s="34">
        <f t="shared" si="5"/>
        <v>79510677.97366184</v>
      </c>
      <c r="L46" s="34">
        <f t="shared" si="6"/>
        <v>2385320.3392098569</v>
      </c>
      <c r="M46" s="34">
        <f t="shared" si="7"/>
        <v>320299526.36461627</v>
      </c>
      <c r="N46" s="34">
        <f t="shared" si="8"/>
        <v>320299526.36461627</v>
      </c>
      <c r="O46" s="34">
        <f t="shared" si="11"/>
        <v>-8200102.9303177111</v>
      </c>
      <c r="P46" s="34">
        <f t="shared" si="1"/>
        <v>32029952.63646163</v>
      </c>
      <c r="Q46" s="34">
        <f t="shared" si="2"/>
        <v>0</v>
      </c>
      <c r="R46" s="34">
        <f t="shared" si="12"/>
        <v>12026817.631132651</v>
      </c>
      <c r="S46" s="34">
        <f t="shared" si="13"/>
        <v>10844871.256342433</v>
      </c>
      <c r="T46" s="87">
        <f t="shared" si="14"/>
        <v>31825751.516857374</v>
      </c>
      <c r="U46" s="30"/>
      <c r="V46" s="32"/>
      <c r="X46" s="31"/>
      <c r="Y46" s="31"/>
      <c r="Z46" s="30"/>
      <c r="AA46" s="33"/>
    </row>
    <row r="47" spans="2:27" x14ac:dyDescent="0.25">
      <c r="B47" s="24">
        <f t="shared" si="9"/>
        <v>21</v>
      </c>
      <c r="C47" s="95">
        <f t="shared" si="9"/>
        <v>2037</v>
      </c>
      <c r="D47" s="95">
        <f t="shared" si="15"/>
        <v>90</v>
      </c>
      <c r="E47" s="34">
        <f t="shared" si="16"/>
        <v>59437.895839134173</v>
      </c>
      <c r="F47" s="55">
        <f>'Model (a) '!F47</f>
        <v>1783.1368751740263</v>
      </c>
      <c r="G47" s="35">
        <f t="shared" si="4"/>
        <v>1153.3585422226081</v>
      </c>
      <c r="H47" s="36">
        <f xml:space="preserve"> VLOOKUP( $D47, 'Mortality table'!$A$2:$B$111, 2, 0 ) * $E$18</f>
        <v>0.15471699999999999</v>
      </c>
      <c r="I47" s="36">
        <f t="shared" si="17"/>
        <v>1</v>
      </c>
      <c r="J47" s="36">
        <f t="shared" si="10"/>
        <v>0.15471699999999999</v>
      </c>
      <c r="K47" s="34">
        <f t="shared" si="5"/>
        <v>68553204.897803009</v>
      </c>
      <c r="L47" s="34">
        <f t="shared" si="6"/>
        <v>2056596.1469340916</v>
      </c>
      <c r="M47" s="34">
        <f t="shared" si="7"/>
        <v>259298711.1108177</v>
      </c>
      <c r="N47" s="34">
        <f t="shared" si="8"/>
        <v>259298711.1108177</v>
      </c>
      <c r="O47" s="34">
        <f t="shared" si="11"/>
        <v>-6726290.0536569683</v>
      </c>
      <c r="P47" s="34">
        <f t="shared" si="1"/>
        <v>25929871.111081772</v>
      </c>
      <c r="Q47" s="34">
        <f t="shared" si="2"/>
        <v>0</v>
      </c>
      <c r="R47" s="34">
        <f t="shared" si="12"/>
        <v>9865225.4120301809</v>
      </c>
      <c r="S47" s="34">
        <f t="shared" si="13"/>
        <v>9239016.8837530725</v>
      </c>
      <c r="T47" s="87">
        <f t="shared" si="14"/>
        <v>25769309.784790039</v>
      </c>
      <c r="U47" s="30"/>
      <c r="V47" s="32"/>
      <c r="X47" s="31"/>
      <c r="Y47" s="31"/>
      <c r="Z47" s="30"/>
      <c r="AA47" s="33"/>
    </row>
    <row r="48" spans="2:27" x14ac:dyDescent="0.25">
      <c r="B48" s="24">
        <f t="shared" si="9"/>
        <v>22</v>
      </c>
      <c r="C48" s="95">
        <f t="shared" si="9"/>
        <v>2038</v>
      </c>
      <c r="D48" s="95">
        <f t="shared" si="15"/>
        <v>91</v>
      </c>
      <c r="E48" s="34">
        <f t="shared" si="16"/>
        <v>60626.653755916857</v>
      </c>
      <c r="F48" s="55">
        <f>'Model (a) '!F48</f>
        <v>1818.7996126775067</v>
      </c>
      <c r="G48" s="35">
        <f t="shared" si="4"/>
        <v>959.46513097248101</v>
      </c>
      <c r="H48" s="36">
        <f xml:space="preserve"> VLOOKUP( $D48, 'Mortality table'!$A$2:$B$111, 2, 0 ) * $E$18</f>
        <v>0.16811200000000001</v>
      </c>
      <c r="I48" s="36">
        <f t="shared" si="17"/>
        <v>1</v>
      </c>
      <c r="J48" s="36">
        <f t="shared" si="10"/>
        <v>0.16811200000000001</v>
      </c>
      <c r="K48" s="34">
        <f t="shared" si="5"/>
        <v>58169160.286344022</v>
      </c>
      <c r="L48" s="34">
        <f t="shared" si="6"/>
        <v>1745074.8085903218</v>
      </c>
      <c r="M48" s="34">
        <f t="shared" si="7"/>
        <v>207163437.34920791</v>
      </c>
      <c r="N48" s="34">
        <f t="shared" si="8"/>
        <v>207163437.34920791</v>
      </c>
      <c r="O48" s="34">
        <f t="shared" si="11"/>
        <v>-5445272.9333271859</v>
      </c>
      <c r="P48" s="34">
        <f t="shared" si="1"/>
        <v>20716343.734920792</v>
      </c>
      <c r="Q48" s="34">
        <f t="shared" si="2"/>
        <v>0</v>
      </c>
      <c r="R48" s="34">
        <f t="shared" si="12"/>
        <v>7986400.3022131845</v>
      </c>
      <c r="S48" s="34">
        <f t="shared" si="13"/>
        <v>7754654.7450469779</v>
      </c>
      <c r="T48" s="87">
        <f t="shared" si="14"/>
        <v>20591586.018222068</v>
      </c>
      <c r="U48" s="30"/>
      <c r="V48" s="32"/>
      <c r="X48" s="31"/>
      <c r="Y48" s="31"/>
      <c r="Z48" s="30"/>
      <c r="AA48" s="33"/>
    </row>
    <row r="49" spans="2:27" x14ac:dyDescent="0.25">
      <c r="B49" s="24">
        <f t="shared" si="9"/>
        <v>23</v>
      </c>
      <c r="C49" s="95">
        <f t="shared" si="9"/>
        <v>2039</v>
      </c>
      <c r="D49" s="95">
        <f t="shared" si="15"/>
        <v>92</v>
      </c>
      <c r="E49" s="34">
        <f t="shared" si="16"/>
        <v>61839.186831035193</v>
      </c>
      <c r="F49" s="55">
        <f>'Model (a) '!F49</f>
        <v>1855.1756049310568</v>
      </c>
      <c r="G49" s="35">
        <f t="shared" si="4"/>
        <v>785.35195312003589</v>
      </c>
      <c r="H49" s="36">
        <f xml:space="preserve"> VLOOKUP( $D49, 'Mortality table'!$A$2:$B$111, 2, 0 ) * $E$18</f>
        <v>0.18146899999999999</v>
      </c>
      <c r="I49" s="36">
        <f t="shared" si="17"/>
        <v>1</v>
      </c>
      <c r="J49" s="36">
        <f t="shared" si="10"/>
        <v>0.18146899999999999</v>
      </c>
      <c r="K49" s="34">
        <f t="shared" si="5"/>
        <v>48565526.157108292</v>
      </c>
      <c r="L49" s="34">
        <f t="shared" si="6"/>
        <v>1456965.7847132494</v>
      </c>
      <c r="M49" s="34">
        <f t="shared" si="7"/>
        <v>163355848.52786261</v>
      </c>
      <c r="N49" s="34">
        <f t="shared" si="8"/>
        <v>163355848.52786261</v>
      </c>
      <c r="O49" s="34">
        <f t="shared" si="11"/>
        <v>-4350432.1843333663</v>
      </c>
      <c r="P49" s="34">
        <f t="shared" si="1"/>
        <v>16335584.852786262</v>
      </c>
      <c r="Q49" s="34">
        <f t="shared" si="2"/>
        <v>0</v>
      </c>
      <c r="R49" s="34">
        <f t="shared" si="12"/>
        <v>6380633.8703556033</v>
      </c>
      <c r="S49" s="34">
        <f t="shared" si="13"/>
        <v>6410960.5681567676</v>
      </c>
      <c r="T49" s="87">
        <f t="shared" si="14"/>
        <v>16239784.051887507</v>
      </c>
      <c r="U49" s="30"/>
      <c r="V49" s="32"/>
      <c r="X49" s="31"/>
      <c r="Y49" s="31"/>
      <c r="Z49" s="30"/>
      <c r="AA49" s="33"/>
    </row>
    <row r="50" spans="2:27" x14ac:dyDescent="0.25">
      <c r="B50" s="24">
        <f t="shared" si="9"/>
        <v>24</v>
      </c>
      <c r="C50" s="95">
        <f t="shared" si="9"/>
        <v>2040</v>
      </c>
      <c r="D50" s="95">
        <f t="shared" si="15"/>
        <v>93</v>
      </c>
      <c r="E50" s="34">
        <f t="shared" si="16"/>
        <v>63075.970567655895</v>
      </c>
      <c r="F50" s="55">
        <f>'Model (a) '!F50</f>
        <v>1892.279117029678</v>
      </c>
      <c r="G50" s="35">
        <f t="shared" si="4"/>
        <v>632.52403374678306</v>
      </c>
      <c r="H50" s="36">
        <f xml:space="preserve"> VLOOKUP( $D50, 'Mortality table'!$A$2:$B$111, 2, 0 ) * $E$18</f>
        <v>0.19459799999999999</v>
      </c>
      <c r="I50" s="36">
        <f t="shared" si="17"/>
        <v>1</v>
      </c>
      <c r="J50" s="36">
        <f t="shared" si="10"/>
        <v>0.19459799999999999</v>
      </c>
      <c r="K50" s="34">
        <f t="shared" si="5"/>
        <v>39897067.335947074</v>
      </c>
      <c r="L50" s="34">
        <f t="shared" si="6"/>
        <v>1196912.020078413</v>
      </c>
      <c r="M50" s="34">
        <f t="shared" si="7"/>
        <v>127162544.62767299</v>
      </c>
      <c r="N50" s="34">
        <f t="shared" si="8"/>
        <v>127162544.62767299</v>
      </c>
      <c r="O50" s="34">
        <f t="shared" si="11"/>
        <v>-3430472.8190851044</v>
      </c>
      <c r="P50" s="34">
        <f t="shared" si="1"/>
        <v>12716254.462767299</v>
      </c>
      <c r="Q50" s="34">
        <f t="shared" si="2"/>
        <v>0</v>
      </c>
      <c r="R50" s="34">
        <f t="shared" si="12"/>
        <v>5031360.134658169</v>
      </c>
      <c r="S50" s="34">
        <f t="shared" si="13"/>
        <v>5220217.7055920269</v>
      </c>
      <c r="T50" s="87">
        <f t="shared" si="14"/>
        <v>12643544.751484234</v>
      </c>
      <c r="U50" s="30"/>
      <c r="V50" s="32"/>
      <c r="X50" s="31"/>
      <c r="Y50" s="31"/>
      <c r="Z50" s="30"/>
      <c r="AA50" s="33"/>
    </row>
    <row r="51" spans="2:27" x14ac:dyDescent="0.25">
      <c r="B51" s="24">
        <f t="shared" si="9"/>
        <v>25</v>
      </c>
      <c r="C51" s="95">
        <f t="shared" si="9"/>
        <v>2041</v>
      </c>
      <c r="D51" s="95">
        <f t="shared" si="15"/>
        <v>94</v>
      </c>
      <c r="E51" s="34">
        <f t="shared" si="16"/>
        <v>64337.489979009013</v>
      </c>
      <c r="F51" s="55">
        <f>'Model (a) '!F51</f>
        <v>1930.1246993702716</v>
      </c>
      <c r="G51" s="35">
        <f t="shared" si="4"/>
        <v>501.38409087813005</v>
      </c>
      <c r="H51" s="36">
        <f xml:space="preserve"> VLOOKUP( $D51, 'Mortality table'!$A$2:$B$111, 2, 0 ) * $E$18</f>
        <v>0.20732799999999998</v>
      </c>
      <c r="I51" s="36">
        <f t="shared" si="17"/>
        <v>1</v>
      </c>
      <c r="J51" s="36">
        <f t="shared" si="10"/>
        <v>0.20732799999999998</v>
      </c>
      <c r="K51" s="34">
        <f t="shared" si="5"/>
        <v>32257793.922506236</v>
      </c>
      <c r="L51" s="34">
        <f t="shared" si="6"/>
        <v>967733.81767518772</v>
      </c>
      <c r="M51" s="34">
        <f t="shared" si="7"/>
        <v>97751893.226321742</v>
      </c>
      <c r="N51" s="34">
        <f t="shared" si="8"/>
        <v>97751893.226321742</v>
      </c>
      <c r="O51" s="34">
        <f t="shared" si="11"/>
        <v>-2670413.4371811263</v>
      </c>
      <c r="P51" s="34">
        <f t="shared" si="1"/>
        <v>9775189.3226321749</v>
      </c>
      <c r="Q51" s="34">
        <f t="shared" si="2"/>
        <v>0</v>
      </c>
      <c r="R51" s="34">
        <f t="shared" si="12"/>
        <v>3916606.3745323271</v>
      </c>
      <c r="S51" s="34">
        <f t="shared" si="13"/>
        <v>4187258.0774863251</v>
      </c>
      <c r="T51" s="87">
        <f t="shared" si="14"/>
        <v>9720641.1491463333</v>
      </c>
      <c r="U51" s="30"/>
      <c r="V51" s="32"/>
      <c r="X51" s="31"/>
      <c r="Y51" s="31"/>
      <c r="Z51" s="30"/>
      <c r="AA51" s="33"/>
    </row>
    <row r="52" spans="2:27" x14ac:dyDescent="0.25">
      <c r="B52" s="24">
        <f t="shared" si="9"/>
        <v>26</v>
      </c>
      <c r="C52" s="95">
        <f t="shared" si="9"/>
        <v>2042</v>
      </c>
      <c r="D52" s="95">
        <f t="shared" si="15"/>
        <v>95</v>
      </c>
      <c r="E52" s="34">
        <f t="shared" si="16"/>
        <v>65624.239778589195</v>
      </c>
      <c r="F52" s="55">
        <f>'Model (a) '!F52</f>
        <v>1968.7271933576772</v>
      </c>
      <c r="G52" s="35">
        <f t="shared" si="4"/>
        <v>391.32677324174438</v>
      </c>
      <c r="H52" s="36">
        <f xml:space="preserve"> VLOOKUP( $D52, 'Mortality table'!$A$2:$B$111, 2, 0 ) * $E$18</f>
        <v>0.21950699999999998</v>
      </c>
      <c r="I52" s="36">
        <f t="shared" si="17"/>
        <v>1</v>
      </c>
      <c r="J52" s="36">
        <f t="shared" si="10"/>
        <v>0.21950699999999998</v>
      </c>
      <c r="K52" s="34">
        <f t="shared" si="5"/>
        <v>25680521.998997834</v>
      </c>
      <c r="L52" s="34">
        <f t="shared" si="6"/>
        <v>770415.65996993554</v>
      </c>
      <c r="M52" s="34">
        <f t="shared" si="7"/>
        <v>74233512.36414364</v>
      </c>
      <c r="N52" s="34">
        <f t="shared" si="8"/>
        <v>74233512.36414364</v>
      </c>
      <c r="O52" s="34">
        <f t="shared" si="11"/>
        <v>-2052789.7577527678</v>
      </c>
      <c r="P52" s="34">
        <f t="shared" si="1"/>
        <v>7423351.2364143645</v>
      </c>
      <c r="Q52" s="34">
        <f t="shared" si="2"/>
        <v>0</v>
      </c>
      <c r="R52" s="34">
        <f t="shared" si="12"/>
        <v>3010758.3113707094</v>
      </c>
      <c r="S52" s="34">
        <f t="shared" si="13"/>
        <v>3309806.6398357521</v>
      </c>
      <c r="T52" s="87">
        <f t="shared" si="14"/>
        <v>7382898.6242252169</v>
      </c>
      <c r="U52" s="30"/>
      <c r="V52" s="32"/>
      <c r="X52" s="31"/>
      <c r="Y52" s="31"/>
      <c r="Z52" s="30"/>
      <c r="AA52" s="33"/>
    </row>
    <row r="53" spans="2:27" x14ac:dyDescent="0.25">
      <c r="B53" s="24">
        <f t="shared" si="9"/>
        <v>27</v>
      </c>
      <c r="C53" s="95">
        <f t="shared" si="9"/>
        <v>2043</v>
      </c>
      <c r="D53" s="95">
        <f t="shared" si="15"/>
        <v>96</v>
      </c>
      <c r="E53" s="34">
        <f t="shared" si="16"/>
        <v>66936.72457416098</v>
      </c>
      <c r="F53" s="55">
        <f>'Model (a) '!F53</f>
        <v>2008.1017372248307</v>
      </c>
      <c r="G53" s="35">
        <f t="shared" si="4"/>
        <v>300.93322357370079</v>
      </c>
      <c r="H53" s="36">
        <f xml:space="preserve"> VLOOKUP( $D53, 'Mortality table'!$A$2:$B$111, 2, 0 ) * $E$18</f>
        <v>0.23099249999999999</v>
      </c>
      <c r="I53" s="36">
        <f t="shared" si="17"/>
        <v>1</v>
      </c>
      <c r="J53" s="36">
        <f t="shared" si="10"/>
        <v>0.23099249999999999</v>
      </c>
      <c r="K53" s="34">
        <f t="shared" si="5"/>
        <v>20143484.301567219</v>
      </c>
      <c r="L53" s="34">
        <f t="shared" si="6"/>
        <v>604304.52904701687</v>
      </c>
      <c r="M53" s="34">
        <f t="shared" si="7"/>
        <v>55712728.904453717</v>
      </c>
      <c r="N53" s="34">
        <f t="shared" si="8"/>
        <v>55712728.904453717</v>
      </c>
      <c r="O53" s="34">
        <f t="shared" si="11"/>
        <v>-1558903.7596470187</v>
      </c>
      <c r="P53" s="34">
        <f t="shared" si="1"/>
        <v>5571272.8904453721</v>
      </c>
      <c r="Q53" s="34">
        <f t="shared" si="2"/>
        <v>0</v>
      </c>
      <c r="R53" s="34">
        <f t="shared" si="12"/>
        <v>2286392.1808156236</v>
      </c>
      <c r="S53" s="34">
        <f t="shared" si="13"/>
        <v>2579566.7671375973</v>
      </c>
      <c r="T53" s="87">
        <f t="shared" si="14"/>
        <v>5541621.7195101418</v>
      </c>
      <c r="U53" s="30"/>
      <c r="V53" s="32"/>
      <c r="X53" s="31"/>
      <c r="Y53" s="31"/>
      <c r="Z53" s="30"/>
      <c r="AA53" s="33"/>
    </row>
    <row r="54" spans="2:27" x14ac:dyDescent="0.25">
      <c r="B54" s="24">
        <f t="shared" si="9"/>
        <v>28</v>
      </c>
      <c r="C54" s="95">
        <f t="shared" si="9"/>
        <v>2044</v>
      </c>
      <c r="D54" s="95">
        <f t="shared" si="15"/>
        <v>97</v>
      </c>
      <c r="E54" s="34">
        <f t="shared" si="16"/>
        <v>68275.459065644201</v>
      </c>
      <c r="F54" s="55">
        <f>'Model (a) '!F54</f>
        <v>2048.2637719693275</v>
      </c>
      <c r="G54" s="35">
        <f t="shared" si="4"/>
        <v>228.21225869728065</v>
      </c>
      <c r="H54" s="36">
        <f xml:space="preserve"> VLOOKUP( $D54, 'Mortality table'!$A$2:$B$111, 2, 0 ) * $E$18</f>
        <v>0.24165149999999996</v>
      </c>
      <c r="I54" s="36">
        <f t="shared" si="17"/>
        <v>1</v>
      </c>
      <c r="J54" s="36">
        <f t="shared" si="10"/>
        <v>0.24165149999999996</v>
      </c>
      <c r="K54" s="34">
        <f t="shared" si="5"/>
        <v>15581296.72696439</v>
      </c>
      <c r="L54" s="34">
        <f t="shared" si="6"/>
        <v>467438.90180893202</v>
      </c>
      <c r="M54" s="34">
        <f t="shared" si="7"/>
        <v>41335375.142814003</v>
      </c>
      <c r="N54" s="34">
        <f t="shared" si="8"/>
        <v>41335375.142814003</v>
      </c>
      <c r="O54" s="34">
        <f t="shared" si="11"/>
        <v>-1169967.3069935255</v>
      </c>
      <c r="P54" s="34">
        <f t="shared" si="1"/>
        <v>4133537.5142814005</v>
      </c>
      <c r="Q54" s="34">
        <f t="shared" si="2"/>
        <v>0</v>
      </c>
      <c r="R54" s="34">
        <f t="shared" si="12"/>
        <v>1715952.0502571745</v>
      </c>
      <c r="S54" s="34">
        <f t="shared" si="13"/>
        <v>1983720.1194276207</v>
      </c>
      <c r="T54" s="87">
        <f t="shared" si="14"/>
        <v>4112063.7720335354</v>
      </c>
      <c r="U54" s="30"/>
      <c r="V54" s="32"/>
      <c r="X54" s="31"/>
      <c r="Y54" s="31"/>
      <c r="Z54" s="30"/>
      <c r="AA54" s="33"/>
    </row>
    <row r="55" spans="2:27" x14ac:dyDescent="0.25">
      <c r="B55" s="24">
        <f t="shared" si="9"/>
        <v>29</v>
      </c>
      <c r="C55" s="95">
        <f t="shared" si="9"/>
        <v>2045</v>
      </c>
      <c r="D55" s="95">
        <f t="shared" si="15"/>
        <v>98</v>
      </c>
      <c r="E55" s="34">
        <f t="shared" si="16"/>
        <v>69640.968246957083</v>
      </c>
      <c r="F55" s="55">
        <f>'Model (a) '!F55</f>
        <v>2089.229047408714</v>
      </c>
      <c r="G55" s="35">
        <f t="shared" si="4"/>
        <v>170.85087926146045</v>
      </c>
      <c r="H55" s="36">
        <f xml:space="preserve"> VLOOKUP( $D55, 'Mortality table'!$A$2:$B$111, 2, 0 ) * $E$18</f>
        <v>0.25135099999999999</v>
      </c>
      <c r="I55" s="36">
        <f t="shared" si="17"/>
        <v>1</v>
      </c>
      <c r="J55" s="36">
        <f t="shared" si="10"/>
        <v>0.25135099999999999</v>
      </c>
      <c r="K55" s="34">
        <f t="shared" si="5"/>
        <v>11898220.657612065</v>
      </c>
      <c r="L55" s="34">
        <f t="shared" si="6"/>
        <v>356946.61972836225</v>
      </c>
      <c r="M55" s="34">
        <f t="shared" si="7"/>
        <v>30320269.119757995</v>
      </c>
      <c r="N55" s="34">
        <f t="shared" si="8"/>
        <v>30320269.119757995</v>
      </c>
      <c r="O55" s="34">
        <f t="shared" si="11"/>
        <v>-868042.87799909338</v>
      </c>
      <c r="P55" s="34">
        <f t="shared" si="1"/>
        <v>3032026.9119757996</v>
      </c>
      <c r="Q55" s="34">
        <f t="shared" si="2"/>
        <v>0</v>
      </c>
      <c r="R55" s="34">
        <f t="shared" si="12"/>
        <v>1273129.5543986713</v>
      </c>
      <c r="S55" s="34">
        <f t="shared" si="13"/>
        <v>1506597.2787051788</v>
      </c>
      <c r="T55" s="87">
        <f t="shared" si="14"/>
        <v>3016672.8705317108</v>
      </c>
      <c r="U55" s="30"/>
      <c r="V55" s="32"/>
      <c r="X55" s="31"/>
      <c r="Y55" s="31"/>
      <c r="Z55" s="30"/>
      <c r="AA55" s="33"/>
    </row>
    <row r="56" spans="2:27" x14ac:dyDescent="0.25">
      <c r="B56" s="24">
        <f t="shared" si="9"/>
        <v>30</v>
      </c>
      <c r="C56" s="95">
        <f t="shared" si="9"/>
        <v>2046</v>
      </c>
      <c r="D56" s="95">
        <f t="shared" si="15"/>
        <v>99</v>
      </c>
      <c r="E56" s="34">
        <f t="shared" si="16"/>
        <v>71033.78761189623</v>
      </c>
      <c r="F56" s="55">
        <f>'Model (a) '!F56</f>
        <v>2131.0136283568881</v>
      </c>
      <c r="G56" s="35">
        <f t="shared" si="4"/>
        <v>126.43358022370374</v>
      </c>
      <c r="H56" s="36">
        <f xml:space="preserve"> VLOOKUP( $D56, 'Mortality table'!$A$2:$B$111, 2, 0 ) * $E$18</f>
        <v>0.25997700000000001</v>
      </c>
      <c r="I56" s="36">
        <f t="shared" si="17"/>
        <v>1</v>
      </c>
      <c r="J56" s="36">
        <f t="shared" si="10"/>
        <v>0.25997700000000001</v>
      </c>
      <c r="K56" s="34">
        <f t="shared" si="5"/>
        <v>8981056.0846222155</v>
      </c>
      <c r="L56" s="34">
        <f t="shared" si="6"/>
        <v>269431.68253866659</v>
      </c>
      <c r="M56" s="34">
        <f t="shared" si="7"/>
        <v>21979389.426189855</v>
      </c>
      <c r="N56" s="34">
        <f t="shared" si="8"/>
        <v>21979389.426189855</v>
      </c>
      <c r="O56" s="34">
        <f t="shared" si="11"/>
        <v>-636725.65151491866</v>
      </c>
      <c r="P56" s="34">
        <f t="shared" si="1"/>
        <v>2197938.9426189857</v>
      </c>
      <c r="Q56" s="34">
        <f t="shared" si="2"/>
        <v>0</v>
      </c>
      <c r="R56" s="34">
        <f t="shared" si="12"/>
        <v>933864.28888854617</v>
      </c>
      <c r="S56" s="34">
        <f t="shared" si="13"/>
        <v>1131226.6067304416</v>
      </c>
      <c r="T56" s="87">
        <f t="shared" si="14"/>
        <v>2187113.5508544408</v>
      </c>
      <c r="U56" s="30"/>
      <c r="V56" s="32"/>
      <c r="X56" s="31"/>
      <c r="Y56" s="31"/>
      <c r="Z56" s="30"/>
      <c r="AA56" s="33"/>
    </row>
    <row r="57" spans="2:27" x14ac:dyDescent="0.25">
      <c r="B57" s="24">
        <f t="shared" si="9"/>
        <v>31</v>
      </c>
      <c r="C57" s="95">
        <f t="shared" si="9"/>
        <v>2047</v>
      </c>
      <c r="D57" s="95">
        <f t="shared" si="15"/>
        <v>100</v>
      </c>
      <c r="E57" s="34">
        <f t="shared" si="16"/>
        <v>72454.46336413415</v>
      </c>
      <c r="F57" s="55">
        <f>'Model (a) '!F57</f>
        <v>2173.633900924026</v>
      </c>
      <c r="G57" s="35">
        <f t="shared" si="4"/>
        <v>92.556018486712887</v>
      </c>
      <c r="H57" s="36">
        <f xml:space="preserve"> VLOOKUP( $D57, 'Mortality table'!$A$2:$B$111, 2, 0 ) * $E$18</f>
        <v>0.26794750000000001</v>
      </c>
      <c r="I57" s="36">
        <f t="shared" si="17"/>
        <v>1</v>
      </c>
      <c r="J57" s="36">
        <f t="shared" si="10"/>
        <v>0.26794750000000001</v>
      </c>
      <c r="K57" s="34">
        <f t="shared" si="5"/>
        <v>6706096.650575662</v>
      </c>
      <c r="L57" s="34">
        <f t="shared" si="6"/>
        <v>201182.89951727001</v>
      </c>
      <c r="M57" s="34">
        <f t="shared" si="7"/>
        <v>15731491.558882618</v>
      </c>
      <c r="N57" s="34">
        <f t="shared" si="8"/>
        <v>15731491.558882618</v>
      </c>
      <c r="O57" s="34">
        <f t="shared" si="11"/>
        <v>-461567.17794998677</v>
      </c>
      <c r="P57" s="34">
        <f t="shared" si="1"/>
        <v>1573149.155888262</v>
      </c>
      <c r="Q57" s="34">
        <f t="shared" si="2"/>
        <v>0</v>
      </c>
      <c r="R57" s="34">
        <f t="shared" si="12"/>
        <v>676965.19432664756</v>
      </c>
      <c r="S57" s="34">
        <f t="shared" si="13"/>
        <v>840187.80310738448</v>
      </c>
      <c r="T57" s="87">
        <f t="shared" si="14"/>
        <v>1565637.1028325006</v>
      </c>
      <c r="U57" s="30"/>
      <c r="V57" s="32"/>
      <c r="X57" s="31"/>
      <c r="Y57" s="31"/>
      <c r="Z57" s="30"/>
      <c r="AA57" s="33"/>
    </row>
    <row r="58" spans="2:27" x14ac:dyDescent="0.25">
      <c r="B58" s="24">
        <f t="shared" si="9"/>
        <v>32</v>
      </c>
      <c r="C58" s="95">
        <f t="shared" si="9"/>
        <v>2048</v>
      </c>
      <c r="D58" s="95">
        <f t="shared" si="15"/>
        <v>101</v>
      </c>
      <c r="E58" s="34">
        <f t="shared" si="16"/>
        <v>73903.552631416838</v>
      </c>
      <c r="F58" s="55">
        <f>'Model (a) '!F58</f>
        <v>2217.1065789425065</v>
      </c>
      <c r="G58" s="35">
        <f t="shared" si="4"/>
        <v>66.902961012889335</v>
      </c>
      <c r="H58" s="36">
        <f xml:space="preserve"> VLOOKUP( $D58, 'Mortality table'!$A$2:$B$111, 2, 0 ) * $E$18</f>
        <v>0.27716249999999998</v>
      </c>
      <c r="I58" s="36">
        <f t="shared" si="17"/>
        <v>1</v>
      </c>
      <c r="J58" s="36">
        <f t="shared" si="10"/>
        <v>0.27716249999999998</v>
      </c>
      <c r="K58" s="34">
        <f t="shared" si="5"/>
        <v>4944366.5004136954</v>
      </c>
      <c r="L58" s="34">
        <f t="shared" si="6"/>
        <v>148330.99501241097</v>
      </c>
      <c r="M58" s="34">
        <f t="shared" si="7"/>
        <v>11110738.810222991</v>
      </c>
      <c r="N58" s="34">
        <f t="shared" si="8"/>
        <v>11110738.810222991</v>
      </c>
      <c r="O58" s="34">
        <f t="shared" si="11"/>
        <v>-330361.3227365351</v>
      </c>
      <c r="P58" s="34">
        <f t="shared" si="1"/>
        <v>1111073.8810222992</v>
      </c>
      <c r="Q58" s="34">
        <f t="shared" si="2"/>
        <v>0</v>
      </c>
      <c r="R58" s="34">
        <f t="shared" si="12"/>
        <v>484529.94001358456</v>
      </c>
      <c r="S58" s="34">
        <f t="shared" si="13"/>
        <v>616243.89214301226</v>
      </c>
      <c r="T58" s="87">
        <f t="shared" si="14"/>
        <v>1105956.9209727386</v>
      </c>
      <c r="U58" s="30"/>
      <c r="V58" s="32"/>
      <c r="X58" s="31"/>
      <c r="Y58" s="31"/>
      <c r="Z58" s="30"/>
      <c r="AA58" s="33"/>
    </row>
    <row r="59" spans="2:27" x14ac:dyDescent="0.25">
      <c r="B59" s="24">
        <f t="shared" si="9"/>
        <v>33</v>
      </c>
      <c r="C59" s="95">
        <f t="shared" si="9"/>
        <v>2049</v>
      </c>
      <c r="D59" s="95">
        <f t="shared" si="15"/>
        <v>102</v>
      </c>
      <c r="E59" s="34">
        <f t="shared" si="16"/>
        <v>75381.623684045175</v>
      </c>
      <c r="F59" s="55">
        <f>'Model (a) '!F59</f>
        <v>2261.4487105213566</v>
      </c>
      <c r="G59" s="35">
        <f t="shared" si="4"/>
        <v>47.822905561623422</v>
      </c>
      <c r="H59" s="36">
        <f xml:space="preserve"> VLOOKUP( $D59, 'Mortality table'!$A$2:$B$111, 2, 0 ) * $E$18</f>
        <v>0.28519</v>
      </c>
      <c r="I59" s="36">
        <f t="shared" si="17"/>
        <v>1</v>
      </c>
      <c r="J59" s="36">
        <f t="shared" si="10"/>
        <v>0.28519</v>
      </c>
      <c r="K59" s="34">
        <f t="shared" si="5"/>
        <v>3604968.2705239276</v>
      </c>
      <c r="L59" s="34">
        <f t="shared" si="6"/>
        <v>108149.0481157179</v>
      </c>
      <c r="M59" s="34">
        <f t="shared" si="7"/>
        <v>7730943.6558900364</v>
      </c>
      <c r="N59" s="34">
        <f t="shared" si="8"/>
        <v>7730943.6558900364</v>
      </c>
      <c r="O59" s="34">
        <f t="shared" si="11"/>
        <v>-233325.51501468362</v>
      </c>
      <c r="P59" s="34">
        <f t="shared" si="1"/>
        <v>773094.36558900366</v>
      </c>
      <c r="Q59" s="34">
        <f t="shared" si="2"/>
        <v>0</v>
      </c>
      <c r="R59" s="34">
        <f t="shared" si="12"/>
        <v>342210.75535486807</v>
      </c>
      <c r="S59" s="34">
        <f t="shared" si="13"/>
        <v>446864.75577347993</v>
      </c>
      <c r="T59" s="87">
        <f t="shared" si="14"/>
        <v>769687.8572965326</v>
      </c>
      <c r="U59" s="30"/>
      <c r="V59" s="32"/>
      <c r="X59" s="31"/>
      <c r="Y59" s="31"/>
      <c r="Z59" s="30"/>
      <c r="AA59" s="33"/>
    </row>
    <row r="60" spans="2:27" x14ac:dyDescent="0.25">
      <c r="B60" s="24">
        <f t="shared" si="9"/>
        <v>34</v>
      </c>
      <c r="C60" s="95">
        <f t="shared" si="9"/>
        <v>2050</v>
      </c>
      <c r="D60" s="95">
        <f t="shared" si="15"/>
        <v>103</v>
      </c>
      <c r="E60" s="34">
        <f t="shared" si="16"/>
        <v>76889.256157726079</v>
      </c>
      <c r="F60" s="55">
        <f>'Model (a) '!F60</f>
        <v>2306.6776847317838</v>
      </c>
      <c r="G60" s="35">
        <f t="shared" si="4"/>
        <v>33.844461557583145</v>
      </c>
      <c r="H60" s="36">
        <f xml:space="preserve"> VLOOKUP( $D60, 'Mortality table'!$A$2:$B$111, 2, 0 ) * $E$18</f>
        <v>0.292296</v>
      </c>
      <c r="I60" s="36">
        <f t="shared" si="17"/>
        <v>1</v>
      </c>
      <c r="J60" s="36">
        <f t="shared" si="10"/>
        <v>0.292296</v>
      </c>
      <c r="K60" s="34">
        <f t="shared" si="5"/>
        <v>2602275.4742213232</v>
      </c>
      <c r="L60" s="34">
        <f t="shared" si="6"/>
        <v>78068.264226639745</v>
      </c>
      <c r="M60" s="34">
        <f t="shared" si="7"/>
        <v>5282528.2271187752</v>
      </c>
      <c r="N60" s="34">
        <f t="shared" si="8"/>
        <v>5282528.2271187752</v>
      </c>
      <c r="O60" s="34">
        <f t="shared" si="11"/>
        <v>-162349.81677369116</v>
      </c>
      <c r="P60" s="34">
        <f t="shared" si="1"/>
        <v>528252.82271187752</v>
      </c>
      <c r="Q60" s="34">
        <f t="shared" si="2"/>
        <v>0</v>
      </c>
      <c r="R60" s="34">
        <f t="shared" si="12"/>
        <v>238113.06460141312</v>
      </c>
      <c r="S60" s="34">
        <f t="shared" si="13"/>
        <v>320604.79070484813</v>
      </c>
      <c r="T60" s="87">
        <f t="shared" si="14"/>
        <v>526051.85232133779</v>
      </c>
      <c r="U60" s="30"/>
      <c r="V60" s="32"/>
      <c r="X60" s="31"/>
      <c r="Y60" s="31"/>
      <c r="Z60" s="30"/>
      <c r="AA60" s="33"/>
    </row>
    <row r="61" spans="2:27" x14ac:dyDescent="0.25">
      <c r="B61" s="24">
        <f t="shared" si="9"/>
        <v>35</v>
      </c>
      <c r="C61" s="95">
        <f t="shared" si="9"/>
        <v>2051</v>
      </c>
      <c r="D61" s="95">
        <f t="shared" si="15"/>
        <v>104</v>
      </c>
      <c r="E61" s="34">
        <f t="shared" si="16"/>
        <v>78427.0412808806</v>
      </c>
      <c r="F61" s="55">
        <f>'Model (a) '!F61</f>
        <v>2352.8112384264195</v>
      </c>
      <c r="G61" s="35">
        <f t="shared" si="4"/>
        <v>23.734833212409818</v>
      </c>
      <c r="H61" s="36">
        <f xml:space="preserve"> VLOOKUP( $D61, 'Mortality table'!$A$2:$B$111, 2, 0 ) * $E$18</f>
        <v>0.29870849999999999</v>
      </c>
      <c r="I61" s="36">
        <f t="shared" si="17"/>
        <v>1</v>
      </c>
      <c r="J61" s="36">
        <f t="shared" si="10"/>
        <v>0.29870849999999999</v>
      </c>
      <c r="K61" s="34">
        <f t="shared" si="5"/>
        <v>1861452.7441444807</v>
      </c>
      <c r="L61" s="34">
        <f t="shared" si="6"/>
        <v>55843.582324334457</v>
      </c>
      <c r="M61" s="34">
        <f t="shared" si="7"/>
        <v>3523707.7474635239</v>
      </c>
      <c r="N61" s="34">
        <f t="shared" si="8"/>
        <v>3523707.7474635239</v>
      </c>
      <c r="O61" s="34">
        <f t="shared" si="11"/>
        <v>-110933.0927694946</v>
      </c>
      <c r="P61" s="34">
        <f t="shared" si="1"/>
        <v>352370.7747463524</v>
      </c>
      <c r="Q61" s="34">
        <f t="shared" si="2"/>
        <v>0</v>
      </c>
      <c r="R61" s="34">
        <f t="shared" si="12"/>
        <v>162701.86939525825</v>
      </c>
      <c r="S61" s="34">
        <f t="shared" si="13"/>
        <v>227650.82459128878</v>
      </c>
      <c r="T61" s="87">
        <f t="shared" si="14"/>
        <v>351006.21296218288</v>
      </c>
      <c r="U61" s="30"/>
      <c r="V61" s="32"/>
      <c r="X61" s="31"/>
      <c r="Y61" s="31"/>
      <c r="Z61" s="30"/>
      <c r="AA61" s="33"/>
    </row>
    <row r="62" spans="2:27" x14ac:dyDescent="0.25">
      <c r="B62" s="24">
        <f t="shared" si="9"/>
        <v>36</v>
      </c>
      <c r="C62" s="95">
        <f t="shared" si="9"/>
        <v>2052</v>
      </c>
      <c r="D62" s="95">
        <f t="shared" si="15"/>
        <v>105</v>
      </c>
      <c r="E62" s="34">
        <f t="shared" si="16"/>
        <v>79995.582106498216</v>
      </c>
      <c r="F62" s="55">
        <f>'Model (a) '!F62</f>
        <v>2399.867463194948</v>
      </c>
      <c r="G62" s="35">
        <f t="shared" si="4"/>
        <v>16.5038857326665</v>
      </c>
      <c r="H62" s="36">
        <f xml:space="preserve"> VLOOKUP( $D62, 'Mortality table'!$A$2:$B$111, 2, 0 ) * $E$18</f>
        <v>0.30465549999999997</v>
      </c>
      <c r="I62" s="36">
        <f t="shared" si="17"/>
        <v>1</v>
      </c>
      <c r="J62" s="36">
        <f t="shared" si="10"/>
        <v>0.30465549999999997</v>
      </c>
      <c r="K62" s="34">
        <f t="shared" si="5"/>
        <v>1320237.9462037876</v>
      </c>
      <c r="L62" s="34">
        <f t="shared" si="6"/>
        <v>39607.138386113649</v>
      </c>
      <c r="M62" s="34">
        <f t="shared" si="7"/>
        <v>2269573.8952975282</v>
      </c>
      <c r="N62" s="34">
        <f t="shared" si="8"/>
        <v>2269573.8952975282</v>
      </c>
      <c r="O62" s="34">
        <f t="shared" si="11"/>
        <v>-73997.86269673385</v>
      </c>
      <c r="P62" s="34">
        <f t="shared" si="1"/>
        <v>226957.38952975284</v>
      </c>
      <c r="Q62" s="34">
        <f t="shared" si="2"/>
        <v>0</v>
      </c>
      <c r="R62" s="34">
        <f t="shared" si="12"/>
        <v>108530.19862187652</v>
      </c>
      <c r="S62" s="34">
        <f t="shared" si="13"/>
        <v>159945.72114174225</v>
      </c>
      <c r="T62" s="87">
        <f t="shared" si="14"/>
        <v>226161.1131166589</v>
      </c>
      <c r="U62" s="30"/>
      <c r="V62" s="32"/>
      <c r="X62" s="31"/>
      <c r="Y62" s="31"/>
      <c r="Z62" s="30"/>
      <c r="AA62" s="33"/>
    </row>
    <row r="63" spans="2:27" x14ac:dyDescent="0.25">
      <c r="B63" s="24">
        <f t="shared" si="9"/>
        <v>37</v>
      </c>
      <c r="C63" s="95">
        <f t="shared" si="9"/>
        <v>2053</v>
      </c>
      <c r="D63" s="95">
        <f t="shared" si="15"/>
        <v>106</v>
      </c>
      <c r="E63" s="34">
        <f t="shared" si="16"/>
        <v>81595.493748628185</v>
      </c>
      <c r="F63" s="55">
        <f>'Model (a) '!F63</f>
        <v>2447.8648124588472</v>
      </c>
      <c r="G63" s="35">
        <f t="shared" si="4"/>
        <v>11.391064452115081</v>
      </c>
      <c r="H63" s="36">
        <f xml:space="preserve"> VLOOKUP( $D63, 'Mortality table'!$A$2:$B$111, 2, 0 ) * $E$18</f>
        <v>0.30979499999999999</v>
      </c>
      <c r="I63" s="36">
        <f t="shared" si="17"/>
        <v>1</v>
      </c>
      <c r="J63" s="36">
        <f t="shared" si="10"/>
        <v>0.30979499999999999</v>
      </c>
      <c r="K63" s="34">
        <f t="shared" si="5"/>
        <v>929459.5282927769</v>
      </c>
      <c r="L63" s="34">
        <f t="shared" si="6"/>
        <v>27883.785848783325</v>
      </c>
      <c r="M63" s="34">
        <f t="shared" si="7"/>
        <v>1380317.7980148939</v>
      </c>
      <c r="N63" s="34">
        <f t="shared" si="8"/>
        <v>1380317.7980148939</v>
      </c>
      <c r="O63" s="34">
        <f t="shared" si="11"/>
        <v>-47661.051801248112</v>
      </c>
      <c r="P63" s="34">
        <f t="shared" si="1"/>
        <v>138031.77980148941</v>
      </c>
      <c r="Q63" s="34">
        <f t="shared" si="2"/>
        <v>0</v>
      </c>
      <c r="R63" s="34">
        <f t="shared" si="12"/>
        <v>69902.875975163872</v>
      </c>
      <c r="S63" s="34">
        <f t="shared" si="13"/>
        <v>111167.43390217918</v>
      </c>
      <c r="T63" s="87">
        <f t="shared" si="14"/>
        <v>137609.79052614563</v>
      </c>
      <c r="U63" s="30"/>
      <c r="V63" s="32"/>
      <c r="X63" s="31"/>
      <c r="Y63" s="31"/>
      <c r="Z63" s="30"/>
      <c r="AA63" s="33"/>
    </row>
    <row r="64" spans="2:27" x14ac:dyDescent="0.25">
      <c r="B64" s="24">
        <f t="shared" si="9"/>
        <v>38</v>
      </c>
      <c r="C64" s="95">
        <f t="shared" si="9"/>
        <v>2054</v>
      </c>
      <c r="D64" s="95">
        <f t="shared" si="15"/>
        <v>107</v>
      </c>
      <c r="E64" s="34">
        <f t="shared" si="16"/>
        <v>83227.403623600752</v>
      </c>
      <c r="F64" s="55">
        <f>'Model (a) '!F64</f>
        <v>2496.8221087080242</v>
      </c>
      <c r="G64" s="35">
        <f t="shared" si="4"/>
        <v>7.8080620840245434</v>
      </c>
      <c r="H64" s="36">
        <f xml:space="preserve"> VLOOKUP( $D64, 'Mortality table'!$A$2:$B$111, 2, 0 ) * $E$18</f>
        <v>0.31454499999999996</v>
      </c>
      <c r="I64" s="36">
        <f t="shared" si="17"/>
        <v>1</v>
      </c>
      <c r="J64" s="36">
        <f t="shared" si="10"/>
        <v>0.31454499999999996</v>
      </c>
      <c r="K64" s="34">
        <f t="shared" si="5"/>
        <v>649844.73458524398</v>
      </c>
      <c r="L64" s="34">
        <f t="shared" si="6"/>
        <v>19495.34203755733</v>
      </c>
      <c r="M64" s="34">
        <f t="shared" si="7"/>
        <v>752387.25533253932</v>
      </c>
      <c r="N64" s="34">
        <f t="shared" si="8"/>
        <v>752387.25533253932</v>
      </c>
      <c r="O64" s="34">
        <f t="shared" si="11"/>
        <v>-28986.673758312674</v>
      </c>
      <c r="P64" s="34">
        <f t="shared" si="1"/>
        <v>75238.725533253935</v>
      </c>
      <c r="Q64" s="34">
        <f t="shared" si="2"/>
        <v>0</v>
      </c>
      <c r="R64" s="34">
        <f t="shared" si="12"/>
        <v>42513.788178858733</v>
      </c>
      <c r="S64" s="34">
        <f t="shared" si="13"/>
        <v>76320.16868878153</v>
      </c>
      <c r="T64" s="87">
        <f t="shared" si="14"/>
        <v>75050.600889978668</v>
      </c>
      <c r="U64" s="30"/>
      <c r="V64" s="32"/>
      <c r="X64" s="31"/>
      <c r="Y64" s="31"/>
      <c r="Z64" s="30"/>
      <c r="AA64" s="33"/>
    </row>
    <row r="65" spans="1:27" x14ac:dyDescent="0.25">
      <c r="B65" s="24">
        <f t="shared" si="9"/>
        <v>39</v>
      </c>
      <c r="C65" s="95">
        <f t="shared" si="9"/>
        <v>2055</v>
      </c>
      <c r="D65" s="95">
        <f t="shared" si="15"/>
        <v>108</v>
      </c>
      <c r="E65" s="34">
        <f t="shared" si="16"/>
        <v>84891.951696072763</v>
      </c>
      <c r="F65" s="55">
        <f>'Model (a) '!F65</f>
        <v>2546.7585508821849</v>
      </c>
      <c r="G65" s="35">
        <f t="shared" si="4"/>
        <v>5.3115006011854105</v>
      </c>
      <c r="H65" s="36">
        <f xml:space="preserve"> VLOOKUP( $D65, 'Mortality table'!$A$2:$B$111, 2, 0 ) * $E$18</f>
        <v>0.31974149999999996</v>
      </c>
      <c r="I65" s="36">
        <f t="shared" si="17"/>
        <v>1</v>
      </c>
      <c r="J65" s="36">
        <f t="shared" si="10"/>
        <v>0.31974149999999996</v>
      </c>
      <c r="K65" s="34">
        <f t="shared" si="5"/>
        <v>450903.65246949333</v>
      </c>
      <c r="L65" s="34">
        <f t="shared" si="6"/>
        <v>13527.10957408481</v>
      </c>
      <c r="M65" s="34">
        <f t="shared" si="7"/>
        <v>310528.11094893748</v>
      </c>
      <c r="N65" s="34">
        <f t="shared" si="8"/>
        <v>310528.11094893748</v>
      </c>
      <c r="O65" s="34">
        <f t="shared" si="11"/>
        <v>-15800.132361983407</v>
      </c>
      <c r="P65" s="34">
        <f t="shared" si="1"/>
        <v>31052.81109489375</v>
      </c>
      <c r="Q65" s="34">
        <f t="shared" si="2"/>
        <v>0</v>
      </c>
      <c r="R65" s="34">
        <f t="shared" si="12"/>
        <v>23173.527464242212</v>
      </c>
      <c r="S65" s="34">
        <f t="shared" si="13"/>
        <v>51559.309540618982</v>
      </c>
      <c r="T65" s="87">
        <f t="shared" si="14"/>
        <v>30996.35143835756</v>
      </c>
      <c r="U65" s="30"/>
      <c r="V65" s="32"/>
      <c r="X65" s="31"/>
      <c r="Y65" s="31"/>
      <c r="Z65" s="30"/>
      <c r="AA65" s="33"/>
    </row>
    <row r="66" spans="1:27" x14ac:dyDescent="0.25">
      <c r="B66" s="88">
        <f t="shared" si="9"/>
        <v>40</v>
      </c>
      <c r="C66" s="96">
        <f t="shared" si="9"/>
        <v>2056</v>
      </c>
      <c r="D66" s="96">
        <f t="shared" si="15"/>
        <v>109</v>
      </c>
      <c r="E66" s="89">
        <f t="shared" si="16"/>
        <v>86589.790729994216</v>
      </c>
      <c r="F66" s="101">
        <f>'Model (a) '!F66</f>
        <v>2597.6937218998287</v>
      </c>
      <c r="G66" s="91">
        <f t="shared" si="4"/>
        <v>3.5861977299059609</v>
      </c>
      <c r="H66" s="90">
        <f xml:space="preserve"> VLOOKUP( $D66, 'Mortality table'!$A$2:$B$111, 2, 0 ) * $E$18</f>
        <v>0.324824</v>
      </c>
      <c r="I66" s="90">
        <f t="shared" si="17"/>
        <v>1</v>
      </c>
      <c r="J66" s="90">
        <f t="shared" si="10"/>
        <v>0.324824</v>
      </c>
      <c r="K66" s="89">
        <f t="shared" si="5"/>
        <v>310528.11094893748</v>
      </c>
      <c r="L66" s="89">
        <f t="shared" si="6"/>
        <v>9315.8433284681323</v>
      </c>
      <c r="M66" s="89">
        <f xml:space="preserve"> SUM( K67:M67 ) / ( 1 + $E$12 )</f>
        <v>0</v>
      </c>
      <c r="N66" s="89">
        <f t="shared" si="8"/>
        <v>0</v>
      </c>
      <c r="O66" s="89">
        <f t="shared" si="11"/>
        <v>-6521.0903299277061</v>
      </c>
      <c r="P66" s="89">
        <f t="shared" si="1"/>
        <v>0</v>
      </c>
      <c r="Q66" s="89">
        <f t="shared" si="2"/>
        <v>0</v>
      </c>
      <c r="R66" s="89">
        <f t="shared" si="12"/>
        <v>9564.2658172272731</v>
      </c>
      <c r="S66" s="89">
        <f t="shared" si="13"/>
        <v>34095.98658219332</v>
      </c>
      <c r="T66" s="92">
        <f xml:space="preserve"> SUM( S67:T67 ) / ( 1 + $E$11 )</f>
        <v>0</v>
      </c>
      <c r="U66" s="30"/>
      <c r="V66" s="32"/>
      <c r="X66" s="31"/>
      <c r="Y66" s="31"/>
      <c r="Z66" s="30"/>
      <c r="AA66" s="33"/>
    </row>
    <row r="67" spans="1:27" x14ac:dyDescent="0.25">
      <c r="A67" s="6"/>
      <c r="B67" s="6"/>
      <c r="C67" s="6"/>
      <c r="D6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3"/>
  <sheetViews>
    <sheetView zoomScaleNormal="100" workbookViewId="0">
      <selection activeCell="E7" sqref="E7"/>
    </sheetView>
  </sheetViews>
  <sheetFormatPr defaultRowHeight="13.5" x14ac:dyDescent="0.25"/>
  <cols>
    <col min="1" max="2" width="9.140625" style="59"/>
    <col min="3" max="3" width="23.42578125" style="59" customWidth="1"/>
    <col min="4" max="4" width="48.7109375" style="59" customWidth="1"/>
    <col min="5" max="6" width="12.85546875" style="64" customWidth="1"/>
    <col min="7" max="7" width="12.85546875" style="59" customWidth="1"/>
    <col min="8" max="8" width="11.85546875" style="59" bestFit="1" customWidth="1"/>
    <col min="9" max="9" width="12.140625" style="59" customWidth="1"/>
    <col min="10" max="10" width="9.140625" style="59"/>
    <col min="11" max="13" width="12.7109375" style="59" customWidth="1"/>
    <col min="14" max="16384" width="9.140625" style="59"/>
  </cols>
  <sheetData>
    <row r="1" spans="3:13" x14ac:dyDescent="0.25">
      <c r="D1" s="57" t="s">
        <v>69</v>
      </c>
      <c r="E1" s="58" t="s">
        <v>28</v>
      </c>
      <c r="F1" s="58" t="s">
        <v>27</v>
      </c>
      <c r="G1" s="58" t="s">
        <v>37</v>
      </c>
      <c r="H1" s="106" t="s">
        <v>29</v>
      </c>
    </row>
    <row r="2" spans="3:13" x14ac:dyDescent="0.25">
      <c r="D2" s="67" t="s">
        <v>44</v>
      </c>
      <c r="E2" s="60">
        <f>'Model (a) '!O18</f>
        <v>9116081.290678978</v>
      </c>
      <c r="F2" s="60">
        <f xml:space="preserve"> 'Model (a) '!O17</f>
        <v>378123175.0487166</v>
      </c>
      <c r="G2" s="61">
        <f>SUM(E2:F2)</f>
        <v>387239256.33939558</v>
      </c>
      <c r="I2" s="62"/>
      <c r="K2" s="60"/>
      <c r="L2" s="60"/>
      <c r="M2" s="61"/>
    </row>
    <row r="3" spans="3:13" x14ac:dyDescent="0.25">
      <c r="D3" s="74" t="s">
        <v>70</v>
      </c>
      <c r="E3" s="68"/>
      <c r="F3" s="68">
        <f xml:space="preserve"> F2 * 'Model (a) '!$E$11</f>
        <v>37812317.504871659</v>
      </c>
      <c r="G3" s="69">
        <f t="shared" ref="G3:G8" si="0">SUM(E3:F3)</f>
        <v>37812317.504871659</v>
      </c>
      <c r="K3" s="63"/>
      <c r="L3" s="63"/>
      <c r="M3" s="62"/>
    </row>
    <row r="4" spans="3:13" ht="40.5" x14ac:dyDescent="0.25">
      <c r="D4" s="111" t="s">
        <v>72</v>
      </c>
      <c r="E4" s="113">
        <f xml:space="preserve"> 'Model (a) '!S27</f>
        <v>58311586.201168291</v>
      </c>
      <c r="F4" s="113">
        <f xml:space="preserve"> - 'Model (a) '!$S$27</f>
        <v>-58311586.201168291</v>
      </c>
      <c r="G4" s="113">
        <f t="shared" si="0"/>
        <v>0</v>
      </c>
      <c r="H4" s="62"/>
      <c r="K4" s="63"/>
      <c r="L4" s="63"/>
      <c r="M4" s="62"/>
    </row>
    <row r="5" spans="3:13" ht="57.75" customHeight="1" x14ac:dyDescent="0.25">
      <c r="D5" s="114" t="s">
        <v>73</v>
      </c>
      <c r="E5" s="112">
        <f>'Model (a) '!$G$27*(+'Model (a) '!$F$27-'Model (a)+Exp+Inv'!$F$27)*(1-'Model (a) '!$E$13)</f>
        <v>-1029839.9999999999</v>
      </c>
      <c r="F5" s="112"/>
      <c r="G5" s="113">
        <f t="shared" si="0"/>
        <v>-1029839.9999999999</v>
      </c>
      <c r="H5" s="62"/>
      <c r="K5" s="63"/>
      <c r="L5" s="64"/>
      <c r="M5" s="62"/>
    </row>
    <row r="6" spans="3:13" ht="27" x14ac:dyDescent="0.25">
      <c r="D6" s="111" t="s">
        <v>71</v>
      </c>
      <c r="E6" s="68"/>
      <c r="F6" s="68">
        <f xml:space="preserve"> 'Model (a)+Exp+Inv'!P17 - 'Model (a) '!T27</f>
        <v>-109993502.60322922</v>
      </c>
      <c r="G6" s="69">
        <f t="shared" si="0"/>
        <v>-109993502.60322922</v>
      </c>
      <c r="H6" s="66">
        <f xml:space="preserve"> 'Model (a)+Exp+Inv'!$P$19 - SUM( G$2:G6 )</f>
        <v>0</v>
      </c>
      <c r="K6" s="64"/>
      <c r="L6" s="63"/>
      <c r="M6" s="62"/>
    </row>
    <row r="7" spans="3:13" ht="40.5" x14ac:dyDescent="0.25">
      <c r="D7" s="114" t="s">
        <v>74</v>
      </c>
      <c r="E7" s="68">
        <f xml:space="preserve"> - ( 'Model (a)+Exp+Inv + Mort'!P27  - 'Model (a)+Exp+Inv'!P27) - ('Model (a)+Exp+Inv + Mort'!N27- 'Model (a)+Exp+Inv'!N27 ) * ( 1 - 'Model (a) '!$E$13 )</f>
        <v>-49704730.878640734</v>
      </c>
      <c r="F7" s="68">
        <f>'Model (a)+Exp+Inv + Mort'!P17-'Model (a)+Exp+Inv'!P17</f>
        <v>6101805.0012919009</v>
      </c>
      <c r="G7" s="69">
        <f t="shared" si="0"/>
        <v>-43602925.877348833</v>
      </c>
      <c r="H7" s="66">
        <f xml:space="preserve"> 'Model (a)+Exp+Inv + Mort'!$P$19 - SUM( G$2:G7 )</f>
        <v>0</v>
      </c>
      <c r="K7" s="63"/>
      <c r="L7" s="63"/>
      <c r="M7" s="62"/>
    </row>
    <row r="8" spans="3:13" x14ac:dyDescent="0.25">
      <c r="D8" s="67" t="s">
        <v>42</v>
      </c>
      <c r="E8" s="60">
        <f>SUM(E2:E7)</f>
        <v>16693096.613206543</v>
      </c>
      <c r="F8" s="60">
        <f>SUM(F2:F7)</f>
        <v>253732208.75048265</v>
      </c>
      <c r="G8" s="61">
        <f t="shared" si="0"/>
        <v>270425305.36368918</v>
      </c>
      <c r="H8" s="66">
        <f xml:space="preserve"> 'Model (a)+Exp+Inv + Mort'!$P$19 - G8</f>
        <v>0</v>
      </c>
      <c r="K8" s="60"/>
      <c r="L8" s="60"/>
      <c r="M8" s="61"/>
    </row>
    <row r="9" spans="3:13" x14ac:dyDescent="0.25">
      <c r="D9" s="65" t="s">
        <v>29</v>
      </c>
      <c r="E9" s="66">
        <f>-E8+E3+'Model (a) '!O6+'Model (a) '!O7+'Model (a) '!O8-'Model (a) '!O10-'Model (a)+Exp+Inv + Mort'!P27-'Model (a)+Exp+Inv + Mort'!N27+'Model (a)+Exp+Inv + Mort'!R17</f>
        <v>2.1606683731079102E-7</v>
      </c>
      <c r="F9" s="66">
        <f>'Model (a)+Exp+Inv + Mort'!T27-F8</f>
        <v>0</v>
      </c>
      <c r="G9" s="66"/>
      <c r="K9" s="66"/>
      <c r="L9" s="66"/>
    </row>
    <row r="11" spans="3:13" x14ac:dyDescent="0.25">
      <c r="C11" s="118" t="s">
        <v>75</v>
      </c>
      <c r="D11" s="59" t="s">
        <v>76</v>
      </c>
      <c r="E11" s="116">
        <f>'Model (a)_Exp_Vinc'!S19</f>
        <v>-1029840</v>
      </c>
      <c r="F11" s="59"/>
    </row>
    <row r="12" spans="3:13" x14ac:dyDescent="0.25">
      <c r="C12" s="118"/>
      <c r="D12" s="59" t="s">
        <v>77</v>
      </c>
      <c r="E12" s="115">
        <f>'Model (a)+Exp+Inv + Mort'!P18-'Model (a)+Exp+Inv'!P18</f>
        <v>-49704730.878640741</v>
      </c>
      <c r="F12" s="116">
        <f>'Model (a)+Exp+Inv + Mort'!P17-'Model (a)+Exp+Inv'!P17</f>
        <v>6101805.0012919009</v>
      </c>
    </row>
    <row r="13" spans="3:13" x14ac:dyDescent="0.25">
      <c r="E13" s="30"/>
      <c r="F13" s="30"/>
    </row>
  </sheetData>
  <mergeCells count="1">
    <mergeCell ref="C11:C1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Mortality table</vt:lpstr>
      <vt:lpstr>Model (c)(i)</vt:lpstr>
      <vt:lpstr>Model (a) </vt:lpstr>
      <vt:lpstr>Model (a)_Exp_Vinc</vt:lpstr>
      <vt:lpstr>Model (a)+Exp+Inv</vt:lpstr>
      <vt:lpstr>Model (a)+Exp+Inv + Mort</vt:lpstr>
      <vt:lpstr>Part (d)(i) AOC</vt:lpstr>
    </vt:vector>
  </TitlesOfParts>
  <Company>Actuaries Institute of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Karenna Chhoeung</dc:creator>
  <cp:lastModifiedBy>Zhu, Vincent-JF</cp:lastModifiedBy>
  <cp:lastPrinted>2019-10-04T12:05:51Z</cp:lastPrinted>
  <dcterms:created xsi:type="dcterms:W3CDTF">2015-09-09T08:01:57Z</dcterms:created>
  <dcterms:modified xsi:type="dcterms:W3CDTF">2019-10-04T12:25:34Z</dcterms:modified>
</cp:coreProperties>
</file>